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24.xml" ContentType="application/vnd.openxmlformats-officedocument.spreadsheetml.externalLink+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externalLinks/externalLink10.xml" ContentType="application/vnd.openxmlformats-officedocument.spreadsheetml.externalLink+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7"/>
  <workbookPr/>
  <bookViews>
    <workbookView xWindow="-12" yWindow="3336" windowWidth="16440" windowHeight="3372" firstSheet="1" activeTab="7"/>
  </bookViews>
  <sheets>
    <sheet name="REVEST FACHADAS" sheetId="26" r:id="rId1"/>
    <sheet name="CORRIMÃO" sheetId="22" r:id="rId2"/>
    <sheet name="ALVENARIA" sheetId="2" r:id="rId3"/>
    <sheet name="ESQUADRIA" sheetId="3" state="hidden" r:id="rId4"/>
    <sheet name="Esquadrias 2" sheetId="12" r:id="rId5"/>
    <sheet name="Revestimentos" sheetId="4" r:id="rId6"/>
    <sheet name="Cobertura" sheetId="5" r:id="rId7"/>
    <sheet name="Planilha Orç" sheetId="6" r:id="rId8"/>
    <sheet name="MEMORIA" sheetId="16" r:id="rId9"/>
    <sheet name="COMPOSICOES" sheetId="17" r:id="rId10"/>
    <sheet name="Piso e Forro" sheetId="7" r:id="rId11"/>
    <sheet name="impermeabilização" sheetId="9" r:id="rId12"/>
    <sheet name="Louças e Metais" sheetId="10" r:id="rId13"/>
    <sheet name="BATE MACA" sheetId="11" r:id="rId14"/>
    <sheet name="Instalações" sheetId="13" r:id="rId15"/>
    <sheet name="Paisagismo" sheetId="14" r:id="rId16"/>
    <sheet name="Pintura Estac." sheetId="15" r:id="rId17"/>
    <sheet name="Plan1" sheetId="18" r:id="rId18"/>
    <sheet name="Plan2" sheetId="23" r:id="rId19"/>
    <sheet name="Plan3" sheetId="24" r:id="rId20"/>
    <sheet name="Plan4" sheetId="25" r:id="rId21"/>
    <sheet name="Planilha1" sheetId="27"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a" localSheetId="1">#REF!</definedName>
    <definedName name="\a" localSheetId="0">#REF!</definedName>
    <definedName name="\a">#REF!</definedName>
    <definedName name="\b">#N/A</definedName>
    <definedName name="\D" localSheetId="1">#REF!</definedName>
    <definedName name="\D" localSheetId="0">#REF!</definedName>
    <definedName name="\D">#REF!</definedName>
    <definedName name="\k" localSheetId="1">#REF!</definedName>
    <definedName name="\k" localSheetId="0">#REF!</definedName>
    <definedName name="\k">#REF!</definedName>
    <definedName name="\m" localSheetId="1">#REF!</definedName>
    <definedName name="\m" localSheetId="0">#REF!</definedName>
    <definedName name="\m">#REF!</definedName>
    <definedName name="\q" localSheetId="1">[1]Fechamento!#REF!</definedName>
    <definedName name="\q" localSheetId="0">[1]Fechamento!#REF!</definedName>
    <definedName name="\q">[1]Fechamento!#REF!</definedName>
    <definedName name="\R" localSheetId="1">#REF!</definedName>
    <definedName name="\R" localSheetId="0">#REF!</definedName>
    <definedName name="\R">#REF!</definedName>
    <definedName name="\s" localSheetId="1">#REF!</definedName>
    <definedName name="\s" localSheetId="0">#REF!</definedName>
    <definedName name="\s">#REF!</definedName>
    <definedName name="\t" localSheetId="1">#REF!</definedName>
    <definedName name="\t" localSheetId="0">#REF!</definedName>
    <definedName name="\t">#REF!</definedName>
    <definedName name="\z" localSheetId="1">#REF!</definedName>
    <definedName name="\z" localSheetId="0">#REF!</definedName>
    <definedName name="\z">#REF!</definedName>
    <definedName name="__6Excel_BuiltIn_Print_Area_3_1_1_1_1_1" localSheetId="1">#REF!</definedName>
    <definedName name="__6Excel_BuiltIn_Print_Area_3_1_1_1_1_1" localSheetId="0">#REF!</definedName>
    <definedName name="__6Excel_BuiltIn_Print_Area_3_1_1_1_1_1">#REF!</definedName>
    <definedName name="__apf1" localSheetId="1">#REF!</definedName>
    <definedName name="__apf1" localSheetId="0">#REF!</definedName>
    <definedName name="__apf1">#REF!</definedName>
    <definedName name="__cpf1" localSheetId="1">#REF!</definedName>
    <definedName name="__cpf1" localSheetId="0">#REF!</definedName>
    <definedName name="__cpf1">#REF!</definedName>
    <definedName name="_1" localSheetId="1">#REF!</definedName>
    <definedName name="_1" localSheetId="0">#REF!</definedName>
    <definedName name="_1">#REF!</definedName>
    <definedName name="_10Excel_BuiltIn_Print_Area_5_1" localSheetId="1">#REF!</definedName>
    <definedName name="_10Excel_BuiltIn_Print_Area_5_1" localSheetId="0">#REF!</definedName>
    <definedName name="_10Excel_BuiltIn_Print_Area_5_1">#REF!</definedName>
    <definedName name="_10Excel_BuiltIn_Print_Area_7_1" localSheetId="1">#REF!</definedName>
    <definedName name="_10Excel_BuiltIn_Print_Area_7_1" localSheetId="0">#REF!</definedName>
    <definedName name="_10Excel_BuiltIn_Print_Area_7_1">#REF!</definedName>
    <definedName name="_11Excel_BuiltIn_Print_Area_8_1">([2]EMERGÊNCIA!$A$1:$N$213,[2]EMERGÊNCIA!$A$214:$N$290)</definedName>
    <definedName name="_12Excel_BuiltIn_Print_Area_6_1" localSheetId="1">#REF!</definedName>
    <definedName name="_12Excel_BuiltIn_Print_Area_6_1" localSheetId="0">#REF!</definedName>
    <definedName name="_12Excel_BuiltIn_Print_Area_6_1">#REF!</definedName>
    <definedName name="_12Excel_BuiltIn_Print_Area_9_1" localSheetId="1">#REF!</definedName>
    <definedName name="_12Excel_BuiltIn_Print_Area_9_1" localSheetId="0">#REF!</definedName>
    <definedName name="_12Excel_BuiltIn_Print_Area_9_1">#REF!</definedName>
    <definedName name="_13Excel_BuiltIn_Print_Titles_3_1" localSheetId="1">#REF!</definedName>
    <definedName name="_13Excel_BuiltIn_Print_Titles_3_1" localSheetId="0">#REF!</definedName>
    <definedName name="_13Excel_BuiltIn_Print_Titles_3_1">#REF!</definedName>
    <definedName name="_14Excel_BuiltIn_Print_Area_7_1" localSheetId="1">#REF!</definedName>
    <definedName name="_14Excel_BuiltIn_Print_Area_7_1" localSheetId="0">#REF!</definedName>
    <definedName name="_14Excel_BuiltIn_Print_Area_7_1">#REF!</definedName>
    <definedName name="_14Excel_BuiltIn_Print_Titles_4_1" localSheetId="1">#REF!</definedName>
    <definedName name="_14Excel_BuiltIn_Print_Titles_4_1" localSheetId="0">#REF!</definedName>
    <definedName name="_14Excel_BuiltIn_Print_Titles_4_1">#REF!</definedName>
    <definedName name="_15Excel_BuiltIn_Print_Area_8_1">([2]EMERGÊNCIA!$A$1:$N$213,[2]EMERGÊNCIA!$A$214:$N$290)</definedName>
    <definedName name="_15Excel_BuiltIn_Print_Titles_5_1" localSheetId="1">#REF!</definedName>
    <definedName name="_15Excel_BuiltIn_Print_Titles_5_1" localSheetId="0">#REF!</definedName>
    <definedName name="_15Excel_BuiltIn_Print_Titles_5_1">#REF!</definedName>
    <definedName name="_16Excel_BuiltIn_Print_Titles_6_1" localSheetId="1">#REF!</definedName>
    <definedName name="_16Excel_BuiltIn_Print_Titles_6_1" localSheetId="0">#REF!</definedName>
    <definedName name="_16Excel_BuiltIn_Print_Titles_6_1">#REF!</definedName>
    <definedName name="_17Excel_BuiltIn_Print_Area_9_1" localSheetId="1">#REF!</definedName>
    <definedName name="_17Excel_BuiltIn_Print_Area_9_1" localSheetId="0">#REF!</definedName>
    <definedName name="_17Excel_BuiltIn_Print_Area_9_1">#REF!</definedName>
    <definedName name="_17Excel_BuiltIn_Print_Titles_7_1" localSheetId="1">#REF!</definedName>
    <definedName name="_17Excel_BuiltIn_Print_Titles_7_1" localSheetId="0">#REF!</definedName>
    <definedName name="_17Excel_BuiltIn_Print_Titles_7_1">#REF!</definedName>
    <definedName name="_18Excel_BuiltIn_Print_Titles_9_1" localSheetId="1">#REF!</definedName>
    <definedName name="_18Excel_BuiltIn_Print_Titles_9_1" localSheetId="0">#REF!</definedName>
    <definedName name="_18Excel_BuiltIn_Print_Titles_9_1">#REF!</definedName>
    <definedName name="_1Excel_BuiltIn__FilterDatabase_12_1" localSheetId="1">#REF!</definedName>
    <definedName name="_1Excel_BuiltIn__FilterDatabase_12_1" localSheetId="0">#REF!</definedName>
    <definedName name="_1Excel_BuiltIn__FilterDatabase_12_1">#REF!</definedName>
    <definedName name="_1Excel_BuiltIn_Print_Area_2_1" localSheetId="1">#REF!</definedName>
    <definedName name="_1Excel_BuiltIn_Print_Area_2_1" localSheetId="0">#REF!</definedName>
    <definedName name="_1Excel_BuiltIn_Print_Area_2_1">#REF!</definedName>
    <definedName name="_2" localSheetId="1">#REF!</definedName>
    <definedName name="_2" localSheetId="0">#REF!</definedName>
    <definedName name="_2">#REF!</definedName>
    <definedName name="_2.5.4.4" localSheetId="1">#REF!</definedName>
    <definedName name="_2.5.4.4" localSheetId="0">#REF!</definedName>
    <definedName name="_2.5.4.4">#REF!</definedName>
    <definedName name="_28Excel_BuiltIn_Print_Titles_3_1" localSheetId="1">#REF!</definedName>
    <definedName name="_28Excel_BuiltIn_Print_Titles_3_1" localSheetId="0">#REF!</definedName>
    <definedName name="_28Excel_BuiltIn_Print_Titles_3_1">#REF!</definedName>
    <definedName name="_2Excel_BuiltIn__FilterDatabase_12_1" localSheetId="1">#REF!</definedName>
    <definedName name="_2Excel_BuiltIn__FilterDatabase_12_1" localSheetId="0">#REF!</definedName>
    <definedName name="_2Excel_BuiltIn__FilterDatabase_12_1">#REF!</definedName>
    <definedName name="_2Excel_BuiltIn_Print_Area_1_1_1_1_1_1_1" localSheetId="1">#REF!</definedName>
    <definedName name="_2Excel_BuiltIn_Print_Area_1_1_1_1_1_1_1" localSheetId="0">#REF!</definedName>
    <definedName name="_2Excel_BuiltIn_Print_Area_1_1_1_1_1_1_1">#REF!</definedName>
    <definedName name="_2Excel_BuiltIn_Print_Area_3_1_1" localSheetId="1">#REF!</definedName>
    <definedName name="_2Excel_BuiltIn_Print_Area_3_1_1" localSheetId="0">#REF!</definedName>
    <definedName name="_2Excel_BuiltIn_Print_Area_3_1_1">#REF!</definedName>
    <definedName name="_39Excel_BuiltIn_Print_Titles_4_1" localSheetId="1">#REF!</definedName>
    <definedName name="_39Excel_BuiltIn_Print_Titles_4_1" localSheetId="0">#REF!</definedName>
    <definedName name="_39Excel_BuiltIn_Print_Titles_4_1">#REF!</definedName>
    <definedName name="_3Excel_BuiltIn_Print_Area_2_1" localSheetId="1">#REF!</definedName>
    <definedName name="_3Excel_BuiltIn_Print_Area_2_1" localSheetId="0">#REF!</definedName>
    <definedName name="_3Excel_BuiltIn_Print_Area_2_1">#REF!</definedName>
    <definedName name="_3Excel_BuiltIn_Print_Area_3_1_1_1_1_1" localSheetId="1">#REF!</definedName>
    <definedName name="_3Excel_BuiltIn_Print_Area_3_1_1_1_1_1" localSheetId="0">#REF!</definedName>
    <definedName name="_3Excel_BuiltIn_Print_Area_3_1_1_1_1_1">#REF!</definedName>
    <definedName name="_4Excel_BuiltIn_Print_Area_3_1" localSheetId="1">#REF!</definedName>
    <definedName name="_4Excel_BuiltIn_Print_Area_3_1" localSheetId="0">#REF!</definedName>
    <definedName name="_4Excel_BuiltIn_Print_Area_3_1">#REF!</definedName>
    <definedName name="_4Excel_BuiltIn_Print_Area_3_1_1_1_1_1" localSheetId="1">#REF!</definedName>
    <definedName name="_4Excel_BuiltIn_Print_Area_3_1_1_1_1_1" localSheetId="0">#REF!</definedName>
    <definedName name="_4Excel_BuiltIn_Print_Area_3_1_1_1_1_1">#REF!</definedName>
    <definedName name="_5." localSheetId="1">#REF!</definedName>
    <definedName name="_5." localSheetId="0">#REF!</definedName>
    <definedName name="_5.">#REF!</definedName>
    <definedName name="_5.1" localSheetId="1">#REF!</definedName>
    <definedName name="_5.1" localSheetId="0">#REF!</definedName>
    <definedName name="_5.1">#REF!</definedName>
    <definedName name="_5.1.1" localSheetId="1">#REF!</definedName>
    <definedName name="_5.1.1" localSheetId="0">#REF!</definedName>
    <definedName name="_5.1.1">#REF!</definedName>
    <definedName name="_5.1.2" localSheetId="1">#REF!</definedName>
    <definedName name="_5.1.2" localSheetId="0">#REF!</definedName>
    <definedName name="_5.1.2">#REF!</definedName>
    <definedName name="_5.1.3" localSheetId="1">#REF!</definedName>
    <definedName name="_5.1.3" localSheetId="0">#REF!</definedName>
    <definedName name="_5.1.3">#REF!</definedName>
    <definedName name="_5.1.4" localSheetId="1">#REF!</definedName>
    <definedName name="_5.1.4" localSheetId="0">#REF!</definedName>
    <definedName name="_5.1.4">#REF!</definedName>
    <definedName name="_5.1.5" localSheetId="1">#REF!</definedName>
    <definedName name="_5.1.5" localSheetId="0">#REF!</definedName>
    <definedName name="_5.1.5">#REF!</definedName>
    <definedName name="_5.2" localSheetId="1">#REF!</definedName>
    <definedName name="_5.2" localSheetId="0">#REF!</definedName>
    <definedName name="_5.2">#REF!</definedName>
    <definedName name="_5.2.1" localSheetId="1">#REF!</definedName>
    <definedName name="_5.2.1" localSheetId="0">#REF!</definedName>
    <definedName name="_5.2.1">#REF!</definedName>
    <definedName name="_5.2.2" localSheetId="1">#REF!</definedName>
    <definedName name="_5.2.2" localSheetId="0">#REF!</definedName>
    <definedName name="_5.2.2">#REF!</definedName>
    <definedName name="_5.2.3" localSheetId="1">#REF!</definedName>
    <definedName name="_5.2.3" localSheetId="0">#REF!</definedName>
    <definedName name="_5.2.3">#REF!</definedName>
    <definedName name="_5.3" localSheetId="1">#REF!</definedName>
    <definedName name="_5.3" localSheetId="0">#REF!</definedName>
    <definedName name="_5.3">#REF!</definedName>
    <definedName name="_5.3.1" localSheetId="1">#REF!</definedName>
    <definedName name="_5.3.1" localSheetId="0">#REF!</definedName>
    <definedName name="_5.3.1">#REF!</definedName>
    <definedName name="_5.3.2" localSheetId="1">#REF!</definedName>
    <definedName name="_5.3.2" localSheetId="0">#REF!</definedName>
    <definedName name="_5.3.2">#REF!</definedName>
    <definedName name="_5.4" localSheetId="1">#REF!</definedName>
    <definedName name="_5.4" localSheetId="0">#REF!</definedName>
    <definedName name="_5.4">#REF!</definedName>
    <definedName name="_5.4.1." localSheetId="1">#REF!</definedName>
    <definedName name="_5.4.1." localSheetId="0">#REF!</definedName>
    <definedName name="_5.4.1.">#REF!</definedName>
    <definedName name="_5.4.2" localSheetId="1">#REF!</definedName>
    <definedName name="_5.4.2" localSheetId="0">#REF!</definedName>
    <definedName name="_5.4.2">#REF!</definedName>
    <definedName name="_5.4.3" localSheetId="1">#REF!</definedName>
    <definedName name="_5.4.3" localSheetId="0">#REF!</definedName>
    <definedName name="_5.4.3">#REF!</definedName>
    <definedName name="_5.4.4" localSheetId="1">#REF!</definedName>
    <definedName name="_5.4.4" localSheetId="0">#REF!</definedName>
    <definedName name="_5.4.4">#REF!</definedName>
    <definedName name="_5.4.5" localSheetId="1">#REF!</definedName>
    <definedName name="_5.4.5" localSheetId="0">#REF!</definedName>
    <definedName name="_5.4.5">#REF!</definedName>
    <definedName name="_5.4.6" localSheetId="1">#REF!</definedName>
    <definedName name="_5.4.6" localSheetId="0">#REF!</definedName>
    <definedName name="_5.4.6">#REF!</definedName>
    <definedName name="_5.4.7" localSheetId="1">#REF!</definedName>
    <definedName name="_5.4.7" localSheetId="0">#REF!</definedName>
    <definedName name="_5.4.7">#REF!</definedName>
    <definedName name="_5.5" localSheetId="1">#REF!</definedName>
    <definedName name="_5.5" localSheetId="0">#REF!</definedName>
    <definedName name="_5.5">#REF!</definedName>
    <definedName name="_5.5.1" localSheetId="1">#REF!</definedName>
    <definedName name="_5.5.1" localSheetId="0">#REF!</definedName>
    <definedName name="_5.5.1">#REF!</definedName>
    <definedName name="_5.5.2" localSheetId="1">#REF!</definedName>
    <definedName name="_5.5.2" localSheetId="0">#REF!</definedName>
    <definedName name="_5.5.2">#REF!</definedName>
    <definedName name="_5.5.3" localSheetId="1">#REF!</definedName>
    <definedName name="_5.5.3" localSheetId="0">#REF!</definedName>
    <definedName name="_5.5.3">#REF!</definedName>
    <definedName name="_5.5.4" localSheetId="1">#REF!</definedName>
    <definedName name="_5.5.4" localSheetId="0">#REF!</definedName>
    <definedName name="_5.5.4">#REF!</definedName>
    <definedName name="_5.5.5" localSheetId="1">#REF!</definedName>
    <definedName name="_5.5.5" localSheetId="0">#REF!</definedName>
    <definedName name="_5.5.5">#REF!</definedName>
    <definedName name="_5.5.6" localSheetId="1">#REF!</definedName>
    <definedName name="_5.5.6" localSheetId="0">#REF!</definedName>
    <definedName name="_5.5.6">#REF!</definedName>
    <definedName name="_5.6" localSheetId="1">#REF!</definedName>
    <definedName name="_5.6" localSheetId="0">#REF!</definedName>
    <definedName name="_5.6">#REF!</definedName>
    <definedName name="_5.6.1" localSheetId="1">#REF!</definedName>
    <definedName name="_5.6.1" localSheetId="0">#REF!</definedName>
    <definedName name="_5.6.1">#REF!</definedName>
    <definedName name="_5.6.2" localSheetId="1">#REF!</definedName>
    <definedName name="_5.6.2" localSheetId="0">#REF!</definedName>
    <definedName name="_5.6.2">#REF!</definedName>
    <definedName name="_5.6.3" localSheetId="1">#REF!</definedName>
    <definedName name="_5.6.3" localSheetId="0">#REF!</definedName>
    <definedName name="_5.6.3">#REF!</definedName>
    <definedName name="_5.6.4" localSheetId="1">#REF!</definedName>
    <definedName name="_5.6.4" localSheetId="0">#REF!</definedName>
    <definedName name="_5.6.4">#REF!</definedName>
    <definedName name="_5.6.5" localSheetId="1">#REF!</definedName>
    <definedName name="_5.6.5" localSheetId="0">#REF!</definedName>
    <definedName name="_5.6.5">#REF!</definedName>
    <definedName name="_5.6.6" localSheetId="1">#REF!</definedName>
    <definedName name="_5.6.6" localSheetId="0">#REF!</definedName>
    <definedName name="_5.6.6">#REF!</definedName>
    <definedName name="_5.6_" localSheetId="1">#REF!</definedName>
    <definedName name="_5.6_" localSheetId="0">#REF!</definedName>
    <definedName name="_5.6_">#REF!</definedName>
    <definedName name="_5.7" localSheetId="1">#REF!</definedName>
    <definedName name="_5.7" localSheetId="0">#REF!</definedName>
    <definedName name="_5.7">#REF!</definedName>
    <definedName name="_5.8" localSheetId="1">#REF!</definedName>
    <definedName name="_5.8" localSheetId="0">#REF!</definedName>
    <definedName name="_5.8">#REF!</definedName>
    <definedName name="_5001" localSheetId="1">#REF!</definedName>
    <definedName name="_5001" localSheetId="0">#REF!</definedName>
    <definedName name="_5001">#REF!</definedName>
    <definedName name="_5002" localSheetId="1">#REF!</definedName>
    <definedName name="_5002" localSheetId="0">#REF!</definedName>
    <definedName name="_5002">#REF!</definedName>
    <definedName name="_5003" localSheetId="1">#REF!</definedName>
    <definedName name="_5003" localSheetId="0">#REF!</definedName>
    <definedName name="_5003">#REF!</definedName>
    <definedName name="_5004" localSheetId="1">#REF!</definedName>
    <definedName name="_5004" localSheetId="0">#REF!</definedName>
    <definedName name="_5004">#REF!</definedName>
    <definedName name="_5005" localSheetId="1">#REF!</definedName>
    <definedName name="_5005" localSheetId="0">#REF!</definedName>
    <definedName name="_5005">#REF!</definedName>
    <definedName name="_5006" localSheetId="1">#REF!</definedName>
    <definedName name="_5006" localSheetId="0">#REF!</definedName>
    <definedName name="_5006">#REF!</definedName>
    <definedName name="_5007" localSheetId="1">#REF!</definedName>
    <definedName name="_5007" localSheetId="0">#REF!</definedName>
    <definedName name="_5007">#REF!</definedName>
    <definedName name="_5008" localSheetId="1">#REF!</definedName>
    <definedName name="_5008" localSheetId="0">#REF!</definedName>
    <definedName name="_5008">#REF!</definedName>
    <definedName name="_5009" localSheetId="1">#REF!</definedName>
    <definedName name="_5009" localSheetId="0">#REF!</definedName>
    <definedName name="_5009">#REF!</definedName>
    <definedName name="_5010" localSheetId="1">#REF!</definedName>
    <definedName name="_5010" localSheetId="0">#REF!</definedName>
    <definedName name="_5010">#REF!</definedName>
    <definedName name="_5011" localSheetId="1">#REF!</definedName>
    <definedName name="_5011" localSheetId="0">#REF!</definedName>
    <definedName name="_5011">#REF!</definedName>
    <definedName name="_5012" localSheetId="1">#REF!</definedName>
    <definedName name="_5012" localSheetId="0">#REF!</definedName>
    <definedName name="_5012">#REF!</definedName>
    <definedName name="_5013" localSheetId="1">#REF!</definedName>
    <definedName name="_5013" localSheetId="0">#REF!</definedName>
    <definedName name="_5013">#REF!</definedName>
    <definedName name="_5014" localSheetId="1">#REF!</definedName>
    <definedName name="_5014" localSheetId="0">#REF!</definedName>
    <definedName name="_5014">#REF!</definedName>
    <definedName name="_5015" localSheetId="1">#REF!</definedName>
    <definedName name="_5015" localSheetId="0">#REF!</definedName>
    <definedName name="_5015">#REF!</definedName>
    <definedName name="_5016" localSheetId="1">#REF!</definedName>
    <definedName name="_5016" localSheetId="0">#REF!</definedName>
    <definedName name="_5016">#REF!</definedName>
    <definedName name="_5017" localSheetId="1">#REF!</definedName>
    <definedName name="_5017" localSheetId="0">#REF!</definedName>
    <definedName name="_5017">#REF!</definedName>
    <definedName name="_5018" localSheetId="1">#REF!</definedName>
    <definedName name="_5018" localSheetId="0">#REF!</definedName>
    <definedName name="_5018">#REF!</definedName>
    <definedName name="_5019" localSheetId="1">#REF!</definedName>
    <definedName name="_5019" localSheetId="0">#REF!</definedName>
    <definedName name="_5019">#REF!</definedName>
    <definedName name="_5020" localSheetId="1">#REF!</definedName>
    <definedName name="_5020" localSheetId="0">#REF!</definedName>
    <definedName name="_5020">#REF!</definedName>
    <definedName name="_5021" localSheetId="1">#REF!</definedName>
    <definedName name="_5021" localSheetId="0">#REF!</definedName>
    <definedName name="_5021">#REF!</definedName>
    <definedName name="_5022" localSheetId="1">#REF!</definedName>
    <definedName name="_5022" localSheetId="0">#REF!</definedName>
    <definedName name="_5022">#REF!</definedName>
    <definedName name="_5023" localSheetId="1">#REF!</definedName>
    <definedName name="_5023" localSheetId="0">#REF!</definedName>
    <definedName name="_5023">#REF!</definedName>
    <definedName name="_5024" localSheetId="1">#REF!</definedName>
    <definedName name="_5024" localSheetId="0">#REF!</definedName>
    <definedName name="_5024">#REF!</definedName>
    <definedName name="_5025" localSheetId="1">#REF!</definedName>
    <definedName name="_5025" localSheetId="0">#REF!</definedName>
    <definedName name="_5025">#REF!</definedName>
    <definedName name="_5026" localSheetId="1">#REF!</definedName>
    <definedName name="_5026" localSheetId="0">#REF!</definedName>
    <definedName name="_5026">#REF!</definedName>
    <definedName name="_5027" localSheetId="1">#REF!</definedName>
    <definedName name="_5027" localSheetId="0">#REF!</definedName>
    <definedName name="_5027">#REF!</definedName>
    <definedName name="_5028" localSheetId="1">#REF!</definedName>
    <definedName name="_5028" localSheetId="0">#REF!</definedName>
    <definedName name="_5028">#REF!</definedName>
    <definedName name="_5029" localSheetId="1">#REF!</definedName>
    <definedName name="_5029" localSheetId="0">#REF!</definedName>
    <definedName name="_5029">#REF!</definedName>
    <definedName name="_5030" localSheetId="1">#REF!</definedName>
    <definedName name="_5030" localSheetId="0">#REF!</definedName>
    <definedName name="_5030">#REF!</definedName>
    <definedName name="_5031" localSheetId="1">#REF!</definedName>
    <definedName name="_5031" localSheetId="0">#REF!</definedName>
    <definedName name="_5031">#REF!</definedName>
    <definedName name="_5032" localSheetId="1">#REF!</definedName>
    <definedName name="_5032" localSheetId="0">#REF!</definedName>
    <definedName name="_5032">#REF!</definedName>
    <definedName name="_5033" localSheetId="1">#REF!</definedName>
    <definedName name="_5033" localSheetId="0">#REF!</definedName>
    <definedName name="_5033">#REF!</definedName>
    <definedName name="_5034" localSheetId="1">#REF!</definedName>
    <definedName name="_5034" localSheetId="0">#REF!</definedName>
    <definedName name="_5034">#REF!</definedName>
    <definedName name="_5035" localSheetId="1">#REF!</definedName>
    <definedName name="_5035" localSheetId="0">#REF!</definedName>
    <definedName name="_5035">#REF!</definedName>
    <definedName name="_5036" localSheetId="1">#REF!</definedName>
    <definedName name="_5036" localSheetId="0">#REF!</definedName>
    <definedName name="_5036">#REF!</definedName>
    <definedName name="_5037" localSheetId="1">#REF!</definedName>
    <definedName name="_5037" localSheetId="0">#REF!</definedName>
    <definedName name="_5037">#REF!</definedName>
    <definedName name="_5038" localSheetId="1">#REF!</definedName>
    <definedName name="_5038" localSheetId="0">#REF!</definedName>
    <definedName name="_5038">#REF!</definedName>
    <definedName name="_5039" localSheetId="1">#REF!</definedName>
    <definedName name="_5039" localSheetId="0">#REF!</definedName>
    <definedName name="_5039">#REF!</definedName>
    <definedName name="_5040" localSheetId="1">#REF!</definedName>
    <definedName name="_5040" localSheetId="0">#REF!</definedName>
    <definedName name="_5040">#REF!</definedName>
    <definedName name="_5041" localSheetId="1">#REF!</definedName>
    <definedName name="_5041" localSheetId="0">#REF!</definedName>
    <definedName name="_5041">#REF!</definedName>
    <definedName name="_5042" localSheetId="1">#REF!</definedName>
    <definedName name="_5042" localSheetId="0">#REF!</definedName>
    <definedName name="_5042">#REF!</definedName>
    <definedName name="_5043" localSheetId="1">#REF!</definedName>
    <definedName name="_5043" localSheetId="0">#REF!</definedName>
    <definedName name="_5043">#REF!</definedName>
    <definedName name="_5044" localSheetId="1">#REF!</definedName>
    <definedName name="_5044" localSheetId="0">#REF!</definedName>
    <definedName name="_5044">#REF!</definedName>
    <definedName name="_5045" localSheetId="1">#REF!</definedName>
    <definedName name="_5045" localSheetId="0">#REF!</definedName>
    <definedName name="_5045">#REF!</definedName>
    <definedName name="_5046" localSheetId="1">#REF!</definedName>
    <definedName name="_5046" localSheetId="0">#REF!</definedName>
    <definedName name="_5046">#REF!</definedName>
    <definedName name="_5047" localSheetId="1">#REF!</definedName>
    <definedName name="_5047" localSheetId="0">#REF!</definedName>
    <definedName name="_5047">#REF!</definedName>
    <definedName name="_5048" localSheetId="1">#REF!</definedName>
    <definedName name="_5048" localSheetId="0">#REF!</definedName>
    <definedName name="_5048">#REF!</definedName>
    <definedName name="_5049" localSheetId="1">#REF!</definedName>
    <definedName name="_5049" localSheetId="0">#REF!</definedName>
    <definedName name="_5049">#REF!</definedName>
    <definedName name="_5050" localSheetId="1">#REF!</definedName>
    <definedName name="_5050" localSheetId="0">#REF!</definedName>
    <definedName name="_5050">#REF!</definedName>
    <definedName name="_5051" localSheetId="1">#REF!</definedName>
    <definedName name="_5051" localSheetId="0">#REF!</definedName>
    <definedName name="_5051">#REF!</definedName>
    <definedName name="_5052" localSheetId="1">#REF!</definedName>
    <definedName name="_5052" localSheetId="0">#REF!</definedName>
    <definedName name="_5052">#REF!</definedName>
    <definedName name="_5053" localSheetId="1">#REF!</definedName>
    <definedName name="_5053" localSheetId="0">#REF!</definedName>
    <definedName name="_5053">#REF!</definedName>
    <definedName name="_5054" localSheetId="1">#REF!</definedName>
    <definedName name="_5054" localSheetId="0">#REF!</definedName>
    <definedName name="_5054">#REF!</definedName>
    <definedName name="_5055" localSheetId="1">#REF!</definedName>
    <definedName name="_5055" localSheetId="0">#REF!</definedName>
    <definedName name="_5055">#REF!</definedName>
    <definedName name="_5056" localSheetId="1">#REF!</definedName>
    <definedName name="_5056" localSheetId="0">#REF!</definedName>
    <definedName name="_5056">#REF!</definedName>
    <definedName name="_5057" localSheetId="1">#REF!</definedName>
    <definedName name="_5057" localSheetId="0">#REF!</definedName>
    <definedName name="_5057">#REF!</definedName>
    <definedName name="_5058" localSheetId="1">#REF!</definedName>
    <definedName name="_5058" localSheetId="0">#REF!</definedName>
    <definedName name="_5058">#REF!</definedName>
    <definedName name="_5059" localSheetId="1">#REF!</definedName>
    <definedName name="_5059" localSheetId="0">#REF!</definedName>
    <definedName name="_5059">#REF!</definedName>
    <definedName name="_5060" localSheetId="1">#REF!</definedName>
    <definedName name="_5060" localSheetId="0">#REF!</definedName>
    <definedName name="_5060">#REF!</definedName>
    <definedName name="_5061" localSheetId="1">#REF!</definedName>
    <definedName name="_5061" localSheetId="0">#REF!</definedName>
    <definedName name="_5061">#REF!</definedName>
    <definedName name="_5062" localSheetId="1">#REF!</definedName>
    <definedName name="_5062" localSheetId="0">#REF!</definedName>
    <definedName name="_5062">#REF!</definedName>
    <definedName name="_5063" localSheetId="1">#REF!</definedName>
    <definedName name="_5063" localSheetId="0">#REF!</definedName>
    <definedName name="_5063">#REF!</definedName>
    <definedName name="_5064" localSheetId="1">#REF!</definedName>
    <definedName name="_5064" localSheetId="0">#REF!</definedName>
    <definedName name="_5064">#REF!</definedName>
    <definedName name="_5065" localSheetId="1">#REF!</definedName>
    <definedName name="_5065" localSheetId="0">#REF!</definedName>
    <definedName name="_5065">#REF!</definedName>
    <definedName name="_5066" localSheetId="1">#REF!</definedName>
    <definedName name="_5066" localSheetId="0">#REF!</definedName>
    <definedName name="_5066">#REF!</definedName>
    <definedName name="_5067" localSheetId="1">#REF!</definedName>
    <definedName name="_5067" localSheetId="0">#REF!</definedName>
    <definedName name="_5067">#REF!</definedName>
    <definedName name="_5068" localSheetId="1">#REF!</definedName>
    <definedName name="_5068" localSheetId="0">#REF!</definedName>
    <definedName name="_5068">#REF!</definedName>
    <definedName name="_5069" localSheetId="1">#REF!</definedName>
    <definedName name="_5069" localSheetId="0">#REF!</definedName>
    <definedName name="_5069">#REF!</definedName>
    <definedName name="_5070" localSheetId="1">#REF!</definedName>
    <definedName name="_5070" localSheetId="0">#REF!</definedName>
    <definedName name="_5070">#REF!</definedName>
    <definedName name="_5071" localSheetId="1">#REF!</definedName>
    <definedName name="_5071" localSheetId="0">#REF!</definedName>
    <definedName name="_5071">#REF!</definedName>
    <definedName name="_5072" localSheetId="1">#REF!</definedName>
    <definedName name="_5072" localSheetId="0">#REF!</definedName>
    <definedName name="_5072">#REF!</definedName>
    <definedName name="_5073" localSheetId="1">#REF!</definedName>
    <definedName name="_5073" localSheetId="0">#REF!</definedName>
    <definedName name="_5073">#REF!</definedName>
    <definedName name="_5074" localSheetId="1">#REF!</definedName>
    <definedName name="_5074" localSheetId="0">#REF!</definedName>
    <definedName name="_5074">#REF!</definedName>
    <definedName name="_5075" localSheetId="1">#REF!</definedName>
    <definedName name="_5075" localSheetId="0">#REF!</definedName>
    <definedName name="_5075">#REF!</definedName>
    <definedName name="_5076" localSheetId="1">#REF!</definedName>
    <definedName name="_5076" localSheetId="0">#REF!</definedName>
    <definedName name="_5076">#REF!</definedName>
    <definedName name="_5077" localSheetId="1">#REF!</definedName>
    <definedName name="_5077" localSheetId="0">#REF!</definedName>
    <definedName name="_5077">#REF!</definedName>
    <definedName name="_5078" localSheetId="1">#REF!</definedName>
    <definedName name="_5078" localSheetId="0">#REF!</definedName>
    <definedName name="_5078">#REF!</definedName>
    <definedName name="_5079" localSheetId="1">#REF!</definedName>
    <definedName name="_5079" localSheetId="0">#REF!</definedName>
    <definedName name="_5079">#REF!</definedName>
    <definedName name="_5080" localSheetId="1">#REF!</definedName>
    <definedName name="_5080" localSheetId="0">#REF!</definedName>
    <definedName name="_5080">#REF!</definedName>
    <definedName name="_5081" localSheetId="1">#REF!</definedName>
    <definedName name="_5081" localSheetId="0">#REF!</definedName>
    <definedName name="_5081">#REF!</definedName>
    <definedName name="_5082" localSheetId="1">#REF!</definedName>
    <definedName name="_5082" localSheetId="0">#REF!</definedName>
    <definedName name="_5082">#REF!</definedName>
    <definedName name="_5083" localSheetId="1">#REF!</definedName>
    <definedName name="_5083" localSheetId="0">#REF!</definedName>
    <definedName name="_5083">#REF!</definedName>
    <definedName name="_5084" localSheetId="1">#REF!</definedName>
    <definedName name="_5084" localSheetId="0">#REF!</definedName>
    <definedName name="_5084">#REF!</definedName>
    <definedName name="_5085" localSheetId="1">#REF!</definedName>
    <definedName name="_5085" localSheetId="0">#REF!</definedName>
    <definedName name="_5085">#REF!</definedName>
    <definedName name="_5086" localSheetId="1">#REF!</definedName>
    <definedName name="_5086" localSheetId="0">#REF!</definedName>
    <definedName name="_5086">#REF!</definedName>
    <definedName name="_5087" localSheetId="1">#REF!</definedName>
    <definedName name="_5087" localSheetId="0">#REF!</definedName>
    <definedName name="_5087">#REF!</definedName>
    <definedName name="_5088" localSheetId="1">#REF!</definedName>
    <definedName name="_5088" localSheetId="0">#REF!</definedName>
    <definedName name="_5088">#REF!</definedName>
    <definedName name="_5089" localSheetId="1">#REF!</definedName>
    <definedName name="_5089" localSheetId="0">#REF!</definedName>
    <definedName name="_5089">#REF!</definedName>
    <definedName name="_5090" localSheetId="1">#REF!</definedName>
    <definedName name="_5090" localSheetId="0">#REF!</definedName>
    <definedName name="_5090">#REF!</definedName>
    <definedName name="_5091" localSheetId="1">#REF!</definedName>
    <definedName name="_5091" localSheetId="0">#REF!</definedName>
    <definedName name="_5091">#REF!</definedName>
    <definedName name="_5092" localSheetId="1">#REF!</definedName>
    <definedName name="_5092" localSheetId="0">#REF!</definedName>
    <definedName name="_5092">#REF!</definedName>
    <definedName name="_5093" localSheetId="1">#REF!</definedName>
    <definedName name="_5093" localSheetId="0">#REF!</definedName>
    <definedName name="_5093">#REF!</definedName>
    <definedName name="_5094" localSheetId="1">#REF!</definedName>
    <definedName name="_5094" localSheetId="0">#REF!</definedName>
    <definedName name="_5094">#REF!</definedName>
    <definedName name="_5095" localSheetId="1">#REF!</definedName>
    <definedName name="_5095" localSheetId="0">#REF!</definedName>
    <definedName name="_5095">#REF!</definedName>
    <definedName name="_5096" localSheetId="1">#REF!</definedName>
    <definedName name="_5096" localSheetId="0">#REF!</definedName>
    <definedName name="_5096">#REF!</definedName>
    <definedName name="_5097" localSheetId="1">#REF!</definedName>
    <definedName name="_5097" localSheetId="0">#REF!</definedName>
    <definedName name="_5097">#REF!</definedName>
    <definedName name="_5098" localSheetId="1">#REF!</definedName>
    <definedName name="_5098" localSheetId="0">#REF!</definedName>
    <definedName name="_5098">#REF!</definedName>
    <definedName name="_5099" localSheetId="1">#REF!</definedName>
    <definedName name="_5099" localSheetId="0">#REF!</definedName>
    <definedName name="_5099">#REF!</definedName>
    <definedName name="_50Excel_BuiltIn_Print_Titles_5_1" localSheetId="1">#REF!</definedName>
    <definedName name="_50Excel_BuiltIn_Print_Titles_5_1" localSheetId="0">#REF!</definedName>
    <definedName name="_50Excel_BuiltIn_Print_Titles_5_1">#REF!</definedName>
    <definedName name="_5100" localSheetId="1">#REF!</definedName>
    <definedName name="_5100" localSheetId="0">#REF!</definedName>
    <definedName name="_5100">#REF!</definedName>
    <definedName name="_5101" localSheetId="1">#REF!</definedName>
    <definedName name="_5101" localSheetId="0">#REF!</definedName>
    <definedName name="_5101">#REF!</definedName>
    <definedName name="_5102" localSheetId="1">#REF!</definedName>
    <definedName name="_5102" localSheetId="0">#REF!</definedName>
    <definedName name="_5102">#REF!</definedName>
    <definedName name="_5103" localSheetId="1">#REF!</definedName>
    <definedName name="_5103" localSheetId="0">#REF!</definedName>
    <definedName name="_5103">#REF!</definedName>
    <definedName name="_5104" localSheetId="1">#REF!</definedName>
    <definedName name="_5104" localSheetId="0">#REF!</definedName>
    <definedName name="_5104">#REF!</definedName>
    <definedName name="_5105" localSheetId="1">#REF!</definedName>
    <definedName name="_5105" localSheetId="0">#REF!</definedName>
    <definedName name="_5105">#REF!</definedName>
    <definedName name="_5106" localSheetId="1">#REF!</definedName>
    <definedName name="_5106" localSheetId="0">#REF!</definedName>
    <definedName name="_5106">#REF!</definedName>
    <definedName name="_5107" localSheetId="1">#REF!</definedName>
    <definedName name="_5107" localSheetId="0">#REF!</definedName>
    <definedName name="_5107">#REF!</definedName>
    <definedName name="_5108" localSheetId="1">#REF!</definedName>
    <definedName name="_5108" localSheetId="0">#REF!</definedName>
    <definedName name="_5108">#REF!</definedName>
    <definedName name="_5109" localSheetId="1">#REF!</definedName>
    <definedName name="_5109" localSheetId="0">#REF!</definedName>
    <definedName name="_5109">#REF!</definedName>
    <definedName name="_5110" localSheetId="1">#REF!</definedName>
    <definedName name="_5110" localSheetId="0">#REF!</definedName>
    <definedName name="_5110">#REF!</definedName>
    <definedName name="_5111" localSheetId="1">#REF!</definedName>
    <definedName name="_5111" localSheetId="0">#REF!</definedName>
    <definedName name="_5111">#REF!</definedName>
    <definedName name="_5112" localSheetId="1">#REF!</definedName>
    <definedName name="_5112" localSheetId="0">#REF!</definedName>
    <definedName name="_5112">#REF!</definedName>
    <definedName name="_5113" localSheetId="1">#REF!</definedName>
    <definedName name="_5113" localSheetId="0">#REF!</definedName>
    <definedName name="_5113">#REF!</definedName>
    <definedName name="_5114" localSheetId="1">#REF!</definedName>
    <definedName name="_5114" localSheetId="0">#REF!</definedName>
    <definedName name="_5114">#REF!</definedName>
    <definedName name="_5115" localSheetId="1">#REF!</definedName>
    <definedName name="_5115" localSheetId="0">#REF!</definedName>
    <definedName name="_5115">#REF!</definedName>
    <definedName name="_5116" localSheetId="1">#REF!</definedName>
    <definedName name="_5116" localSheetId="0">#REF!</definedName>
    <definedName name="_5116">#REF!</definedName>
    <definedName name="_5117" localSheetId="1">#REF!</definedName>
    <definedName name="_5117" localSheetId="0">#REF!</definedName>
    <definedName name="_5117">#REF!</definedName>
    <definedName name="_5118" localSheetId="1">#REF!</definedName>
    <definedName name="_5118" localSheetId="0">#REF!</definedName>
    <definedName name="_5118">#REF!</definedName>
    <definedName name="_5119" localSheetId="1">#REF!</definedName>
    <definedName name="_5119" localSheetId="0">#REF!</definedName>
    <definedName name="_5119">#REF!</definedName>
    <definedName name="_5120" localSheetId="1">#REF!</definedName>
    <definedName name="_5120" localSheetId="0">#REF!</definedName>
    <definedName name="_5120">#REF!</definedName>
    <definedName name="_5121" localSheetId="1">#REF!</definedName>
    <definedName name="_5121" localSheetId="0">#REF!</definedName>
    <definedName name="_5121">#REF!</definedName>
    <definedName name="_5122" localSheetId="1">#REF!</definedName>
    <definedName name="_5122" localSheetId="0">#REF!</definedName>
    <definedName name="_5122">#REF!</definedName>
    <definedName name="_5123" localSheetId="1">#REF!</definedName>
    <definedName name="_5123" localSheetId="0">#REF!</definedName>
    <definedName name="_5123">#REF!</definedName>
    <definedName name="_5124" localSheetId="1">#REF!</definedName>
    <definedName name="_5124" localSheetId="0">#REF!</definedName>
    <definedName name="_5124">#REF!</definedName>
    <definedName name="_5125" localSheetId="1">#REF!</definedName>
    <definedName name="_5125" localSheetId="0">#REF!</definedName>
    <definedName name="_5125">#REF!</definedName>
    <definedName name="_5126" localSheetId="1">#REF!</definedName>
    <definedName name="_5126" localSheetId="0">#REF!</definedName>
    <definedName name="_5126">#REF!</definedName>
    <definedName name="_5127" localSheetId="1">#REF!</definedName>
    <definedName name="_5127" localSheetId="0">#REF!</definedName>
    <definedName name="_5127">#REF!</definedName>
    <definedName name="_5128" localSheetId="1">#REF!</definedName>
    <definedName name="_5128" localSheetId="0">#REF!</definedName>
    <definedName name="_5128">#REF!</definedName>
    <definedName name="_5129" localSheetId="1">#REF!</definedName>
    <definedName name="_5129" localSheetId="0">#REF!</definedName>
    <definedName name="_5129">#REF!</definedName>
    <definedName name="_5130" localSheetId="1">#REF!</definedName>
    <definedName name="_5130" localSheetId="0">#REF!</definedName>
    <definedName name="_5130">#REF!</definedName>
    <definedName name="_5131" localSheetId="1">#REF!</definedName>
    <definedName name="_5131" localSheetId="0">#REF!</definedName>
    <definedName name="_5131">#REF!</definedName>
    <definedName name="_5132" localSheetId="1">#REF!</definedName>
    <definedName name="_5132" localSheetId="0">#REF!</definedName>
    <definedName name="_5132">#REF!</definedName>
    <definedName name="_5133" localSheetId="1">#REF!</definedName>
    <definedName name="_5133" localSheetId="0">#REF!</definedName>
    <definedName name="_5133">#REF!</definedName>
    <definedName name="_5134" localSheetId="1">#REF!</definedName>
    <definedName name="_5134" localSheetId="0">#REF!</definedName>
    <definedName name="_5134">#REF!</definedName>
    <definedName name="_5135" localSheetId="1">#REF!</definedName>
    <definedName name="_5135" localSheetId="0">#REF!</definedName>
    <definedName name="_5135">#REF!</definedName>
    <definedName name="_5136" localSheetId="1">#REF!</definedName>
    <definedName name="_5136" localSheetId="0">#REF!</definedName>
    <definedName name="_5136">#REF!</definedName>
    <definedName name="_5137" localSheetId="1">#REF!</definedName>
    <definedName name="_5137" localSheetId="0">#REF!</definedName>
    <definedName name="_5137">#REF!</definedName>
    <definedName name="_5138" localSheetId="1">#REF!</definedName>
    <definedName name="_5138" localSheetId="0">#REF!</definedName>
    <definedName name="_5138">#REF!</definedName>
    <definedName name="_5139" localSheetId="1">#REF!</definedName>
    <definedName name="_5139" localSheetId="0">#REF!</definedName>
    <definedName name="_5139">#REF!</definedName>
    <definedName name="_5140" localSheetId="1">#REF!</definedName>
    <definedName name="_5140" localSheetId="0">#REF!</definedName>
    <definedName name="_5140">#REF!</definedName>
    <definedName name="_5141" localSheetId="1">#REF!</definedName>
    <definedName name="_5141" localSheetId="0">#REF!</definedName>
    <definedName name="_5141">#REF!</definedName>
    <definedName name="_5142" localSheetId="1">#REF!</definedName>
    <definedName name="_5142" localSheetId="0">#REF!</definedName>
    <definedName name="_5142">#REF!</definedName>
    <definedName name="_5143" localSheetId="1">#REF!</definedName>
    <definedName name="_5143" localSheetId="0">#REF!</definedName>
    <definedName name="_5143">#REF!</definedName>
    <definedName name="_5144" localSheetId="1">#REF!</definedName>
    <definedName name="_5144" localSheetId="0">#REF!</definedName>
    <definedName name="_5144">#REF!</definedName>
    <definedName name="_5145" localSheetId="1">#REF!</definedName>
    <definedName name="_5145" localSheetId="0">#REF!</definedName>
    <definedName name="_5145">#REF!</definedName>
    <definedName name="_5146" localSheetId="1">#REF!</definedName>
    <definedName name="_5146" localSheetId="0">#REF!</definedName>
    <definedName name="_5146">#REF!</definedName>
    <definedName name="_5147" localSheetId="1">#REF!</definedName>
    <definedName name="_5147" localSheetId="0">#REF!</definedName>
    <definedName name="_5147">#REF!</definedName>
    <definedName name="_5148" localSheetId="1">#REF!</definedName>
    <definedName name="_5148" localSheetId="0">#REF!</definedName>
    <definedName name="_5148">#REF!</definedName>
    <definedName name="_5149" localSheetId="1">#REF!</definedName>
    <definedName name="_5149" localSheetId="0">#REF!</definedName>
    <definedName name="_5149">#REF!</definedName>
    <definedName name="_5150" localSheetId="1">#REF!</definedName>
    <definedName name="_5150" localSheetId="0">#REF!</definedName>
    <definedName name="_5150">#REF!</definedName>
    <definedName name="_5151" localSheetId="1">#REF!</definedName>
    <definedName name="_5151" localSheetId="0">#REF!</definedName>
    <definedName name="_5151">#REF!</definedName>
    <definedName name="_5152" localSheetId="1">#REF!</definedName>
    <definedName name="_5152" localSheetId="0">#REF!</definedName>
    <definedName name="_5152">#REF!</definedName>
    <definedName name="_5153" localSheetId="1">#REF!</definedName>
    <definedName name="_5153" localSheetId="0">#REF!</definedName>
    <definedName name="_5153">#REF!</definedName>
    <definedName name="_5154" localSheetId="1">#REF!</definedName>
    <definedName name="_5154" localSheetId="0">#REF!</definedName>
    <definedName name="_5154">#REF!</definedName>
    <definedName name="_5155" localSheetId="1">#REF!</definedName>
    <definedName name="_5155" localSheetId="0">#REF!</definedName>
    <definedName name="_5155">#REF!</definedName>
    <definedName name="_5156" localSheetId="1">#REF!</definedName>
    <definedName name="_5156" localSheetId="0">#REF!</definedName>
    <definedName name="_5156">#REF!</definedName>
    <definedName name="_5157" localSheetId="1">#REF!</definedName>
    <definedName name="_5157" localSheetId="0">#REF!</definedName>
    <definedName name="_5157">#REF!</definedName>
    <definedName name="_5158" localSheetId="1">#REF!</definedName>
    <definedName name="_5158" localSheetId="0">#REF!</definedName>
    <definedName name="_5158">#REF!</definedName>
    <definedName name="_5159" localSheetId="1">#REF!</definedName>
    <definedName name="_5159" localSheetId="0">#REF!</definedName>
    <definedName name="_5159">#REF!</definedName>
    <definedName name="_5160" localSheetId="1">#REF!</definedName>
    <definedName name="_5160" localSheetId="0">#REF!</definedName>
    <definedName name="_5160">#REF!</definedName>
    <definedName name="_5161" localSheetId="1">#REF!</definedName>
    <definedName name="_5161" localSheetId="0">#REF!</definedName>
    <definedName name="_5161">#REF!</definedName>
    <definedName name="_5162" localSheetId="1">#REF!</definedName>
    <definedName name="_5162" localSheetId="0">#REF!</definedName>
    <definedName name="_5162">#REF!</definedName>
    <definedName name="_5163" localSheetId="1">#REF!</definedName>
    <definedName name="_5163" localSheetId="0">#REF!</definedName>
    <definedName name="_5163">#REF!</definedName>
    <definedName name="_5164" localSheetId="1">#REF!</definedName>
    <definedName name="_5164" localSheetId="0">#REF!</definedName>
    <definedName name="_5164">#REF!</definedName>
    <definedName name="_5165" localSheetId="1">#REF!</definedName>
    <definedName name="_5165" localSheetId="0">#REF!</definedName>
    <definedName name="_5165">#REF!</definedName>
    <definedName name="_5166" localSheetId="1">#REF!</definedName>
    <definedName name="_5166" localSheetId="0">#REF!</definedName>
    <definedName name="_5166">#REF!</definedName>
    <definedName name="_5167" localSheetId="1">#REF!</definedName>
    <definedName name="_5167" localSheetId="0">#REF!</definedName>
    <definedName name="_5167">#REF!</definedName>
    <definedName name="_5168" localSheetId="1">#REF!</definedName>
    <definedName name="_5168" localSheetId="0">#REF!</definedName>
    <definedName name="_5168">#REF!</definedName>
    <definedName name="_5169" localSheetId="1">#REF!</definedName>
    <definedName name="_5169" localSheetId="0">#REF!</definedName>
    <definedName name="_5169">#REF!</definedName>
    <definedName name="_5170" localSheetId="1">#REF!</definedName>
    <definedName name="_5170" localSheetId="0">#REF!</definedName>
    <definedName name="_5170">#REF!</definedName>
    <definedName name="_5171" localSheetId="1">#REF!</definedName>
    <definedName name="_5171" localSheetId="0">#REF!</definedName>
    <definedName name="_5171">#REF!</definedName>
    <definedName name="_5172" localSheetId="1">#REF!</definedName>
    <definedName name="_5172" localSheetId="0">#REF!</definedName>
    <definedName name="_5172">#REF!</definedName>
    <definedName name="_5173" localSheetId="1">#REF!</definedName>
    <definedName name="_5173" localSheetId="0">#REF!</definedName>
    <definedName name="_5173">#REF!</definedName>
    <definedName name="_5174" localSheetId="1">#REF!</definedName>
    <definedName name="_5174" localSheetId="0">#REF!</definedName>
    <definedName name="_5174">#REF!</definedName>
    <definedName name="_5175" localSheetId="1">#REF!</definedName>
    <definedName name="_5175" localSheetId="0">#REF!</definedName>
    <definedName name="_5175">#REF!</definedName>
    <definedName name="_5176" localSheetId="1">#REF!</definedName>
    <definedName name="_5176" localSheetId="0">#REF!</definedName>
    <definedName name="_5176">#REF!</definedName>
    <definedName name="_5177" localSheetId="1">#REF!</definedName>
    <definedName name="_5177" localSheetId="0">#REF!</definedName>
    <definedName name="_5177">#REF!</definedName>
    <definedName name="_5178" localSheetId="1">#REF!</definedName>
    <definedName name="_5178" localSheetId="0">#REF!</definedName>
    <definedName name="_5178">#REF!</definedName>
    <definedName name="_5179" localSheetId="1">#REF!</definedName>
    <definedName name="_5179" localSheetId="0">#REF!</definedName>
    <definedName name="_5179">#REF!</definedName>
    <definedName name="_5180" localSheetId="1">#REF!</definedName>
    <definedName name="_5180" localSheetId="0">#REF!</definedName>
    <definedName name="_5180">#REF!</definedName>
    <definedName name="_5181" localSheetId="1">#REF!</definedName>
    <definedName name="_5181" localSheetId="0">#REF!</definedName>
    <definedName name="_5181">#REF!</definedName>
    <definedName name="_5182" localSheetId="1">#REF!</definedName>
    <definedName name="_5182" localSheetId="0">#REF!</definedName>
    <definedName name="_5182">#REF!</definedName>
    <definedName name="_5183" localSheetId="1">#REF!</definedName>
    <definedName name="_5183" localSheetId="0">#REF!</definedName>
    <definedName name="_5183">#REF!</definedName>
    <definedName name="_5184" localSheetId="1">#REF!</definedName>
    <definedName name="_5184" localSheetId="0">#REF!</definedName>
    <definedName name="_5184">#REF!</definedName>
    <definedName name="_5185" localSheetId="1">#REF!</definedName>
    <definedName name="_5185" localSheetId="0">#REF!</definedName>
    <definedName name="_5185">#REF!</definedName>
    <definedName name="_5186" localSheetId="1">#REF!</definedName>
    <definedName name="_5186" localSheetId="0">#REF!</definedName>
    <definedName name="_5186">#REF!</definedName>
    <definedName name="_5187" localSheetId="1">#REF!</definedName>
    <definedName name="_5187" localSheetId="0">#REF!</definedName>
    <definedName name="_5187">#REF!</definedName>
    <definedName name="_5188" localSheetId="1">#REF!</definedName>
    <definedName name="_5188" localSheetId="0">#REF!</definedName>
    <definedName name="_5188">#REF!</definedName>
    <definedName name="_5189" localSheetId="1">#REF!</definedName>
    <definedName name="_5189" localSheetId="0">#REF!</definedName>
    <definedName name="_5189">#REF!</definedName>
    <definedName name="_5190" localSheetId="1">#REF!</definedName>
    <definedName name="_5190" localSheetId="0">#REF!</definedName>
    <definedName name="_5190">#REF!</definedName>
    <definedName name="_5191" localSheetId="1">#REF!</definedName>
    <definedName name="_5191" localSheetId="0">#REF!</definedName>
    <definedName name="_5191">#REF!</definedName>
    <definedName name="_5192" localSheetId="1">#REF!</definedName>
    <definedName name="_5192" localSheetId="0">#REF!</definedName>
    <definedName name="_5192">#REF!</definedName>
    <definedName name="_5193" localSheetId="1">#REF!</definedName>
    <definedName name="_5193" localSheetId="0">#REF!</definedName>
    <definedName name="_5193">#REF!</definedName>
    <definedName name="_5194" localSheetId="1">#REF!</definedName>
    <definedName name="_5194" localSheetId="0">#REF!</definedName>
    <definedName name="_5194">#REF!</definedName>
    <definedName name="_5195" localSheetId="1">#REF!</definedName>
    <definedName name="_5195" localSheetId="0">#REF!</definedName>
    <definedName name="_5195">#REF!</definedName>
    <definedName name="_5196" localSheetId="1">#REF!</definedName>
    <definedName name="_5196" localSheetId="0">#REF!</definedName>
    <definedName name="_5196">#REF!</definedName>
    <definedName name="_5197" localSheetId="1">#REF!</definedName>
    <definedName name="_5197" localSheetId="0">#REF!</definedName>
    <definedName name="_5197">#REF!</definedName>
    <definedName name="_5198" localSheetId="1">#REF!</definedName>
    <definedName name="_5198" localSheetId="0">#REF!</definedName>
    <definedName name="_5198">#REF!</definedName>
    <definedName name="_5199" localSheetId="1">#REF!</definedName>
    <definedName name="_5199" localSheetId="0">#REF!</definedName>
    <definedName name="_5199">#REF!</definedName>
    <definedName name="_5200" localSheetId="1">#REF!</definedName>
    <definedName name="_5200" localSheetId="0">#REF!</definedName>
    <definedName name="_5200">#REF!</definedName>
    <definedName name="_5201" localSheetId="1">#REF!</definedName>
    <definedName name="_5201" localSheetId="0">#REF!</definedName>
    <definedName name="_5201">#REF!</definedName>
    <definedName name="_5202" localSheetId="1">#REF!</definedName>
    <definedName name="_5202" localSheetId="0">#REF!</definedName>
    <definedName name="_5202">#REF!</definedName>
    <definedName name="_5203" localSheetId="1">#REF!</definedName>
    <definedName name="_5203" localSheetId="0">#REF!</definedName>
    <definedName name="_5203">#REF!</definedName>
    <definedName name="_5204" localSheetId="1">#REF!</definedName>
    <definedName name="_5204" localSheetId="0">#REF!</definedName>
    <definedName name="_5204">#REF!</definedName>
    <definedName name="_5205" localSheetId="1">#REF!</definedName>
    <definedName name="_5205" localSheetId="0">#REF!</definedName>
    <definedName name="_5205">#REF!</definedName>
    <definedName name="_5206" localSheetId="1">#REF!</definedName>
    <definedName name="_5206" localSheetId="0">#REF!</definedName>
    <definedName name="_5206">#REF!</definedName>
    <definedName name="_5207" localSheetId="1">#REF!</definedName>
    <definedName name="_5207" localSheetId="0">#REF!</definedName>
    <definedName name="_5207">#REF!</definedName>
    <definedName name="_5208" localSheetId="1">#REF!</definedName>
    <definedName name="_5208" localSheetId="0">#REF!</definedName>
    <definedName name="_5208">#REF!</definedName>
    <definedName name="_5209" localSheetId="1">#REF!</definedName>
    <definedName name="_5209" localSheetId="0">#REF!</definedName>
    <definedName name="_5209">#REF!</definedName>
    <definedName name="_5210" localSheetId="1">#REF!</definedName>
    <definedName name="_5210" localSheetId="0">#REF!</definedName>
    <definedName name="_5210">#REF!</definedName>
    <definedName name="_5211" localSheetId="1">#REF!</definedName>
    <definedName name="_5211" localSheetId="0">#REF!</definedName>
    <definedName name="_5211">#REF!</definedName>
    <definedName name="_5212" localSheetId="1">#REF!</definedName>
    <definedName name="_5212" localSheetId="0">#REF!</definedName>
    <definedName name="_5212">#REF!</definedName>
    <definedName name="_5213" localSheetId="1">#REF!</definedName>
    <definedName name="_5213" localSheetId="0">#REF!</definedName>
    <definedName name="_5213">#REF!</definedName>
    <definedName name="_5214" localSheetId="1">#REF!</definedName>
    <definedName name="_5214" localSheetId="0">#REF!</definedName>
    <definedName name="_5214">#REF!</definedName>
    <definedName name="_5215" localSheetId="1">#REF!</definedName>
    <definedName name="_5215" localSheetId="0">#REF!</definedName>
    <definedName name="_5215">#REF!</definedName>
    <definedName name="_5216" localSheetId="1">#REF!</definedName>
    <definedName name="_5216" localSheetId="0">#REF!</definedName>
    <definedName name="_5216">#REF!</definedName>
    <definedName name="_5217" localSheetId="1">#REF!</definedName>
    <definedName name="_5217" localSheetId="0">#REF!</definedName>
    <definedName name="_5217">#REF!</definedName>
    <definedName name="_5218" localSheetId="1">#REF!</definedName>
    <definedName name="_5218" localSheetId="0">#REF!</definedName>
    <definedName name="_5218">#REF!</definedName>
    <definedName name="_5219" localSheetId="1">#REF!</definedName>
    <definedName name="_5219" localSheetId="0">#REF!</definedName>
    <definedName name="_5219">#REF!</definedName>
    <definedName name="_5220" localSheetId="1">#REF!</definedName>
    <definedName name="_5220" localSheetId="0">#REF!</definedName>
    <definedName name="_5220">#REF!</definedName>
    <definedName name="_5221" localSheetId="1">#REF!</definedName>
    <definedName name="_5221" localSheetId="0">#REF!</definedName>
    <definedName name="_5221">#REF!</definedName>
    <definedName name="_5222" localSheetId="1">#REF!</definedName>
    <definedName name="_5222" localSheetId="0">#REF!</definedName>
    <definedName name="_5222">#REF!</definedName>
    <definedName name="_5223" localSheetId="1">#REF!</definedName>
    <definedName name="_5223" localSheetId="0">#REF!</definedName>
    <definedName name="_5223">#REF!</definedName>
    <definedName name="_5224" localSheetId="1">#REF!</definedName>
    <definedName name="_5224" localSheetId="0">#REF!</definedName>
    <definedName name="_5224">#REF!</definedName>
    <definedName name="_5225" localSheetId="1">#REF!</definedName>
    <definedName name="_5225" localSheetId="0">#REF!</definedName>
    <definedName name="_5225">#REF!</definedName>
    <definedName name="_5226" localSheetId="1">#REF!</definedName>
    <definedName name="_5226" localSheetId="0">#REF!</definedName>
    <definedName name="_5226">#REF!</definedName>
    <definedName name="_5227" localSheetId="1">#REF!</definedName>
    <definedName name="_5227" localSheetId="0">#REF!</definedName>
    <definedName name="_5227">#REF!</definedName>
    <definedName name="_5228" localSheetId="1">#REF!</definedName>
    <definedName name="_5228" localSheetId="0">#REF!</definedName>
    <definedName name="_5228">#REF!</definedName>
    <definedName name="_5229" localSheetId="1">#REF!</definedName>
    <definedName name="_5229" localSheetId="0">#REF!</definedName>
    <definedName name="_5229">#REF!</definedName>
    <definedName name="_5230" localSheetId="1">#REF!</definedName>
    <definedName name="_5230" localSheetId="0">#REF!</definedName>
    <definedName name="_5230">#REF!</definedName>
    <definedName name="_5231" localSheetId="1">#REF!</definedName>
    <definedName name="_5231" localSheetId="0">#REF!</definedName>
    <definedName name="_5231">#REF!</definedName>
    <definedName name="_5232" localSheetId="1">#REF!</definedName>
    <definedName name="_5232" localSheetId="0">#REF!</definedName>
    <definedName name="_5232">#REF!</definedName>
    <definedName name="_5233" localSheetId="1">#REF!</definedName>
    <definedName name="_5233" localSheetId="0">#REF!</definedName>
    <definedName name="_5233">#REF!</definedName>
    <definedName name="_5234" localSheetId="1">#REF!</definedName>
    <definedName name="_5234" localSheetId="0">#REF!</definedName>
    <definedName name="_5234">#REF!</definedName>
    <definedName name="_5235" localSheetId="1">#REF!</definedName>
    <definedName name="_5235" localSheetId="0">#REF!</definedName>
    <definedName name="_5235">#REF!</definedName>
    <definedName name="_5236" localSheetId="1">#REF!</definedName>
    <definedName name="_5236" localSheetId="0">#REF!</definedName>
    <definedName name="_5236">#REF!</definedName>
    <definedName name="_5237" localSheetId="1">#REF!</definedName>
    <definedName name="_5237" localSheetId="0">#REF!</definedName>
    <definedName name="_5237">#REF!</definedName>
    <definedName name="_5238" localSheetId="1">#REF!</definedName>
    <definedName name="_5238" localSheetId="0">#REF!</definedName>
    <definedName name="_5238">#REF!</definedName>
    <definedName name="_5239" localSheetId="1">#REF!</definedName>
    <definedName name="_5239" localSheetId="0">#REF!</definedName>
    <definedName name="_5239">#REF!</definedName>
    <definedName name="_5240" localSheetId="1">#REF!</definedName>
    <definedName name="_5240" localSheetId="0">#REF!</definedName>
    <definedName name="_5240">#REF!</definedName>
    <definedName name="_5241" localSheetId="1">#REF!</definedName>
    <definedName name="_5241" localSheetId="0">#REF!</definedName>
    <definedName name="_5241">#REF!</definedName>
    <definedName name="_5242" localSheetId="1">#REF!</definedName>
    <definedName name="_5242" localSheetId="0">#REF!</definedName>
    <definedName name="_5242">#REF!</definedName>
    <definedName name="_5243" localSheetId="1">#REF!</definedName>
    <definedName name="_5243" localSheetId="0">#REF!</definedName>
    <definedName name="_5243">#REF!</definedName>
    <definedName name="_5244" localSheetId="1">#REF!</definedName>
    <definedName name="_5244" localSheetId="0">#REF!</definedName>
    <definedName name="_5244">#REF!</definedName>
    <definedName name="_5245" localSheetId="1">#REF!</definedName>
    <definedName name="_5245" localSheetId="0">#REF!</definedName>
    <definedName name="_5245">#REF!</definedName>
    <definedName name="_5246" localSheetId="1">#REF!</definedName>
    <definedName name="_5246" localSheetId="0">#REF!</definedName>
    <definedName name="_5246">#REF!</definedName>
    <definedName name="_5247" localSheetId="1">#REF!</definedName>
    <definedName name="_5247" localSheetId="0">#REF!</definedName>
    <definedName name="_5247">#REF!</definedName>
    <definedName name="_5248" localSheetId="1">#REF!</definedName>
    <definedName name="_5248" localSheetId="0">#REF!</definedName>
    <definedName name="_5248">#REF!</definedName>
    <definedName name="_5249" localSheetId="1">#REF!</definedName>
    <definedName name="_5249" localSheetId="0">#REF!</definedName>
    <definedName name="_5249">#REF!</definedName>
    <definedName name="_5250" localSheetId="1">#REF!</definedName>
    <definedName name="_5250" localSheetId="0">#REF!</definedName>
    <definedName name="_5250">#REF!</definedName>
    <definedName name="_5251" localSheetId="1">#REF!</definedName>
    <definedName name="_5251" localSheetId="0">#REF!</definedName>
    <definedName name="_5251">#REF!</definedName>
    <definedName name="_5252" localSheetId="1">#REF!</definedName>
    <definedName name="_5252" localSheetId="0">#REF!</definedName>
    <definedName name="_5252">#REF!</definedName>
    <definedName name="_5253" localSheetId="1">#REF!</definedName>
    <definedName name="_5253" localSheetId="0">#REF!</definedName>
    <definedName name="_5253">#REF!</definedName>
    <definedName name="_5254" localSheetId="1">#REF!</definedName>
    <definedName name="_5254" localSheetId="0">#REF!</definedName>
    <definedName name="_5254">#REF!</definedName>
    <definedName name="_5255" localSheetId="1">#REF!</definedName>
    <definedName name="_5255" localSheetId="0">#REF!</definedName>
    <definedName name="_5255">#REF!</definedName>
    <definedName name="_5256" localSheetId="1">#REF!</definedName>
    <definedName name="_5256" localSheetId="0">#REF!</definedName>
    <definedName name="_5256">#REF!</definedName>
    <definedName name="_5257" localSheetId="1">#REF!</definedName>
    <definedName name="_5257" localSheetId="0">#REF!</definedName>
    <definedName name="_5257">#REF!</definedName>
    <definedName name="_5258" localSheetId="1">#REF!</definedName>
    <definedName name="_5258" localSheetId="0">#REF!</definedName>
    <definedName name="_5258">#REF!</definedName>
    <definedName name="_5259" localSheetId="1">#REF!</definedName>
    <definedName name="_5259" localSheetId="0">#REF!</definedName>
    <definedName name="_5259">#REF!</definedName>
    <definedName name="_5260" localSheetId="1">#REF!</definedName>
    <definedName name="_5260" localSheetId="0">#REF!</definedName>
    <definedName name="_5260">#REF!</definedName>
    <definedName name="_5261" localSheetId="1">#REF!</definedName>
    <definedName name="_5261" localSheetId="0">#REF!</definedName>
    <definedName name="_5261">#REF!</definedName>
    <definedName name="_5262" localSheetId="1">#REF!</definedName>
    <definedName name="_5262" localSheetId="0">#REF!</definedName>
    <definedName name="_5262">#REF!</definedName>
    <definedName name="_5263" localSheetId="1">#REF!</definedName>
    <definedName name="_5263" localSheetId="0">#REF!</definedName>
    <definedName name="_5263">#REF!</definedName>
    <definedName name="_5264" localSheetId="1">#REF!</definedName>
    <definedName name="_5264" localSheetId="0">#REF!</definedName>
    <definedName name="_5264">#REF!</definedName>
    <definedName name="_5265" localSheetId="1">#REF!</definedName>
    <definedName name="_5265" localSheetId="0">#REF!</definedName>
    <definedName name="_5265">#REF!</definedName>
    <definedName name="_5266" localSheetId="1">#REF!</definedName>
    <definedName name="_5266" localSheetId="0">#REF!</definedName>
    <definedName name="_5266">#REF!</definedName>
    <definedName name="_5267" localSheetId="1">#REF!</definedName>
    <definedName name="_5267" localSheetId="0">#REF!</definedName>
    <definedName name="_5267">#REF!</definedName>
    <definedName name="_5268" localSheetId="1">#REF!</definedName>
    <definedName name="_5268" localSheetId="0">#REF!</definedName>
    <definedName name="_5268">#REF!</definedName>
    <definedName name="_5269" localSheetId="1">#REF!</definedName>
    <definedName name="_5269" localSheetId="0">#REF!</definedName>
    <definedName name="_5269">#REF!</definedName>
    <definedName name="_5270" localSheetId="1">#REF!</definedName>
    <definedName name="_5270" localSheetId="0">#REF!</definedName>
    <definedName name="_5270">#REF!</definedName>
    <definedName name="_5271" localSheetId="1">#REF!</definedName>
    <definedName name="_5271" localSheetId="0">#REF!</definedName>
    <definedName name="_5271">#REF!</definedName>
    <definedName name="_5272" localSheetId="1">#REF!</definedName>
    <definedName name="_5272" localSheetId="0">#REF!</definedName>
    <definedName name="_5272">#REF!</definedName>
    <definedName name="_5273" localSheetId="1">#REF!</definedName>
    <definedName name="_5273" localSheetId="0">#REF!</definedName>
    <definedName name="_5273">#REF!</definedName>
    <definedName name="_5274" localSheetId="1">#REF!</definedName>
    <definedName name="_5274" localSheetId="0">#REF!</definedName>
    <definedName name="_5274">#REF!</definedName>
    <definedName name="_5275" localSheetId="1">#REF!</definedName>
    <definedName name="_5275" localSheetId="0">#REF!</definedName>
    <definedName name="_5275">#REF!</definedName>
    <definedName name="_5276" localSheetId="1">#REF!</definedName>
    <definedName name="_5276" localSheetId="0">#REF!</definedName>
    <definedName name="_5276">#REF!</definedName>
    <definedName name="_5277" localSheetId="1">#REF!</definedName>
    <definedName name="_5277" localSheetId="0">#REF!</definedName>
    <definedName name="_5277">#REF!</definedName>
    <definedName name="_5278" localSheetId="1">#REF!</definedName>
    <definedName name="_5278" localSheetId="0">#REF!</definedName>
    <definedName name="_5278">#REF!</definedName>
    <definedName name="_5279" localSheetId="1">#REF!</definedName>
    <definedName name="_5279" localSheetId="0">#REF!</definedName>
    <definedName name="_5279">#REF!</definedName>
    <definedName name="_5280" localSheetId="1">#REF!</definedName>
    <definedName name="_5280" localSheetId="0">#REF!</definedName>
    <definedName name="_5280">#REF!</definedName>
    <definedName name="_5281" localSheetId="1">#REF!</definedName>
    <definedName name="_5281" localSheetId="0">#REF!</definedName>
    <definedName name="_5281">#REF!</definedName>
    <definedName name="_5282" localSheetId="1">#REF!</definedName>
    <definedName name="_5282" localSheetId="0">#REF!</definedName>
    <definedName name="_5282">#REF!</definedName>
    <definedName name="_5283" localSheetId="1">#REF!</definedName>
    <definedName name="_5283" localSheetId="0">#REF!</definedName>
    <definedName name="_5283">#REF!</definedName>
    <definedName name="_5284" localSheetId="1">#REF!</definedName>
    <definedName name="_5284" localSheetId="0">#REF!</definedName>
    <definedName name="_5284">#REF!</definedName>
    <definedName name="_5285" localSheetId="1">#REF!</definedName>
    <definedName name="_5285" localSheetId="0">#REF!</definedName>
    <definedName name="_5285">#REF!</definedName>
    <definedName name="_5286" localSheetId="1">#REF!</definedName>
    <definedName name="_5286" localSheetId="0">#REF!</definedName>
    <definedName name="_5286">#REF!</definedName>
    <definedName name="_5287" localSheetId="1">#REF!</definedName>
    <definedName name="_5287" localSheetId="0">#REF!</definedName>
    <definedName name="_5287">#REF!</definedName>
    <definedName name="_5288" localSheetId="1">#REF!</definedName>
    <definedName name="_5288" localSheetId="0">#REF!</definedName>
    <definedName name="_5288">#REF!</definedName>
    <definedName name="_5289" localSheetId="1">#REF!</definedName>
    <definedName name="_5289" localSheetId="0">#REF!</definedName>
    <definedName name="_5289">#REF!</definedName>
    <definedName name="_5290" localSheetId="1">#REF!</definedName>
    <definedName name="_5290" localSheetId="0">#REF!</definedName>
    <definedName name="_5290">#REF!</definedName>
    <definedName name="_5291" localSheetId="1">#REF!</definedName>
    <definedName name="_5291" localSheetId="0">#REF!</definedName>
    <definedName name="_5291">#REF!</definedName>
    <definedName name="_5292" localSheetId="1">#REF!</definedName>
    <definedName name="_5292" localSheetId="0">#REF!</definedName>
    <definedName name="_5292">#REF!</definedName>
    <definedName name="_5293" localSheetId="1">#REF!</definedName>
    <definedName name="_5293" localSheetId="0">#REF!</definedName>
    <definedName name="_5293">#REF!</definedName>
    <definedName name="_5294" localSheetId="1">#REF!</definedName>
    <definedName name="_5294" localSheetId="0">#REF!</definedName>
    <definedName name="_5294">#REF!</definedName>
    <definedName name="_5295" localSheetId="1">#REF!</definedName>
    <definedName name="_5295" localSheetId="0">#REF!</definedName>
    <definedName name="_5295">#REF!</definedName>
    <definedName name="_5296" localSheetId="1">#REF!</definedName>
    <definedName name="_5296" localSheetId="0">#REF!</definedName>
    <definedName name="_5296">#REF!</definedName>
    <definedName name="_5297" localSheetId="1">#REF!</definedName>
    <definedName name="_5297" localSheetId="0">#REF!</definedName>
    <definedName name="_5297">#REF!</definedName>
    <definedName name="_5298" localSheetId="1">#REF!</definedName>
    <definedName name="_5298" localSheetId="0">#REF!</definedName>
    <definedName name="_5298">#REF!</definedName>
    <definedName name="_5299" localSheetId="1">#REF!</definedName>
    <definedName name="_5299" localSheetId="0">#REF!</definedName>
    <definedName name="_5299">#REF!</definedName>
    <definedName name="_5300" localSheetId="1">#REF!</definedName>
    <definedName name="_5300" localSheetId="0">#REF!</definedName>
    <definedName name="_5300">#REF!</definedName>
    <definedName name="_5301" localSheetId="1">#REF!</definedName>
    <definedName name="_5301" localSheetId="0">#REF!</definedName>
    <definedName name="_5301">#REF!</definedName>
    <definedName name="_5302" localSheetId="1">#REF!</definedName>
    <definedName name="_5302" localSheetId="0">#REF!</definedName>
    <definedName name="_5302">#REF!</definedName>
    <definedName name="_5303" localSheetId="1">#REF!</definedName>
    <definedName name="_5303" localSheetId="0">#REF!</definedName>
    <definedName name="_5303">#REF!</definedName>
    <definedName name="_5304" localSheetId="1">#REF!</definedName>
    <definedName name="_5304" localSheetId="0">#REF!</definedName>
    <definedName name="_5304">#REF!</definedName>
    <definedName name="_5305" localSheetId="1">#REF!</definedName>
    <definedName name="_5305" localSheetId="0">#REF!</definedName>
    <definedName name="_5305">#REF!</definedName>
    <definedName name="_5306" localSheetId="1">#REF!</definedName>
    <definedName name="_5306" localSheetId="0">#REF!</definedName>
    <definedName name="_5306">#REF!</definedName>
    <definedName name="_5307" localSheetId="1">#REF!</definedName>
    <definedName name="_5307" localSheetId="0">#REF!</definedName>
    <definedName name="_5307">#REF!</definedName>
    <definedName name="_5308" localSheetId="1">#REF!</definedName>
    <definedName name="_5308" localSheetId="0">#REF!</definedName>
    <definedName name="_5308">#REF!</definedName>
    <definedName name="_5309" localSheetId="1">#REF!</definedName>
    <definedName name="_5309" localSheetId="0">#REF!</definedName>
    <definedName name="_5309">#REF!</definedName>
    <definedName name="_5310" localSheetId="1">#REF!</definedName>
    <definedName name="_5310" localSheetId="0">#REF!</definedName>
    <definedName name="_5310">#REF!</definedName>
    <definedName name="_5311" localSheetId="1">#REF!</definedName>
    <definedName name="_5311" localSheetId="0">#REF!</definedName>
    <definedName name="_5311">#REF!</definedName>
    <definedName name="_5312" localSheetId="1">#REF!</definedName>
    <definedName name="_5312" localSheetId="0">#REF!</definedName>
    <definedName name="_5312">#REF!</definedName>
    <definedName name="_5314" localSheetId="1">#REF!</definedName>
    <definedName name="_5314" localSheetId="0">#REF!</definedName>
    <definedName name="_5314">#REF!</definedName>
    <definedName name="_5315" localSheetId="1">#REF!</definedName>
    <definedName name="_5315" localSheetId="0">#REF!</definedName>
    <definedName name="_5315">#REF!</definedName>
    <definedName name="_5316" localSheetId="1">#REF!</definedName>
    <definedName name="_5316" localSheetId="0">#REF!</definedName>
    <definedName name="_5316">#REF!</definedName>
    <definedName name="_5317" localSheetId="1">#REF!</definedName>
    <definedName name="_5317" localSheetId="0">#REF!</definedName>
    <definedName name="_5317">#REF!</definedName>
    <definedName name="_5318" localSheetId="1">#REF!</definedName>
    <definedName name="_5318" localSheetId="0">#REF!</definedName>
    <definedName name="_5318">#REF!</definedName>
    <definedName name="_5319" localSheetId="1">#REF!</definedName>
    <definedName name="_5319" localSheetId="0">#REF!</definedName>
    <definedName name="_5319">#REF!</definedName>
    <definedName name="_5320" localSheetId="1">#REF!</definedName>
    <definedName name="_5320" localSheetId="0">#REF!</definedName>
    <definedName name="_5320">#REF!</definedName>
    <definedName name="_5321" localSheetId="1">#REF!</definedName>
    <definedName name="_5321" localSheetId="0">#REF!</definedName>
    <definedName name="_5321">#REF!</definedName>
    <definedName name="_5322" localSheetId="1">#REF!</definedName>
    <definedName name="_5322" localSheetId="0">#REF!</definedName>
    <definedName name="_5322">#REF!</definedName>
    <definedName name="_5323" localSheetId="1">#REF!</definedName>
    <definedName name="_5323" localSheetId="0">#REF!</definedName>
    <definedName name="_5323">#REF!</definedName>
    <definedName name="_5324" localSheetId="1">#REF!</definedName>
    <definedName name="_5324" localSheetId="0">#REF!</definedName>
    <definedName name="_5324">#REF!</definedName>
    <definedName name="_5325" localSheetId="1">#REF!</definedName>
    <definedName name="_5325" localSheetId="0">#REF!</definedName>
    <definedName name="_5325">#REF!</definedName>
    <definedName name="_5326" localSheetId="1">#REF!</definedName>
    <definedName name="_5326" localSheetId="0">#REF!</definedName>
    <definedName name="_5326">#REF!</definedName>
    <definedName name="_5327" localSheetId="1">#REF!</definedName>
    <definedName name="_5327" localSheetId="0">#REF!</definedName>
    <definedName name="_5327">#REF!</definedName>
    <definedName name="_5328" localSheetId="1">#REF!</definedName>
    <definedName name="_5328" localSheetId="0">#REF!</definedName>
    <definedName name="_5328">#REF!</definedName>
    <definedName name="_5329" localSheetId="1">#REF!</definedName>
    <definedName name="_5329" localSheetId="0">#REF!</definedName>
    <definedName name="_5329">#REF!</definedName>
    <definedName name="_5330" localSheetId="1">#REF!</definedName>
    <definedName name="_5330" localSheetId="0">#REF!</definedName>
    <definedName name="_5330">#REF!</definedName>
    <definedName name="_5331" localSheetId="1">#REF!</definedName>
    <definedName name="_5331" localSheetId="0">#REF!</definedName>
    <definedName name="_5331">#REF!</definedName>
    <definedName name="_5332" localSheetId="1">#REF!</definedName>
    <definedName name="_5332" localSheetId="0">#REF!</definedName>
    <definedName name="_5332">#REF!</definedName>
    <definedName name="_5333" localSheetId="1">#REF!</definedName>
    <definedName name="_5333" localSheetId="0">#REF!</definedName>
    <definedName name="_5333">#REF!</definedName>
    <definedName name="_5334" localSheetId="1">#REF!</definedName>
    <definedName name="_5334" localSheetId="0">#REF!</definedName>
    <definedName name="_5334">#REF!</definedName>
    <definedName name="_5335" localSheetId="1">#REF!</definedName>
    <definedName name="_5335" localSheetId="0">#REF!</definedName>
    <definedName name="_5335">#REF!</definedName>
    <definedName name="_5336" localSheetId="1">#REF!</definedName>
    <definedName name="_5336" localSheetId="0">#REF!</definedName>
    <definedName name="_5336">#REF!</definedName>
    <definedName name="_5337" localSheetId="1">#REF!</definedName>
    <definedName name="_5337" localSheetId="0">#REF!</definedName>
    <definedName name="_5337">#REF!</definedName>
    <definedName name="_5338" localSheetId="1">#REF!</definedName>
    <definedName name="_5338" localSheetId="0">#REF!</definedName>
    <definedName name="_5338">#REF!</definedName>
    <definedName name="_5339" localSheetId="1">#REF!</definedName>
    <definedName name="_5339" localSheetId="0">#REF!</definedName>
    <definedName name="_5339">#REF!</definedName>
    <definedName name="_5340" localSheetId="1">#REF!</definedName>
    <definedName name="_5340" localSheetId="0">#REF!</definedName>
    <definedName name="_5340">#REF!</definedName>
    <definedName name="_5341" localSheetId="1">#REF!</definedName>
    <definedName name="_5341" localSheetId="0">#REF!</definedName>
    <definedName name="_5341">#REF!</definedName>
    <definedName name="_5342" localSheetId="1">#REF!</definedName>
    <definedName name="_5342" localSheetId="0">#REF!</definedName>
    <definedName name="_5342">#REF!</definedName>
    <definedName name="_5343" localSheetId="1">#REF!</definedName>
    <definedName name="_5343" localSheetId="0">#REF!</definedName>
    <definedName name="_5343">#REF!</definedName>
    <definedName name="_5344" localSheetId="1">#REF!</definedName>
    <definedName name="_5344" localSheetId="0">#REF!</definedName>
    <definedName name="_5344">#REF!</definedName>
    <definedName name="_5345" localSheetId="1">#REF!</definedName>
    <definedName name="_5345" localSheetId="0">#REF!</definedName>
    <definedName name="_5345">#REF!</definedName>
    <definedName name="_5346" localSheetId="1">#REF!</definedName>
    <definedName name="_5346" localSheetId="0">#REF!</definedName>
    <definedName name="_5346">#REF!</definedName>
    <definedName name="_5347" localSheetId="1">#REF!</definedName>
    <definedName name="_5347" localSheetId="0">#REF!</definedName>
    <definedName name="_5347">#REF!</definedName>
    <definedName name="_5348" localSheetId="1">#REF!</definedName>
    <definedName name="_5348" localSheetId="0">#REF!</definedName>
    <definedName name="_5348">#REF!</definedName>
    <definedName name="_5349" localSheetId="1">#REF!</definedName>
    <definedName name="_5349" localSheetId="0">#REF!</definedName>
    <definedName name="_5349">#REF!</definedName>
    <definedName name="_5350" localSheetId="1">#REF!</definedName>
    <definedName name="_5350" localSheetId="0">#REF!</definedName>
    <definedName name="_5350">#REF!</definedName>
    <definedName name="_5351" localSheetId="1">#REF!</definedName>
    <definedName name="_5351" localSheetId="0">#REF!</definedName>
    <definedName name="_5351">#REF!</definedName>
    <definedName name="_5352" localSheetId="1">#REF!</definedName>
    <definedName name="_5352" localSheetId="0">#REF!</definedName>
    <definedName name="_5352">#REF!</definedName>
    <definedName name="_5353" localSheetId="1">#REF!</definedName>
    <definedName name="_5353" localSheetId="0">#REF!</definedName>
    <definedName name="_5353">#REF!</definedName>
    <definedName name="_5354" localSheetId="1">#REF!</definedName>
    <definedName name="_5354" localSheetId="0">#REF!</definedName>
    <definedName name="_5354">#REF!</definedName>
    <definedName name="_5355" localSheetId="1">#REF!</definedName>
    <definedName name="_5355" localSheetId="0">#REF!</definedName>
    <definedName name="_5355">#REF!</definedName>
    <definedName name="_5356" localSheetId="1">#REF!</definedName>
    <definedName name="_5356" localSheetId="0">#REF!</definedName>
    <definedName name="_5356">#REF!</definedName>
    <definedName name="_5357" localSheetId="1">#REF!</definedName>
    <definedName name="_5357" localSheetId="0">#REF!</definedName>
    <definedName name="_5357">#REF!</definedName>
    <definedName name="_5358" localSheetId="1">#REF!</definedName>
    <definedName name="_5358" localSheetId="0">#REF!</definedName>
    <definedName name="_5358">#REF!</definedName>
    <definedName name="_5359" localSheetId="1">#REF!</definedName>
    <definedName name="_5359" localSheetId="0">#REF!</definedName>
    <definedName name="_5359">#REF!</definedName>
    <definedName name="_5360" localSheetId="1">#REF!</definedName>
    <definedName name="_5360" localSheetId="0">#REF!</definedName>
    <definedName name="_5360">#REF!</definedName>
    <definedName name="_5361" localSheetId="1">#REF!</definedName>
    <definedName name="_5361" localSheetId="0">#REF!</definedName>
    <definedName name="_5361">#REF!</definedName>
    <definedName name="_5362" localSheetId="1">#REF!</definedName>
    <definedName name="_5362" localSheetId="0">#REF!</definedName>
    <definedName name="_5362">#REF!</definedName>
    <definedName name="_5363" localSheetId="1">#REF!</definedName>
    <definedName name="_5363" localSheetId="0">#REF!</definedName>
    <definedName name="_5363">#REF!</definedName>
    <definedName name="_5364" localSheetId="1">#REF!</definedName>
    <definedName name="_5364" localSheetId="0">#REF!</definedName>
    <definedName name="_5364">#REF!</definedName>
    <definedName name="_5365" localSheetId="1">#REF!</definedName>
    <definedName name="_5365" localSheetId="0">#REF!</definedName>
    <definedName name="_5365">#REF!</definedName>
    <definedName name="_5366" localSheetId="1">#REF!</definedName>
    <definedName name="_5366" localSheetId="0">#REF!</definedName>
    <definedName name="_5366">#REF!</definedName>
    <definedName name="_5367" localSheetId="1">#REF!</definedName>
    <definedName name="_5367" localSheetId="0">#REF!</definedName>
    <definedName name="_5367">#REF!</definedName>
    <definedName name="_5368" localSheetId="1">#REF!</definedName>
    <definedName name="_5368" localSheetId="0">#REF!</definedName>
    <definedName name="_5368">#REF!</definedName>
    <definedName name="_5369" localSheetId="1">#REF!</definedName>
    <definedName name="_5369" localSheetId="0">#REF!</definedName>
    <definedName name="_5369">#REF!</definedName>
    <definedName name="_5370" localSheetId="1">#REF!</definedName>
    <definedName name="_5370" localSheetId="0">#REF!</definedName>
    <definedName name="_5370">#REF!</definedName>
    <definedName name="_5371" localSheetId="1">#REF!</definedName>
    <definedName name="_5371" localSheetId="0">#REF!</definedName>
    <definedName name="_5371">#REF!</definedName>
    <definedName name="_5372" localSheetId="1">#REF!</definedName>
    <definedName name="_5372" localSheetId="0">#REF!</definedName>
    <definedName name="_5372">#REF!</definedName>
    <definedName name="_5373" localSheetId="1">#REF!</definedName>
    <definedName name="_5373" localSheetId="0">#REF!</definedName>
    <definedName name="_5373">#REF!</definedName>
    <definedName name="_5374" localSheetId="1">#REF!</definedName>
    <definedName name="_5374" localSheetId="0">#REF!</definedName>
    <definedName name="_5374">#REF!</definedName>
    <definedName name="_5375" localSheetId="1">#REF!</definedName>
    <definedName name="_5375" localSheetId="0">#REF!</definedName>
    <definedName name="_5375">#REF!</definedName>
    <definedName name="_5376" localSheetId="1">#REF!</definedName>
    <definedName name="_5376" localSheetId="0">#REF!</definedName>
    <definedName name="_5376">#REF!</definedName>
    <definedName name="_5377" localSheetId="1">#REF!</definedName>
    <definedName name="_5377" localSheetId="0">#REF!</definedName>
    <definedName name="_5377">#REF!</definedName>
    <definedName name="_5378" localSheetId="1">#REF!</definedName>
    <definedName name="_5378" localSheetId="0">#REF!</definedName>
    <definedName name="_5378">#REF!</definedName>
    <definedName name="_5379" localSheetId="1">#REF!</definedName>
    <definedName name="_5379" localSheetId="0">#REF!</definedName>
    <definedName name="_5379">#REF!</definedName>
    <definedName name="_5380" localSheetId="1">#REF!</definedName>
    <definedName name="_5380" localSheetId="0">#REF!</definedName>
    <definedName name="_5380">#REF!</definedName>
    <definedName name="_5381" localSheetId="1">#REF!</definedName>
    <definedName name="_5381" localSheetId="0">#REF!</definedName>
    <definedName name="_5381">#REF!</definedName>
    <definedName name="_5382" localSheetId="1">#REF!</definedName>
    <definedName name="_5382" localSheetId="0">#REF!</definedName>
    <definedName name="_5382">#REF!</definedName>
    <definedName name="_5383" localSheetId="1">#REF!</definedName>
    <definedName name="_5383" localSheetId="0">#REF!</definedName>
    <definedName name="_5383">#REF!</definedName>
    <definedName name="_5384" localSheetId="1">#REF!</definedName>
    <definedName name="_5384" localSheetId="0">#REF!</definedName>
    <definedName name="_5384">#REF!</definedName>
    <definedName name="_5Excel_BuiltIn_Print_Area_3_1" localSheetId="1">#REF!</definedName>
    <definedName name="_5Excel_BuiltIn_Print_Area_3_1" localSheetId="0">#REF!</definedName>
    <definedName name="_5Excel_BuiltIn_Print_Area_3_1">#REF!</definedName>
    <definedName name="_61Excel_BuiltIn_Print_Titles_6_1" localSheetId="1">#REF!</definedName>
    <definedName name="_61Excel_BuiltIn_Print_Titles_6_1" localSheetId="0">#REF!</definedName>
    <definedName name="_61Excel_BuiltIn_Print_Titles_6_1">#REF!</definedName>
    <definedName name="_6Excel_BuiltIn_Print_Area_3_1_1_1_1_1" localSheetId="1">#REF!</definedName>
    <definedName name="_6Excel_BuiltIn_Print_Area_3_1_1_1_1_1" localSheetId="0">#REF!</definedName>
    <definedName name="_6Excel_BuiltIn_Print_Area_3_1_1_1_1_1">#REF!</definedName>
    <definedName name="_72Excel_BuiltIn_Print_Titles_7_1" localSheetId="1">#REF!</definedName>
    <definedName name="_72Excel_BuiltIn_Print_Titles_7_1" localSheetId="0">#REF!</definedName>
    <definedName name="_72Excel_BuiltIn_Print_Titles_7_1">#REF!</definedName>
    <definedName name="_7Excel_BuiltIn_Print_Area_4_1" localSheetId="1">#REF!</definedName>
    <definedName name="_7Excel_BuiltIn_Print_Area_4_1" localSheetId="0">#REF!</definedName>
    <definedName name="_7Excel_BuiltIn_Print_Area_4_1">#REF!</definedName>
    <definedName name="_83Excel_BuiltIn_Print_Titles_9_1" localSheetId="1">#REF!</definedName>
    <definedName name="_83Excel_BuiltIn_Print_Titles_9_1" localSheetId="0">#REF!</definedName>
    <definedName name="_83Excel_BuiltIn_Print_Titles_9_1">#REF!</definedName>
    <definedName name="_8Excel_BuiltIn_Print_Area_4_1" localSheetId="1">#REF!</definedName>
    <definedName name="_8Excel_BuiltIn_Print_Area_4_1" localSheetId="0">#REF!</definedName>
    <definedName name="_8Excel_BuiltIn_Print_Area_4_1">#REF!</definedName>
    <definedName name="_8Excel_BuiltIn_Print_Area_5_1" localSheetId="1">#REF!</definedName>
    <definedName name="_8Excel_BuiltIn_Print_Area_5_1" localSheetId="0">#REF!</definedName>
    <definedName name="_8Excel_BuiltIn_Print_Area_5_1">#REF!</definedName>
    <definedName name="_9Excel_BuiltIn_Print_Area_6_1" localSheetId="1">#REF!</definedName>
    <definedName name="_9Excel_BuiltIn_Print_Area_6_1" localSheetId="0">#REF!</definedName>
    <definedName name="_9Excel_BuiltIn_Print_Area_6_1">#REF!</definedName>
    <definedName name="_aaa1" localSheetId="1">#REF!</definedName>
    <definedName name="_aaa1" localSheetId="0">#REF!</definedName>
    <definedName name="_aaa1">#REF!</definedName>
    <definedName name="_aaa2" localSheetId="1">#REF!</definedName>
    <definedName name="_aaa2" localSheetId="0">#REF!</definedName>
    <definedName name="_aaa2">#REF!</definedName>
    <definedName name="_apf1" localSheetId="1">#REF!</definedName>
    <definedName name="_apf1" localSheetId="0">#REF!</definedName>
    <definedName name="_apf1">#REF!</definedName>
    <definedName name="_cpf1" localSheetId="1">#REF!</definedName>
    <definedName name="_cpf1" localSheetId="0">#REF!</definedName>
    <definedName name="_cpf1">#REF!</definedName>
    <definedName name="_For01" localSheetId="1">#REF!</definedName>
    <definedName name="_For01" localSheetId="0">#REF!</definedName>
    <definedName name="_For01">#REF!</definedName>
    <definedName name="_int01" localSheetId="1">#REF!</definedName>
    <definedName name="_int01" localSheetId="0">#REF!</definedName>
    <definedName name="_int01">#REF!</definedName>
    <definedName name="_int02" localSheetId="1">#REF!</definedName>
    <definedName name="_int02" localSheetId="0">#REF!</definedName>
    <definedName name="_int02">#REF!</definedName>
    <definedName name="_int03" localSheetId="1">#REF!</definedName>
    <definedName name="_int03" localSheetId="0">#REF!</definedName>
    <definedName name="_int03">#REF!</definedName>
    <definedName name="_int04" localSheetId="1">#REF!</definedName>
    <definedName name="_int04" localSheetId="0">#REF!</definedName>
    <definedName name="_int04">#REF!</definedName>
    <definedName name="_int05" localSheetId="1">#REF!</definedName>
    <definedName name="_int05" localSheetId="0">#REF!</definedName>
    <definedName name="_int05">#REF!</definedName>
    <definedName name="_lim01" localSheetId="1">#REF!</definedName>
    <definedName name="_lim01" localSheetId="0">#REF!</definedName>
    <definedName name="_lim01">#REF!</definedName>
    <definedName name="_Order1" hidden="1">0</definedName>
    <definedName name="_Order2" hidden="1">0</definedName>
    <definedName name="_POS21" localSheetId="1">#REF!</definedName>
    <definedName name="_POS21" localSheetId="0">#REF!</definedName>
    <definedName name="_POS21">#REF!</definedName>
    <definedName name="_Regression_Int">1</definedName>
    <definedName name="_s" localSheetId="1">#REF!</definedName>
    <definedName name="_s" localSheetId="0">#REF!</definedName>
    <definedName name="_s">#REF!</definedName>
    <definedName name="_z" localSheetId="1">#REF!</definedName>
    <definedName name="_z" localSheetId="0">#REF!</definedName>
    <definedName name="_z">#REF!</definedName>
    <definedName name="a" localSheetId="1">#REF!</definedName>
    <definedName name="a" localSheetId="0">#REF!</definedName>
    <definedName name="a">#REF!</definedName>
    <definedName name="AA" localSheetId="1">#REF!</definedName>
    <definedName name="AA" localSheetId="0">#REF!</definedName>
    <definedName name="AA">#REF!</definedName>
    <definedName name="AAA" localSheetId="1">#REF!</definedName>
    <definedName name="AAA" localSheetId="0">#REF!</definedName>
    <definedName name="AAA">#REF!</definedName>
    <definedName name="aaaa" localSheetId="1">#REF!</definedName>
    <definedName name="aaaa" localSheetId="0">#REF!</definedName>
    <definedName name="aaaa">#REF!</definedName>
    <definedName name="abc" localSheetId="1">#REF!</definedName>
    <definedName name="abc" localSheetId="0">#REF!</definedName>
    <definedName name="abc">#REF!</definedName>
    <definedName name="Adiant_perc" localSheetId="1">#REF!</definedName>
    <definedName name="Adiant_perc" localSheetId="0">#REF!</definedName>
    <definedName name="Adiant_perc">#REF!</definedName>
    <definedName name="Adiantamento" localSheetId="1">#REF!</definedName>
    <definedName name="Adiantamento" localSheetId="0">#REF!</definedName>
    <definedName name="Adiantamento">#REF!</definedName>
    <definedName name="ancora2" localSheetId="1">#REF!</definedName>
    <definedName name="ancora2" localSheetId="0">#REF!</definedName>
    <definedName name="ancora2">#REF!</definedName>
    <definedName name="apf1a">[3]Caixilhos!$D$7</definedName>
    <definedName name="AREA" localSheetId="1">#REF!</definedName>
    <definedName name="AREA" localSheetId="0">#REF!</definedName>
    <definedName name="AREA">#REF!</definedName>
    <definedName name="_xlnm.Extract" localSheetId="1">[4]Anexos!#REF!</definedName>
    <definedName name="_xlnm.Extract" localSheetId="0">[4]Anexos!#REF!</definedName>
    <definedName name="_xlnm.Extract">[4]Anexos!#REF!</definedName>
    <definedName name="_xlnm.Print_Area" localSheetId="6">Cobertura!$C$2:$H$37</definedName>
    <definedName name="_xlnm.Print_Area" localSheetId="9">COMPOSICOES!$A$1:$G$631</definedName>
    <definedName name="_xlnm.Print_Area" localSheetId="1">#REF!</definedName>
    <definedName name="_xlnm.Print_Area" localSheetId="3">ESQUADRIA!$B$422:$H$489</definedName>
    <definedName name="_xlnm.Print_Area" localSheetId="11">impermeabilização!$B$2:$H$227</definedName>
    <definedName name="_xlnm.Print_Area" localSheetId="14">Instalações!$B$2:$V$22</definedName>
    <definedName name="_xlnm.Print_Area" localSheetId="12">'Louças e Metais'!$A$1:$AG$182</definedName>
    <definedName name="_xlnm.Print_Area" localSheetId="8">MEMORIA!$A$1:$Q$169</definedName>
    <definedName name="_xlnm.Print_Area" localSheetId="10">'Piso e Forro'!$B$1:$AE$687</definedName>
    <definedName name="_xlnm.Print_Area" localSheetId="18">Plan2!$A$1:$G$54</definedName>
    <definedName name="_xlnm.Print_Area" localSheetId="20">Plan4!$A$1:$N$150</definedName>
    <definedName name="_xlnm.Print_Area" localSheetId="7">'Planilha Orç'!$A$1:$K$475</definedName>
    <definedName name="_xlnm.Print_Area" localSheetId="0">'REVEST FACHADAS'!#REF!</definedName>
    <definedName name="_xlnm.Print_Area" localSheetId="5">Revestimentos!$B$2:$O$59</definedName>
    <definedName name="_xlnm.Print_Area">#REF!</definedName>
    <definedName name="Área_de_impressão1" localSheetId="1">#REF!</definedName>
    <definedName name="Área_de_impressão1" localSheetId="0">#REF!</definedName>
    <definedName name="Área_de_impressão1">#REF!</definedName>
    <definedName name="Área_de_impressão2" localSheetId="1">#REF!</definedName>
    <definedName name="Área_de_impressão2" localSheetId="0">#REF!</definedName>
    <definedName name="Área_de_impressão2">#REF!</definedName>
    <definedName name="AREA_EST_1" localSheetId="1">#REF!</definedName>
    <definedName name="AREA_EST_1" localSheetId="0">#REF!</definedName>
    <definedName name="AREA_EST_1">#REF!</definedName>
    <definedName name="Área_impressão_IM" localSheetId="1">#REF!</definedName>
    <definedName name="Área_impressão_IM" localSheetId="0">#REF!</definedName>
    <definedName name="Área_impressão_IM">#REF!</definedName>
    <definedName name="AREA_LOG_1" localSheetId="1">#REF!</definedName>
    <definedName name="AREA_LOG_1" localSheetId="0">#REF!</definedName>
    <definedName name="AREA_LOG_1">#REF!</definedName>
    <definedName name="AREA_REG_1" localSheetId="1">#REF!</definedName>
    <definedName name="AREA_REG_1" localSheetId="0">#REF!</definedName>
    <definedName name="AREA_REG_1">#REF!</definedName>
    <definedName name="AREA_TELD_1" localSheetId="1">#REF!</definedName>
    <definedName name="AREA_TELD_1" localSheetId="0">#REF!</definedName>
    <definedName name="AREA_TELD_1">#REF!</definedName>
    <definedName name="asSDas" localSheetId="1">#REF!</definedName>
    <definedName name="asSDas" localSheetId="0">#REF!</definedName>
    <definedName name="asSDas">#REF!</definedName>
    <definedName name="ATIVOS" hidden="1">{#N/A,#N/A,FALSE,"F-01"}</definedName>
    <definedName name="ATUAL" localSheetId="1">#REF!</definedName>
    <definedName name="ATUAL" localSheetId="0">#REF!</definedName>
    <definedName name="ATUAL">#REF!</definedName>
    <definedName name="b" localSheetId="1">#REF!</definedName>
    <definedName name="b" localSheetId="0">#REF!</definedName>
    <definedName name="b">#REF!</definedName>
    <definedName name="balão1">"AutoForma 17"</definedName>
    <definedName name="Banco_dados_IM" localSheetId="1">#REF!</definedName>
    <definedName name="Banco_dados_IM" localSheetId="0">#REF!</definedName>
    <definedName name="Banco_dados_IM">#REF!</definedName>
    <definedName name="_xlnm.Database" localSheetId="1">#REF!</definedName>
    <definedName name="_xlnm.Database" localSheetId="0">#REF!</definedName>
    <definedName name="_xlnm.Database">#REF!</definedName>
    <definedName name="BDI" localSheetId="1">#REF!</definedName>
    <definedName name="BDI" localSheetId="0">#REF!</definedName>
    <definedName name="BDI">#REF!</definedName>
    <definedName name="bitmin" localSheetId="1">#REF!</definedName>
    <definedName name="bitmin" localSheetId="0">#REF!</definedName>
    <definedName name="bitmin">#REF!</definedName>
    <definedName name="BLO" localSheetId="1">#REF!</definedName>
    <definedName name="BLO" localSheetId="0">#REF!</definedName>
    <definedName name="BLO">#REF!</definedName>
    <definedName name="BLOCO_B" localSheetId="1">'[5]CAPA -1'!#REF!</definedName>
    <definedName name="BLOCO_B" localSheetId="0">'[5]CAPA -1'!#REF!</definedName>
    <definedName name="BLOCO_B">'[5]CAPA -1'!#REF!</definedName>
    <definedName name="BLOCO_BB" localSheetId="1">#REF!</definedName>
    <definedName name="BLOCO_BB" localSheetId="0">#REF!</definedName>
    <definedName name="BLOCO_BB">#REF!</definedName>
    <definedName name="BLOCO_BBB" localSheetId="1">#REF!</definedName>
    <definedName name="BLOCO_BBB" localSheetId="0">#REF!</definedName>
    <definedName name="BLOCO_BBB">#REF!</definedName>
    <definedName name="BLOCO_C" localSheetId="1">#REF!</definedName>
    <definedName name="BLOCO_C" localSheetId="0">#REF!</definedName>
    <definedName name="BLOCO_C">#REF!</definedName>
    <definedName name="BLOCO_CC" localSheetId="1">#REF!</definedName>
    <definedName name="BLOCO_CC" localSheetId="0">#REF!</definedName>
    <definedName name="BLOCO_CC">#REF!</definedName>
    <definedName name="BLOCO_CCC" localSheetId="1">#REF!</definedName>
    <definedName name="BLOCO_CCC" localSheetId="0">#REF!</definedName>
    <definedName name="BLOCO_CCC">#REF!</definedName>
    <definedName name="BLOCO_CCCC" localSheetId="1">#REF!</definedName>
    <definedName name="BLOCO_CCCC" localSheetId="0">#REF!</definedName>
    <definedName name="BLOCO_CCCC">#REF!</definedName>
    <definedName name="BuiltIn_AutoFilter___7" localSheetId="1">#REF!</definedName>
    <definedName name="BuiltIn_AutoFilter___7" localSheetId="0">#REF!</definedName>
    <definedName name="BuiltIn_AutoFilter___7">#REF!</definedName>
    <definedName name="BuiltIn_AutoFilter___7_1" localSheetId="1">#REF!</definedName>
    <definedName name="BuiltIn_AutoFilter___7_1" localSheetId="0">#REF!</definedName>
    <definedName name="BuiltIn_AutoFilter___7_1">#REF!</definedName>
    <definedName name="BuiltIn_AutoFilter___7_10" localSheetId="1">#REF!</definedName>
    <definedName name="BuiltIn_AutoFilter___7_10" localSheetId="0">#REF!</definedName>
    <definedName name="BuiltIn_AutoFilter___7_10">#REF!</definedName>
    <definedName name="BuiltIn_AutoFilter___7_11" localSheetId="1">#REF!</definedName>
    <definedName name="BuiltIn_AutoFilter___7_11" localSheetId="0">#REF!</definedName>
    <definedName name="BuiltIn_AutoFilter___7_11">#REF!</definedName>
    <definedName name="BuiltIn_AutoFilter___7_12" localSheetId="1">#REF!</definedName>
    <definedName name="BuiltIn_AutoFilter___7_12" localSheetId="0">#REF!</definedName>
    <definedName name="BuiltIn_AutoFilter___7_12">#REF!</definedName>
    <definedName name="BuiltIn_AutoFilter___7_2" localSheetId="1">#REF!</definedName>
    <definedName name="BuiltIn_AutoFilter___7_2" localSheetId="0">#REF!</definedName>
    <definedName name="BuiltIn_AutoFilter___7_2">#REF!</definedName>
    <definedName name="BuiltIn_AutoFilter___7_3" localSheetId="1">#REF!</definedName>
    <definedName name="BuiltIn_AutoFilter___7_3" localSheetId="0">#REF!</definedName>
    <definedName name="BuiltIn_AutoFilter___7_3">#REF!</definedName>
    <definedName name="BuiltIn_AutoFilter___7_4" localSheetId="1">#REF!</definedName>
    <definedName name="BuiltIn_AutoFilter___7_4" localSheetId="0">#REF!</definedName>
    <definedName name="BuiltIn_AutoFilter___7_4">#REF!</definedName>
    <definedName name="BuiltIn_AutoFilter___7_5" localSheetId="1">#REF!</definedName>
    <definedName name="BuiltIn_AutoFilter___7_5" localSheetId="0">#REF!</definedName>
    <definedName name="BuiltIn_AutoFilter___7_5">#REF!</definedName>
    <definedName name="BuiltIn_AutoFilter___7_6" localSheetId="1">#REF!</definedName>
    <definedName name="BuiltIn_AutoFilter___7_6" localSheetId="0">#REF!</definedName>
    <definedName name="BuiltIn_AutoFilter___7_6">#REF!</definedName>
    <definedName name="BuiltIn_AutoFilter___7_7" localSheetId="1">#REF!</definedName>
    <definedName name="BuiltIn_AutoFilter___7_7" localSheetId="0">#REF!</definedName>
    <definedName name="BuiltIn_AutoFilter___7_7">#REF!</definedName>
    <definedName name="BuiltIn_AutoFilter___7_8" localSheetId="1">#REF!</definedName>
    <definedName name="BuiltIn_AutoFilter___7_8" localSheetId="0">#REF!</definedName>
    <definedName name="BuiltIn_AutoFilter___7_8">#REF!</definedName>
    <definedName name="BuiltIn_AutoFilter___7_9" localSheetId="1">#REF!</definedName>
    <definedName name="BuiltIn_AutoFilter___7_9" localSheetId="0">#REF!</definedName>
    <definedName name="BuiltIn_AutoFilter___7_9">#REF!</definedName>
    <definedName name="BuiltIn_AutoFilter___8" localSheetId="1">#REF!</definedName>
    <definedName name="BuiltIn_AutoFilter___8" localSheetId="0">#REF!</definedName>
    <definedName name="BuiltIn_AutoFilter___8">#REF!</definedName>
    <definedName name="BuiltIn_AutoFilter___8_1" localSheetId="1">#REF!</definedName>
    <definedName name="BuiltIn_AutoFilter___8_1" localSheetId="0">#REF!</definedName>
    <definedName name="BuiltIn_AutoFilter___8_1">#REF!</definedName>
    <definedName name="BuiltIn_AutoFilter___8_10" localSheetId="1">#REF!</definedName>
    <definedName name="BuiltIn_AutoFilter___8_10" localSheetId="0">#REF!</definedName>
    <definedName name="BuiltIn_AutoFilter___8_10">#REF!</definedName>
    <definedName name="BuiltIn_AutoFilter___8_11" localSheetId="1">#REF!</definedName>
    <definedName name="BuiltIn_AutoFilter___8_11" localSheetId="0">#REF!</definedName>
    <definedName name="BuiltIn_AutoFilter___8_11">#REF!</definedName>
    <definedName name="BuiltIn_AutoFilter___8_12" localSheetId="1">#REF!</definedName>
    <definedName name="BuiltIn_AutoFilter___8_12" localSheetId="0">#REF!</definedName>
    <definedName name="BuiltIn_AutoFilter___8_12">#REF!</definedName>
    <definedName name="BuiltIn_AutoFilter___8_13" localSheetId="1">#REF!</definedName>
    <definedName name="BuiltIn_AutoFilter___8_13" localSheetId="0">#REF!</definedName>
    <definedName name="BuiltIn_AutoFilter___8_13">#REF!</definedName>
    <definedName name="BuiltIn_AutoFilter___8_14" localSheetId="1">#REF!</definedName>
    <definedName name="BuiltIn_AutoFilter___8_14" localSheetId="0">#REF!</definedName>
    <definedName name="BuiltIn_AutoFilter___8_14">#REF!</definedName>
    <definedName name="BuiltIn_AutoFilter___8_15" localSheetId="1">#REF!</definedName>
    <definedName name="BuiltIn_AutoFilter___8_15" localSheetId="0">#REF!</definedName>
    <definedName name="BuiltIn_AutoFilter___8_15">#REF!</definedName>
    <definedName name="BuiltIn_AutoFilter___8_16" localSheetId="1">#REF!</definedName>
    <definedName name="BuiltIn_AutoFilter___8_16" localSheetId="0">#REF!</definedName>
    <definedName name="BuiltIn_AutoFilter___8_16">#REF!</definedName>
    <definedName name="BuiltIn_AutoFilter___8_17" localSheetId="1">#REF!</definedName>
    <definedName name="BuiltIn_AutoFilter___8_17" localSheetId="0">#REF!</definedName>
    <definedName name="BuiltIn_AutoFilter___8_17">#REF!</definedName>
    <definedName name="BuiltIn_AutoFilter___8_18" localSheetId="1">#REF!</definedName>
    <definedName name="BuiltIn_AutoFilter___8_18" localSheetId="0">#REF!</definedName>
    <definedName name="BuiltIn_AutoFilter___8_18">#REF!</definedName>
    <definedName name="BuiltIn_AutoFilter___8_19" localSheetId="1">#REF!</definedName>
    <definedName name="BuiltIn_AutoFilter___8_19" localSheetId="0">#REF!</definedName>
    <definedName name="BuiltIn_AutoFilter___8_19">#REF!</definedName>
    <definedName name="BuiltIn_AutoFilter___8_2" localSheetId="1">#REF!</definedName>
    <definedName name="BuiltIn_AutoFilter___8_2" localSheetId="0">#REF!</definedName>
    <definedName name="BuiltIn_AutoFilter___8_2">#REF!</definedName>
    <definedName name="BuiltIn_AutoFilter___8_20" localSheetId="1">#REF!</definedName>
    <definedName name="BuiltIn_AutoFilter___8_20" localSheetId="0">#REF!</definedName>
    <definedName name="BuiltIn_AutoFilter___8_20">#REF!</definedName>
    <definedName name="BuiltIn_AutoFilter___8_21" localSheetId="1">#REF!</definedName>
    <definedName name="BuiltIn_AutoFilter___8_21" localSheetId="0">#REF!</definedName>
    <definedName name="BuiltIn_AutoFilter___8_21">#REF!</definedName>
    <definedName name="BuiltIn_AutoFilter___8_22" localSheetId="1">#REF!</definedName>
    <definedName name="BuiltIn_AutoFilter___8_22" localSheetId="0">#REF!</definedName>
    <definedName name="BuiltIn_AutoFilter___8_22">#REF!</definedName>
    <definedName name="BuiltIn_AutoFilter___8_23" localSheetId="1">#REF!</definedName>
    <definedName name="BuiltIn_AutoFilter___8_23" localSheetId="0">#REF!</definedName>
    <definedName name="BuiltIn_AutoFilter___8_23">#REF!</definedName>
    <definedName name="BuiltIn_AutoFilter___8_24" localSheetId="1">#REF!</definedName>
    <definedName name="BuiltIn_AutoFilter___8_24" localSheetId="0">#REF!</definedName>
    <definedName name="BuiltIn_AutoFilter___8_24">#REF!</definedName>
    <definedName name="BuiltIn_AutoFilter___8_25" localSheetId="1">#REF!</definedName>
    <definedName name="BuiltIn_AutoFilter___8_25" localSheetId="0">#REF!</definedName>
    <definedName name="BuiltIn_AutoFilter___8_25">#REF!</definedName>
    <definedName name="BuiltIn_AutoFilter___8_26" localSheetId="1">#REF!</definedName>
    <definedName name="BuiltIn_AutoFilter___8_26" localSheetId="0">#REF!</definedName>
    <definedName name="BuiltIn_AutoFilter___8_26">#REF!</definedName>
    <definedName name="BuiltIn_AutoFilter___8_27" localSheetId="1">#REF!</definedName>
    <definedName name="BuiltIn_AutoFilter___8_27" localSheetId="0">#REF!</definedName>
    <definedName name="BuiltIn_AutoFilter___8_27">#REF!</definedName>
    <definedName name="BuiltIn_AutoFilter___8_28" localSheetId="1">#REF!</definedName>
    <definedName name="BuiltIn_AutoFilter___8_28" localSheetId="0">#REF!</definedName>
    <definedName name="BuiltIn_AutoFilter___8_28">#REF!</definedName>
    <definedName name="BuiltIn_AutoFilter___8_29" localSheetId="1">#REF!</definedName>
    <definedName name="BuiltIn_AutoFilter___8_29" localSheetId="0">#REF!</definedName>
    <definedName name="BuiltIn_AutoFilter___8_29">#REF!</definedName>
    <definedName name="BuiltIn_AutoFilter___8_3" localSheetId="1">#REF!</definedName>
    <definedName name="BuiltIn_AutoFilter___8_3" localSheetId="0">#REF!</definedName>
    <definedName name="BuiltIn_AutoFilter___8_3">#REF!</definedName>
    <definedName name="BuiltIn_AutoFilter___8_30" localSheetId="1">#REF!</definedName>
    <definedName name="BuiltIn_AutoFilter___8_30" localSheetId="0">#REF!</definedName>
    <definedName name="BuiltIn_AutoFilter___8_30">#REF!</definedName>
    <definedName name="BuiltIn_AutoFilter___8_31" localSheetId="1">#REF!</definedName>
    <definedName name="BuiltIn_AutoFilter___8_31" localSheetId="0">#REF!</definedName>
    <definedName name="BuiltIn_AutoFilter___8_31">#REF!</definedName>
    <definedName name="BuiltIn_AutoFilter___8_32" localSheetId="1">#REF!</definedName>
    <definedName name="BuiltIn_AutoFilter___8_32" localSheetId="0">#REF!</definedName>
    <definedName name="BuiltIn_AutoFilter___8_32">#REF!</definedName>
    <definedName name="BuiltIn_AutoFilter___8_4" localSheetId="1">#REF!</definedName>
    <definedName name="BuiltIn_AutoFilter___8_4" localSheetId="0">#REF!</definedName>
    <definedName name="BuiltIn_AutoFilter___8_4">#REF!</definedName>
    <definedName name="BuiltIn_AutoFilter___8_5" localSheetId="1">#REF!</definedName>
    <definedName name="BuiltIn_AutoFilter___8_5" localSheetId="0">#REF!</definedName>
    <definedName name="BuiltIn_AutoFilter___8_5">#REF!</definedName>
    <definedName name="BuiltIn_AutoFilter___8_6" localSheetId="1">#REF!</definedName>
    <definedName name="BuiltIn_AutoFilter___8_6" localSheetId="0">#REF!</definedName>
    <definedName name="BuiltIn_AutoFilter___8_6">#REF!</definedName>
    <definedName name="BuiltIn_AutoFilter___8_7" localSheetId="1">#REF!</definedName>
    <definedName name="BuiltIn_AutoFilter___8_7" localSheetId="0">#REF!</definedName>
    <definedName name="BuiltIn_AutoFilter___8_7">#REF!</definedName>
    <definedName name="BuiltIn_AutoFilter___8_8" localSheetId="1">#REF!</definedName>
    <definedName name="BuiltIn_AutoFilter___8_8" localSheetId="0">#REF!</definedName>
    <definedName name="BuiltIn_AutoFilter___8_8">#REF!</definedName>
    <definedName name="BuiltIn_AutoFilter___8_9" localSheetId="1">#REF!</definedName>
    <definedName name="BuiltIn_AutoFilter___8_9" localSheetId="0">#REF!</definedName>
    <definedName name="BuiltIn_AutoFilter___8_9">#REF!</definedName>
    <definedName name="BuiltIn_Print_Area" localSheetId="1">#REF!</definedName>
    <definedName name="BuiltIn_Print_Area" localSheetId="0">#REF!</definedName>
    <definedName name="BuiltIn_Print_Area">#REF!</definedName>
    <definedName name="BuiltIn_Print_Area___0" localSheetId="1">#REF!</definedName>
    <definedName name="BuiltIn_Print_Area___0" localSheetId="0">#REF!</definedName>
    <definedName name="BuiltIn_Print_Area___0">#REF!</definedName>
    <definedName name="BuiltIn_Print_Area___0___0" localSheetId="1">#REF!</definedName>
    <definedName name="BuiltIn_Print_Area___0___0" localSheetId="0">#REF!</definedName>
    <definedName name="BuiltIn_Print_Area___0___0">#REF!</definedName>
    <definedName name="BuiltIn_Print_Area___0___0___0" localSheetId="1">#REF!</definedName>
    <definedName name="BuiltIn_Print_Area___0___0___0" localSheetId="0">#REF!</definedName>
    <definedName name="BuiltIn_Print_Area___0___0___0">#REF!</definedName>
    <definedName name="BuiltIn_Print_Area___0___0___0___0" localSheetId="1">#REF!</definedName>
    <definedName name="BuiltIn_Print_Area___0___0___0___0" localSheetId="0">#REF!</definedName>
    <definedName name="BuiltIn_Print_Area___0___0___0___0">#REF!</definedName>
    <definedName name="BuiltIn_Print_Area___0___0___0___0___0" localSheetId="1">#REF!</definedName>
    <definedName name="BuiltIn_Print_Area___0___0___0___0___0" localSheetId="0">#REF!</definedName>
    <definedName name="BuiltIn_Print_Area___0___0___0___0___0">#REF!</definedName>
    <definedName name="BuiltIn_Print_Area___0___0___0___0___0___0" localSheetId="1">#REF!</definedName>
    <definedName name="BuiltIn_Print_Area___0___0___0___0___0___0" localSheetId="0">#REF!</definedName>
    <definedName name="BuiltIn_Print_Area___0___0___0___0___0___0">#REF!</definedName>
    <definedName name="BuiltIn_Print_Area___0___0___0___0___0___0___0" localSheetId="1">#REF!</definedName>
    <definedName name="BuiltIn_Print_Area___0___0___0___0___0___0___0" localSheetId="0">#REF!</definedName>
    <definedName name="BuiltIn_Print_Area___0___0___0___0___0___0___0">#REF!</definedName>
    <definedName name="BuiltIn_Print_Area___0___0___0___0___0___0___0___0___0" localSheetId="1">#REF!</definedName>
    <definedName name="BuiltIn_Print_Area___0___0___0___0___0___0___0___0___0" localSheetId="0">#REF!</definedName>
    <definedName name="BuiltIn_Print_Area___0___0___0___0___0___0___0___0___0">#REF!</definedName>
    <definedName name="BuiltIn_Print_Area___0___0___10" localSheetId="1">#REF!</definedName>
    <definedName name="BuiltIn_Print_Area___0___0___10" localSheetId="0">#REF!</definedName>
    <definedName name="BuiltIn_Print_Area___0___0___10">#REF!</definedName>
    <definedName name="BuiltIn_Print_Area___0___1" localSheetId="1">#REF!</definedName>
    <definedName name="BuiltIn_Print_Area___0___1" localSheetId="0">#REF!</definedName>
    <definedName name="BuiltIn_Print_Area___0___1">#REF!</definedName>
    <definedName name="BuiltIn_Print_Area___0___1___0" localSheetId="1">#REF!</definedName>
    <definedName name="BuiltIn_Print_Area___0___1___0" localSheetId="0">#REF!</definedName>
    <definedName name="BuiltIn_Print_Area___0___1___0">#REF!</definedName>
    <definedName name="BuiltIn_Print_Area___0___1___0___0" localSheetId="1">#REF!</definedName>
    <definedName name="BuiltIn_Print_Area___0___1___0___0" localSheetId="0">#REF!</definedName>
    <definedName name="BuiltIn_Print_Area___0___1___0___0">#REF!</definedName>
    <definedName name="BuiltIn_Print_Area___0___1___0___0___0" localSheetId="1">#REF!</definedName>
    <definedName name="BuiltIn_Print_Area___0___1___0___0___0" localSheetId="0">#REF!</definedName>
    <definedName name="BuiltIn_Print_Area___0___1___0___0___0">#REF!</definedName>
    <definedName name="BuiltIn_Print_Area___0___1___0___0___0___0" localSheetId="1">#REF!</definedName>
    <definedName name="BuiltIn_Print_Area___0___1___0___0___0___0" localSheetId="0">#REF!</definedName>
    <definedName name="BuiltIn_Print_Area___0___1___0___0___0___0">#REF!</definedName>
    <definedName name="BuiltIn_Print_Area___0___1___0___0___0___0___0" localSheetId="1">#REF!</definedName>
    <definedName name="BuiltIn_Print_Area___0___1___0___0___0___0___0" localSheetId="0">#REF!</definedName>
    <definedName name="BuiltIn_Print_Area___0___1___0___0___0___0___0">#REF!</definedName>
    <definedName name="BuiltIn_Print_Area___0___1___0___0___0___0___0___0" localSheetId="1">#REF!</definedName>
    <definedName name="BuiltIn_Print_Area___0___1___0___0___0___0___0___0" localSheetId="0">#REF!</definedName>
    <definedName name="BuiltIn_Print_Area___0___1___0___0___0___0___0___0">#REF!</definedName>
    <definedName name="BuiltIn_Print_Area___0___1___0___0___0___0___0___0___0" localSheetId="1">#REF!</definedName>
    <definedName name="BuiltIn_Print_Area___0___1___0___0___0___0___0___0___0" localSheetId="0">#REF!</definedName>
    <definedName name="BuiltIn_Print_Area___0___1___0___0___0___0___0___0___0">#REF!</definedName>
    <definedName name="BuiltIn_Print_Area___0___1___0___0___0___0___0___0___0___0" localSheetId="1">#REF!</definedName>
    <definedName name="BuiltIn_Print_Area___0___1___0___0___0___0___0___0___0___0" localSheetId="0">#REF!</definedName>
    <definedName name="BuiltIn_Print_Area___0___1___0___0___0___0___0___0___0___0">#REF!</definedName>
    <definedName name="BuiltIn_Print_Area___0___1___0___0___0___0___0___0___0___0_1" localSheetId="1">#REF!</definedName>
    <definedName name="BuiltIn_Print_Area___0___1___0___0___0___0___0___0___0___0_1" localSheetId="0">#REF!</definedName>
    <definedName name="BuiltIn_Print_Area___0___1___0___0___0___0___0___0___0___0_1">#REF!</definedName>
    <definedName name="BuiltIn_Print_Area___0___1___0___0___0___0___0___0___0___0_1_1" localSheetId="1">#REF!</definedName>
    <definedName name="BuiltIn_Print_Area___0___1___0___0___0___0___0___0___0___0_1_1" localSheetId="0">#REF!</definedName>
    <definedName name="BuiltIn_Print_Area___0___1___0___0___0___0___0___0___0___0_1_1">#REF!</definedName>
    <definedName name="BuiltIn_Print_Area___0___1___0___0___0___0___0___0___0_1" localSheetId="1">#REF!</definedName>
    <definedName name="BuiltIn_Print_Area___0___1___0___0___0___0___0___0___0_1" localSheetId="0">#REF!</definedName>
    <definedName name="BuiltIn_Print_Area___0___1___0___0___0___0___0___0___0_1">#REF!</definedName>
    <definedName name="BuiltIn_Print_Area___0___1___0___0___0___0___0___0___0_1_1" localSheetId="1">#REF!</definedName>
    <definedName name="BuiltIn_Print_Area___0___1___0___0___0___0___0___0___0_1_1" localSheetId="0">#REF!</definedName>
    <definedName name="BuiltIn_Print_Area___0___1___0___0___0___0___0___0___0_1_1">#REF!</definedName>
    <definedName name="BuiltIn_Print_Area___0___1___0___0___0___0___0___0_1" localSheetId="1">#REF!</definedName>
    <definedName name="BuiltIn_Print_Area___0___1___0___0___0___0___0___0_1" localSheetId="0">#REF!</definedName>
    <definedName name="BuiltIn_Print_Area___0___1___0___0___0___0___0___0_1">#REF!</definedName>
    <definedName name="BuiltIn_Print_Area___0___1___0___0___0___0___0___0_1_1" localSheetId="1">#REF!</definedName>
    <definedName name="BuiltIn_Print_Area___0___1___0___0___0___0___0___0_1_1" localSheetId="0">#REF!</definedName>
    <definedName name="BuiltIn_Print_Area___0___1___0___0___0___0___0___0_1_1">#REF!</definedName>
    <definedName name="BuiltIn_Print_Area___0___1___0___0___0___0___0_1" localSheetId="1">#REF!</definedName>
    <definedName name="BuiltIn_Print_Area___0___1___0___0___0___0___0_1" localSheetId="0">#REF!</definedName>
    <definedName name="BuiltIn_Print_Area___0___1___0___0___0___0___0_1">#REF!</definedName>
    <definedName name="BuiltIn_Print_Area___0___1___0___0___0___0___0_1_1" localSheetId="1">#REF!</definedName>
    <definedName name="BuiltIn_Print_Area___0___1___0___0___0___0___0_1_1" localSheetId="0">#REF!</definedName>
    <definedName name="BuiltIn_Print_Area___0___1___0___0___0___0___0_1_1">#REF!</definedName>
    <definedName name="BuiltIn_Print_Area___0___1___0___0___0___0_1" localSheetId="1">#REF!</definedName>
    <definedName name="BuiltIn_Print_Area___0___1___0___0___0___0_1" localSheetId="0">#REF!</definedName>
    <definedName name="BuiltIn_Print_Area___0___1___0___0___0___0_1">#REF!</definedName>
    <definedName name="BuiltIn_Print_Area___0___1___0___0___0___0_1_1" localSheetId="1">#REF!</definedName>
    <definedName name="BuiltIn_Print_Area___0___1___0___0___0___0_1_1" localSheetId="0">#REF!</definedName>
    <definedName name="BuiltIn_Print_Area___0___1___0___0___0___0_1_1">#REF!</definedName>
    <definedName name="BuiltIn_Print_Area___0___1___0___0___0_1" localSheetId="1">#REF!</definedName>
    <definedName name="BuiltIn_Print_Area___0___1___0___0___0_1" localSheetId="0">#REF!</definedName>
    <definedName name="BuiltIn_Print_Area___0___1___0___0___0_1">#REF!</definedName>
    <definedName name="BuiltIn_Print_Area___0___1___0___0___0_1_1" localSheetId="1">#REF!</definedName>
    <definedName name="BuiltIn_Print_Area___0___1___0___0___0_1_1" localSheetId="0">#REF!</definedName>
    <definedName name="BuiltIn_Print_Area___0___1___0___0___0_1_1">#REF!</definedName>
    <definedName name="BuiltIn_Print_Area___0___1___0___0_1" localSheetId="1">#REF!</definedName>
    <definedName name="BuiltIn_Print_Area___0___1___0___0_1" localSheetId="0">#REF!</definedName>
    <definedName name="BuiltIn_Print_Area___0___1___0___0_1">#REF!</definedName>
    <definedName name="BuiltIn_Print_Area___0___1___0___0_1_1" localSheetId="1">#REF!</definedName>
    <definedName name="BuiltIn_Print_Area___0___1___0___0_1_1" localSheetId="0">#REF!</definedName>
    <definedName name="BuiltIn_Print_Area___0___1___0___0_1_1">#REF!</definedName>
    <definedName name="BuiltIn_Print_Area___0___1___0_1" localSheetId="1">#REF!</definedName>
    <definedName name="BuiltIn_Print_Area___0___1___0_1" localSheetId="0">#REF!</definedName>
    <definedName name="BuiltIn_Print_Area___0___1___0_1">#REF!</definedName>
    <definedName name="BuiltIn_Print_Area___0___1___0_1_1" localSheetId="1">#REF!</definedName>
    <definedName name="BuiltIn_Print_Area___0___1___0_1_1" localSheetId="0">#REF!</definedName>
    <definedName name="BuiltIn_Print_Area___0___1___0_1_1">#REF!</definedName>
    <definedName name="BuiltIn_Print_Area___0___1_1" localSheetId="1">#REF!</definedName>
    <definedName name="BuiltIn_Print_Area___0___1_1" localSheetId="0">#REF!</definedName>
    <definedName name="BuiltIn_Print_Area___0___1_1">#REF!</definedName>
    <definedName name="BuiltIn_Print_Area___0___1_1_1" localSheetId="1">#REF!</definedName>
    <definedName name="BuiltIn_Print_Area___0___1_1_1" localSheetId="0">#REF!</definedName>
    <definedName name="BuiltIn_Print_Area___0___1_1_1">#REF!</definedName>
    <definedName name="BuiltIn_Print_Area___0___16" localSheetId="1">#REF!</definedName>
    <definedName name="BuiltIn_Print_Area___0___16" localSheetId="0">#REF!</definedName>
    <definedName name="BuiltIn_Print_Area___0___16">#REF!</definedName>
    <definedName name="BuiltIn_Print_Area___0___16___0" localSheetId="1">#REF!</definedName>
    <definedName name="BuiltIn_Print_Area___0___16___0" localSheetId="0">#REF!</definedName>
    <definedName name="BuiltIn_Print_Area___0___16___0">#REF!</definedName>
    <definedName name="BuiltIn_Print_Area___0___16___0___0" localSheetId="1">#REF!</definedName>
    <definedName name="BuiltIn_Print_Area___0___16___0___0" localSheetId="0">#REF!</definedName>
    <definedName name="BuiltIn_Print_Area___0___16___0___0">#REF!</definedName>
    <definedName name="BuiltIn_Print_Area___0___16___0___0___0" localSheetId="1">#REF!</definedName>
    <definedName name="BuiltIn_Print_Area___0___16___0___0___0" localSheetId="0">#REF!</definedName>
    <definedName name="BuiltIn_Print_Area___0___16___0___0___0">#REF!</definedName>
    <definedName name="BuiltIn_Print_Area___0___16___0___0___0___0" localSheetId="1">#REF!</definedName>
    <definedName name="BuiltIn_Print_Area___0___16___0___0___0___0" localSheetId="0">#REF!</definedName>
    <definedName name="BuiltIn_Print_Area___0___16___0___0___0___0">#REF!</definedName>
    <definedName name="BuiltIn_Print_Area___0___16___0___0___0___0___0" localSheetId="1">#REF!</definedName>
    <definedName name="BuiltIn_Print_Area___0___16___0___0___0___0___0" localSheetId="0">#REF!</definedName>
    <definedName name="BuiltIn_Print_Area___0___16___0___0___0___0___0">#REF!</definedName>
    <definedName name="BuiltIn_Print_Area___0___16___0___0___0___0___0___0" localSheetId="1">#REF!</definedName>
    <definedName name="BuiltIn_Print_Area___0___16___0___0___0___0___0___0" localSheetId="0">#REF!</definedName>
    <definedName name="BuiltIn_Print_Area___0___16___0___0___0___0___0___0">#REF!</definedName>
    <definedName name="BuiltIn_Print_Area___0___16___0___0___0___0___0___0___0" localSheetId="1">#REF!</definedName>
    <definedName name="BuiltIn_Print_Area___0___16___0___0___0___0___0___0___0" localSheetId="0">#REF!</definedName>
    <definedName name="BuiltIn_Print_Area___0___16___0___0___0___0___0___0___0">#REF!</definedName>
    <definedName name="BuiltIn_Print_Area___0___4" localSheetId="1">#REF!</definedName>
    <definedName name="BuiltIn_Print_Area___0___4" localSheetId="0">#REF!</definedName>
    <definedName name="BuiltIn_Print_Area___0___4">#REF!</definedName>
    <definedName name="BuiltIn_Print_Area___0___5" localSheetId="1">#REF!</definedName>
    <definedName name="BuiltIn_Print_Area___0___5" localSheetId="0">#REF!</definedName>
    <definedName name="BuiltIn_Print_Area___0___5">#REF!</definedName>
    <definedName name="BuiltIn_Print_Area___0___5___0" localSheetId="1">#REF!</definedName>
    <definedName name="BuiltIn_Print_Area___0___5___0" localSheetId="0">#REF!</definedName>
    <definedName name="BuiltIn_Print_Area___0___5___0">#REF!</definedName>
    <definedName name="BuiltIn_Print_Area___0___6" localSheetId="1">#REF!</definedName>
    <definedName name="BuiltIn_Print_Area___0___6" localSheetId="0">#REF!</definedName>
    <definedName name="BuiltIn_Print_Area___0___6">#REF!</definedName>
    <definedName name="BuiltIn_Print_Area___0___6___0" localSheetId="1">#REF!</definedName>
    <definedName name="BuiltIn_Print_Area___0___6___0" localSheetId="0">#REF!</definedName>
    <definedName name="BuiltIn_Print_Area___0___6___0">#REF!</definedName>
    <definedName name="BuiltIn_Print_Area___0___7" localSheetId="1">#REF!</definedName>
    <definedName name="BuiltIn_Print_Area___0___7" localSheetId="0">#REF!</definedName>
    <definedName name="BuiltIn_Print_Area___0___7">#REF!</definedName>
    <definedName name="BuiltIn_Print_Area___0___7___0" localSheetId="1">#REF!</definedName>
    <definedName name="BuiltIn_Print_Area___0___7___0" localSheetId="0">#REF!</definedName>
    <definedName name="BuiltIn_Print_Area___0___7___0">#REF!</definedName>
    <definedName name="BuiltIn_Print_Area___0___8" localSheetId="1">#REF!</definedName>
    <definedName name="BuiltIn_Print_Area___0___8" localSheetId="0">#REF!</definedName>
    <definedName name="BuiltIn_Print_Area___0___8">#REF!</definedName>
    <definedName name="BuiltIn_Print_Area___0_1" localSheetId="1">#REF!</definedName>
    <definedName name="BuiltIn_Print_Area___0_1" localSheetId="0">#REF!</definedName>
    <definedName name="BuiltIn_Print_Area___0_1">#REF!</definedName>
    <definedName name="BuiltIn_Print_Area___0_1_1" localSheetId="1">#REF!</definedName>
    <definedName name="BuiltIn_Print_Area___0_1_1" localSheetId="0">#REF!</definedName>
    <definedName name="BuiltIn_Print_Area___0_1_1">#REF!</definedName>
    <definedName name="BuiltIn_Print_Area___1" localSheetId="1">#REF!</definedName>
    <definedName name="BuiltIn_Print_Area___1" localSheetId="0">#REF!</definedName>
    <definedName name="BuiltIn_Print_Area___1">#REF!</definedName>
    <definedName name="BuiltIn_Print_Area___6" localSheetId="1">#REF!</definedName>
    <definedName name="BuiltIn_Print_Area___6" localSheetId="0">#REF!</definedName>
    <definedName name="BuiltIn_Print_Area___6">#REF!</definedName>
    <definedName name="BuiltIn_Print_Area_1" localSheetId="1">#REF!</definedName>
    <definedName name="BuiltIn_Print_Area_1" localSheetId="0">#REF!</definedName>
    <definedName name="BuiltIn_Print_Area_1">#REF!</definedName>
    <definedName name="BuiltIn_Print_Area_1_1" localSheetId="1">#REF!</definedName>
    <definedName name="BuiltIn_Print_Area_1_1" localSheetId="0">#REF!</definedName>
    <definedName name="BuiltIn_Print_Area_1_1">#REF!</definedName>
    <definedName name="BuiltIn_Print_Titles" localSheetId="1">#REF!</definedName>
    <definedName name="BuiltIn_Print_Titles" localSheetId="0">#REF!</definedName>
    <definedName name="BuiltIn_Print_Titles">#REF!</definedName>
    <definedName name="BuiltIn_Print_Titles___0" localSheetId="1">#REF!</definedName>
    <definedName name="BuiltIn_Print_Titles___0" localSheetId="0">#REF!</definedName>
    <definedName name="BuiltIn_Print_Titles___0">#REF!</definedName>
    <definedName name="BuiltIn_Print_Titles___0___0" localSheetId="1">#REF!</definedName>
    <definedName name="BuiltIn_Print_Titles___0___0" localSheetId="0">#REF!</definedName>
    <definedName name="BuiltIn_Print_Titles___0___0">#REF!</definedName>
    <definedName name="BuiltIn_Print_Titles___0___0___0" localSheetId="1">#REF!</definedName>
    <definedName name="BuiltIn_Print_Titles___0___0___0" localSheetId="0">#REF!</definedName>
    <definedName name="BuiltIn_Print_Titles___0___0___0">#REF!</definedName>
    <definedName name="BuiltIn_Print_Titles___0___0___0___0" localSheetId="1">#REF!</definedName>
    <definedName name="BuiltIn_Print_Titles___0___0___0___0" localSheetId="0">#REF!</definedName>
    <definedName name="BuiltIn_Print_Titles___0___0___0___0">#REF!</definedName>
    <definedName name="BuiltIn_Print_Titles___0___0___0___0___0" localSheetId="1">#REF!</definedName>
    <definedName name="BuiltIn_Print_Titles___0___0___0___0___0" localSheetId="0">#REF!</definedName>
    <definedName name="BuiltIn_Print_Titles___0___0___0___0___0">#REF!</definedName>
    <definedName name="BuiltIn_Print_Titles___0___0___0___0___0___0" localSheetId="1">#REF!</definedName>
    <definedName name="BuiltIn_Print_Titles___0___0___0___0___0___0" localSheetId="0">#REF!</definedName>
    <definedName name="BuiltIn_Print_Titles___0___0___0___0___0___0">#REF!</definedName>
    <definedName name="BuiltIn_Print_Titles___0___0___0___0___0___0___0" localSheetId="1">#REF!</definedName>
    <definedName name="BuiltIn_Print_Titles___0___0___0___0___0___0___0" localSheetId="0">#REF!</definedName>
    <definedName name="BuiltIn_Print_Titles___0___0___0___0___0___0___0">#REF!</definedName>
    <definedName name="BuiltIn_Print_Titles___0___0___0___0___0___0___0___0___0" localSheetId="1">#REF!</definedName>
    <definedName name="BuiltIn_Print_Titles___0___0___0___0___0___0___0___0___0" localSheetId="0">#REF!</definedName>
    <definedName name="BuiltIn_Print_Titles___0___0___0___0___0___0___0___0___0">#REF!</definedName>
    <definedName name="BuiltIn_Print_Titles___0___0___10" localSheetId="1">#REF!</definedName>
    <definedName name="BuiltIn_Print_Titles___0___0___10" localSheetId="0">#REF!</definedName>
    <definedName name="BuiltIn_Print_Titles___0___0___10">#REF!</definedName>
    <definedName name="BuiltIn_Print_Titles___0___1" localSheetId="1">#REF!</definedName>
    <definedName name="BuiltIn_Print_Titles___0___1" localSheetId="0">#REF!</definedName>
    <definedName name="BuiltIn_Print_Titles___0___1">#REF!</definedName>
    <definedName name="BuiltIn_Print_Titles___0___16" localSheetId="1">#REF!</definedName>
    <definedName name="BuiltIn_Print_Titles___0___16" localSheetId="0">#REF!</definedName>
    <definedName name="BuiltIn_Print_Titles___0___16">#REF!</definedName>
    <definedName name="BuiltIn_Print_Titles___0___16___0" localSheetId="1">#REF!</definedName>
    <definedName name="BuiltIn_Print_Titles___0___16___0" localSheetId="0">#REF!</definedName>
    <definedName name="BuiltIn_Print_Titles___0___16___0">#REF!</definedName>
    <definedName name="BuiltIn_Print_Titles___0___16___0___0" localSheetId="1">#REF!</definedName>
    <definedName name="BuiltIn_Print_Titles___0___16___0___0" localSheetId="0">#REF!</definedName>
    <definedName name="BuiltIn_Print_Titles___0___16___0___0">#REF!</definedName>
    <definedName name="BuiltIn_Print_Titles___0___16___0___0___0" localSheetId="1">#REF!</definedName>
    <definedName name="BuiltIn_Print_Titles___0___16___0___0___0" localSheetId="0">#REF!</definedName>
    <definedName name="BuiltIn_Print_Titles___0___16___0___0___0">#REF!</definedName>
    <definedName name="BuiltIn_Print_Titles___0___16___0___0___0___0" localSheetId="1">#REF!</definedName>
    <definedName name="BuiltIn_Print_Titles___0___16___0___0___0___0" localSheetId="0">#REF!</definedName>
    <definedName name="BuiltIn_Print_Titles___0___16___0___0___0___0">#REF!</definedName>
    <definedName name="BuiltIn_Print_Titles___0___16___0___0___0___0___0" localSheetId="1">#REF!</definedName>
    <definedName name="BuiltIn_Print_Titles___0___16___0___0___0___0___0" localSheetId="0">#REF!</definedName>
    <definedName name="BuiltIn_Print_Titles___0___16___0___0___0___0___0">#REF!</definedName>
    <definedName name="BuiltIn_Print_Titles___0___5" localSheetId="1">#REF!</definedName>
    <definedName name="BuiltIn_Print_Titles___0___5" localSheetId="0">#REF!</definedName>
    <definedName name="BuiltIn_Print_Titles___0___5">#REF!</definedName>
    <definedName name="BuiltIn_Print_Titles___0___6" localSheetId="1">#REF!</definedName>
    <definedName name="BuiltIn_Print_Titles___0___6" localSheetId="0">#REF!</definedName>
    <definedName name="BuiltIn_Print_Titles___0___6">#REF!</definedName>
    <definedName name="BuiltIn_Print_Titles___0___7" localSheetId="1">#REF!</definedName>
    <definedName name="BuiltIn_Print_Titles___0___7" localSheetId="0">#REF!</definedName>
    <definedName name="BuiltIn_Print_Titles___0___7">#REF!</definedName>
    <definedName name="BuiltIn_Print_Titles___0___8" localSheetId="1">#REF!</definedName>
    <definedName name="BuiltIn_Print_Titles___0___8" localSheetId="0">#REF!</definedName>
    <definedName name="BuiltIn_Print_Titles___0___8">#REF!</definedName>
    <definedName name="BuiltIn_Print_Titles___0_1" localSheetId="1">#REF!</definedName>
    <definedName name="BuiltIn_Print_Titles___0_1" localSheetId="0">#REF!</definedName>
    <definedName name="BuiltIn_Print_Titles___0_1">#REF!</definedName>
    <definedName name="BuiltIn_Print_Titles___0_1_1" localSheetId="1">#REF!</definedName>
    <definedName name="BuiltIn_Print_Titles___0_1_1" localSheetId="0">#REF!</definedName>
    <definedName name="BuiltIn_Print_Titles___0_1_1">#REF!</definedName>
    <definedName name="BuiltIn_Print_Titles___4___4" localSheetId="1">#REF!</definedName>
    <definedName name="BuiltIn_Print_Titles___4___4" localSheetId="0">#REF!</definedName>
    <definedName name="BuiltIn_Print_Titles___4___4">#REF!</definedName>
    <definedName name="BuiltIn_Print_Titles___5___5" localSheetId="1">#REF!</definedName>
    <definedName name="BuiltIn_Print_Titles___5___5" localSheetId="0">#REF!</definedName>
    <definedName name="BuiltIn_Print_Titles___5___5">#REF!</definedName>
    <definedName name="BuiltIn_Print_Titles___5___5___0" localSheetId="1">#REF!</definedName>
    <definedName name="BuiltIn_Print_Titles___5___5___0" localSheetId="0">#REF!</definedName>
    <definedName name="BuiltIn_Print_Titles___5___5___0">#REF!</definedName>
    <definedName name="BuiltIn_Print_Titles___6___6" localSheetId="1">#REF!</definedName>
    <definedName name="BuiltIn_Print_Titles___6___6" localSheetId="0">#REF!</definedName>
    <definedName name="BuiltIn_Print_Titles___6___6">#REF!</definedName>
    <definedName name="BuiltIn_Print_Titles___6___6___0" localSheetId="1">#REF!</definedName>
    <definedName name="BuiltIn_Print_Titles___6___6___0" localSheetId="0">#REF!</definedName>
    <definedName name="BuiltIn_Print_Titles___6___6___0">#REF!</definedName>
    <definedName name="BuiltIn_Print_Titles___7___7" localSheetId="1">#REF!</definedName>
    <definedName name="BuiltIn_Print_Titles___7___7" localSheetId="0">#REF!</definedName>
    <definedName name="BuiltIn_Print_Titles___7___7">#REF!</definedName>
    <definedName name="BuiltIn_Print_Titles_1" localSheetId="1">#REF!</definedName>
    <definedName name="BuiltIn_Print_Titles_1" localSheetId="0">#REF!</definedName>
    <definedName name="BuiltIn_Print_Titles_1">#REF!</definedName>
    <definedName name="BuiltIn_Print_Titles_1_1" localSheetId="1">#REF!</definedName>
    <definedName name="BuiltIn_Print_Titles_1_1" localSheetId="0">#REF!</definedName>
    <definedName name="BuiltIn_Print_Titles_1_1">#REF!</definedName>
    <definedName name="Capa" hidden="1">{#N/A,#N/A,FALSE,"ET-CAPA";#N/A,#N/A,FALSE,"ET-PAG1";#N/A,#N/A,FALSE,"ET-PAG2";#N/A,#N/A,FALSE,"ET-PAG3";#N/A,#N/A,FALSE,"ET-PAG4";#N/A,#N/A,FALSE,"ET-PAG5"}</definedName>
    <definedName name="capa1" localSheetId="1">#REF!</definedName>
    <definedName name="capa1" localSheetId="0">#REF!</definedName>
    <definedName name="capa1">#REF!</definedName>
    <definedName name="CAPA3" localSheetId="1">[1]Fechamento!#REF!</definedName>
    <definedName name="CAPA3" localSheetId="0">[1]Fechamento!#REF!</definedName>
    <definedName name="CAPA3">[1]Fechamento!#REF!</definedName>
    <definedName name="CAPA4" localSheetId="1">#REF!</definedName>
    <definedName name="CAPA4" localSheetId="0">#REF!</definedName>
    <definedName name="CAPA4">#REF!</definedName>
    <definedName name="Carimbo" localSheetId="1">#REF!</definedName>
    <definedName name="Carimbo" localSheetId="0">#REF!</definedName>
    <definedName name="Carimbo">#REF!</definedName>
    <definedName name="CAT6_IP" hidden="1">{#N/A,#N/A,FALSE,"F-01"}</definedName>
    <definedName name="CODIGO" localSheetId="1">#REF!</definedName>
    <definedName name="CODIGO" localSheetId="0">#REF!</definedName>
    <definedName name="CODIGO">#REF!</definedName>
    <definedName name="cofins" localSheetId="1">#REF!</definedName>
    <definedName name="cofins" localSheetId="0">#REF!</definedName>
    <definedName name="cofins">#REF!</definedName>
    <definedName name="COMEÇO" localSheetId="1">'[5]CAPA -1'!#REF!</definedName>
    <definedName name="COMEÇO" localSheetId="0">'[5]CAPA -1'!#REF!</definedName>
    <definedName name="COMEÇO">'[5]CAPA -1'!#REF!</definedName>
    <definedName name="cpf1a">[3]Caixilhos!$C$7</definedName>
    <definedName name="D" localSheetId="1">#REF!</definedName>
    <definedName name="D" localSheetId="0">#REF!</definedName>
    <definedName name="D">#REF!</definedName>
    <definedName name="DAF" localSheetId="1">#REF!</definedName>
    <definedName name="DAF" localSheetId="0">#REF!</definedName>
    <definedName name="DAF">#REF!</definedName>
    <definedName name="daniel" localSheetId="1">#REF!</definedName>
    <definedName name="daniel" localSheetId="0">#REF!</definedName>
    <definedName name="daniel">#REF!</definedName>
    <definedName name="DD" localSheetId="1">#REF!</definedName>
    <definedName name="DD" localSheetId="0">#REF!</definedName>
    <definedName name="DD">#REF!</definedName>
    <definedName name="DDD" localSheetId="1">#REF!</definedName>
    <definedName name="DDD" localSheetId="0">#REF!</definedName>
    <definedName name="DDD">#REF!</definedName>
    <definedName name="DESV" localSheetId="1">[6]!DESVINCULAR</definedName>
    <definedName name="DESV" localSheetId="0">[6]!DESVINCULAR</definedName>
    <definedName name="DESV">[6]!DESVINCULAR</definedName>
    <definedName name="DESVINCULAR">[0]!DESVINCULAR</definedName>
    <definedName name="DF" localSheetId="1">#REF!</definedName>
    <definedName name="DF" localSheetId="0">#REF!</definedName>
    <definedName name="DF">#REF!</definedName>
    <definedName name="DFADFA" localSheetId="1">#REF!</definedName>
    <definedName name="DFADFA" localSheetId="0">#REF!</definedName>
    <definedName name="DFADFA">#REF!</definedName>
    <definedName name="DFAFAF" localSheetId="1">#REF!</definedName>
    <definedName name="DFAFAF" localSheetId="0">#REF!</definedName>
    <definedName name="DFAFAF">#REF!</definedName>
    <definedName name="DOLAR" localSheetId="1">#REF!</definedName>
    <definedName name="DOLAR" localSheetId="0">#REF!</definedName>
    <definedName name="DOLAR">#REF!</definedName>
    <definedName name="e" localSheetId="1">#REF!</definedName>
    <definedName name="e" localSheetId="0">#REF!</definedName>
    <definedName name="e">#REF!</definedName>
    <definedName name="ECEW" hidden="1">{#N/A,#N/A,FALSE,"F-01"}</definedName>
    <definedName name="ECEW_1" hidden="1">{#N/A,#N/A,FALSE,"F-01"}</definedName>
    <definedName name="EL">'[7]Preços Mat. Elét.'!$A$1:$E$259</definedName>
    <definedName name="er" localSheetId="1">#REF!</definedName>
    <definedName name="er" localSheetId="0">#REF!</definedName>
    <definedName name="er">#REF!</definedName>
    <definedName name="Excel_BuiltIn__FilterDatabase_10" localSheetId="1">#REF!</definedName>
    <definedName name="Excel_BuiltIn__FilterDatabase_10" localSheetId="0">#REF!</definedName>
    <definedName name="Excel_BuiltIn__FilterDatabase_10">#REF!</definedName>
    <definedName name="Excel_BuiltIn__FilterDatabase_10_1" localSheetId="1">#REF!</definedName>
    <definedName name="Excel_BuiltIn__FilterDatabase_10_1" localSheetId="0">#REF!</definedName>
    <definedName name="Excel_BuiltIn__FilterDatabase_10_1">#REF!</definedName>
    <definedName name="Excel_BuiltIn__FilterDatabase_11" localSheetId="1">#REF!</definedName>
    <definedName name="Excel_BuiltIn__FilterDatabase_11" localSheetId="0">#REF!</definedName>
    <definedName name="Excel_BuiltIn__FilterDatabase_11">#REF!</definedName>
    <definedName name="Excel_BuiltIn__FilterDatabase_12" localSheetId="1">#REF!</definedName>
    <definedName name="Excel_BuiltIn__FilterDatabase_12" localSheetId="0">#REF!</definedName>
    <definedName name="Excel_BuiltIn__FilterDatabase_12">#REF!</definedName>
    <definedName name="Excel_BuiltIn__FilterDatabase_13" localSheetId="1">#REF!</definedName>
    <definedName name="Excel_BuiltIn__FilterDatabase_13" localSheetId="0">#REF!</definedName>
    <definedName name="Excel_BuiltIn__FilterDatabase_13">#REF!</definedName>
    <definedName name="Excel_BuiltIn__FilterDatabase_14" localSheetId="1">#REF!</definedName>
    <definedName name="Excel_BuiltIn__FilterDatabase_14" localSheetId="0">#REF!</definedName>
    <definedName name="Excel_BuiltIn__FilterDatabase_14">#REF!</definedName>
    <definedName name="Excel_BuiltIn__FilterDatabase_15" localSheetId="1">#REF!</definedName>
    <definedName name="Excel_BuiltIn__FilterDatabase_15" localSheetId="0">#REF!</definedName>
    <definedName name="Excel_BuiltIn__FilterDatabase_15">#REF!</definedName>
    <definedName name="Excel_BuiltIn__FilterDatabase_16" localSheetId="1">#REF!</definedName>
    <definedName name="Excel_BuiltIn__FilterDatabase_16" localSheetId="0">#REF!</definedName>
    <definedName name="Excel_BuiltIn__FilterDatabase_16">#REF!</definedName>
    <definedName name="Excel_BuiltIn__FilterDatabase_17" localSheetId="1">#REF!</definedName>
    <definedName name="Excel_BuiltIn__FilterDatabase_17" localSheetId="0">#REF!</definedName>
    <definedName name="Excel_BuiltIn__FilterDatabase_17">#REF!</definedName>
    <definedName name="Excel_BuiltIn__FilterDatabase_18" localSheetId="1">#REF!</definedName>
    <definedName name="Excel_BuiltIn__FilterDatabase_18" localSheetId="0">#REF!</definedName>
    <definedName name="Excel_BuiltIn__FilterDatabase_18">#REF!</definedName>
    <definedName name="Excel_BuiltIn__FilterDatabase_2" localSheetId="1">#REF!</definedName>
    <definedName name="Excel_BuiltIn__FilterDatabase_2" localSheetId="0">#REF!</definedName>
    <definedName name="Excel_BuiltIn__FilterDatabase_2">#REF!</definedName>
    <definedName name="Excel_BuiltIn__FilterDatabase_3" localSheetId="1">#REF!</definedName>
    <definedName name="Excel_BuiltIn__FilterDatabase_3" localSheetId="0">#REF!</definedName>
    <definedName name="Excel_BuiltIn__FilterDatabase_3">#REF!</definedName>
    <definedName name="Excel_BuiltIn__FilterDatabase_3_1" localSheetId="1">#REF!</definedName>
    <definedName name="Excel_BuiltIn__FilterDatabase_3_1" localSheetId="0">#REF!</definedName>
    <definedName name="Excel_BuiltIn__FilterDatabase_3_1">#REF!</definedName>
    <definedName name="Excel_BuiltIn__FilterDatabase_3_1_1" localSheetId="1">#REF!</definedName>
    <definedName name="Excel_BuiltIn__FilterDatabase_3_1_1" localSheetId="0">#REF!</definedName>
    <definedName name="Excel_BuiltIn__FilterDatabase_3_1_1">#REF!</definedName>
    <definedName name="Excel_BuiltIn__FilterDatabase_3_4" localSheetId="1">#REF!</definedName>
    <definedName name="Excel_BuiltIn__FilterDatabase_3_4" localSheetId="0">#REF!</definedName>
    <definedName name="Excel_BuiltIn__FilterDatabase_3_4">#REF!</definedName>
    <definedName name="Excel_BuiltIn__FilterDatabase_3_5" localSheetId="1">#REF!</definedName>
    <definedName name="Excel_BuiltIn__FilterDatabase_3_5" localSheetId="0">#REF!</definedName>
    <definedName name="Excel_BuiltIn__FilterDatabase_3_5">#REF!</definedName>
    <definedName name="Excel_BuiltIn__FilterDatabase_3_6" localSheetId="1">#REF!</definedName>
    <definedName name="Excel_BuiltIn__FilterDatabase_3_6" localSheetId="0">#REF!</definedName>
    <definedName name="Excel_BuiltIn__FilterDatabase_3_6">#REF!</definedName>
    <definedName name="Excel_BuiltIn__FilterDatabase_3_7" localSheetId="1">#REF!</definedName>
    <definedName name="Excel_BuiltIn__FilterDatabase_3_7" localSheetId="0">#REF!</definedName>
    <definedName name="Excel_BuiltIn__FilterDatabase_3_7">#REF!</definedName>
    <definedName name="Excel_BuiltIn__FilterDatabase_3_8" localSheetId="1">#REF!</definedName>
    <definedName name="Excel_BuiltIn__FilterDatabase_3_8" localSheetId="0">#REF!</definedName>
    <definedName name="Excel_BuiltIn__FilterDatabase_3_8">#REF!</definedName>
    <definedName name="Excel_BuiltIn__FilterDatabase_3_9" localSheetId="1">#REF!</definedName>
    <definedName name="Excel_BuiltIn__FilterDatabase_3_9" localSheetId="0">#REF!</definedName>
    <definedName name="Excel_BuiltIn__FilterDatabase_3_9">#REF!</definedName>
    <definedName name="Excel_BuiltIn__FilterDatabase_4" localSheetId="1">#REF!</definedName>
    <definedName name="Excel_BuiltIn__FilterDatabase_4" localSheetId="0">#REF!</definedName>
    <definedName name="Excel_BuiltIn__FilterDatabase_4">#REF!</definedName>
    <definedName name="Excel_BuiltIn__FilterDatabase_4_1" localSheetId="1">#REF!</definedName>
    <definedName name="Excel_BuiltIn__FilterDatabase_4_1" localSheetId="0">#REF!</definedName>
    <definedName name="Excel_BuiltIn__FilterDatabase_4_1">#REF!</definedName>
    <definedName name="Excel_BuiltIn__FilterDatabase_5" localSheetId="1">#REF!</definedName>
    <definedName name="Excel_BuiltIn__FilterDatabase_5" localSheetId="0">#REF!</definedName>
    <definedName name="Excel_BuiltIn__FilterDatabase_5">#REF!</definedName>
    <definedName name="Excel_BuiltIn__FilterDatabase_5_1" localSheetId="1">#REF!</definedName>
    <definedName name="Excel_BuiltIn__FilterDatabase_5_1" localSheetId="0">#REF!</definedName>
    <definedName name="Excel_BuiltIn__FilterDatabase_5_1">#REF!</definedName>
    <definedName name="Excel_BuiltIn__FilterDatabase_5_1_1" localSheetId="1">#REF!</definedName>
    <definedName name="Excel_BuiltIn__FilterDatabase_5_1_1" localSheetId="0">#REF!</definedName>
    <definedName name="Excel_BuiltIn__FilterDatabase_5_1_1">#REF!</definedName>
    <definedName name="Excel_BuiltIn__FilterDatabase_6" localSheetId="1">#REF!</definedName>
    <definedName name="Excel_BuiltIn__FilterDatabase_6" localSheetId="0">#REF!</definedName>
    <definedName name="Excel_BuiltIn__FilterDatabase_6">#REF!</definedName>
    <definedName name="Excel_BuiltIn__FilterDatabase_6_1" localSheetId="1">#REF!</definedName>
    <definedName name="Excel_BuiltIn__FilterDatabase_6_1" localSheetId="0">#REF!</definedName>
    <definedName name="Excel_BuiltIn__FilterDatabase_6_1">#REF!</definedName>
    <definedName name="Excel_BuiltIn__FilterDatabase_7" localSheetId="1">#REF!</definedName>
    <definedName name="Excel_BuiltIn__FilterDatabase_7" localSheetId="0">#REF!</definedName>
    <definedName name="Excel_BuiltIn__FilterDatabase_7">#REF!</definedName>
    <definedName name="Excel_BuiltIn__FilterDatabase_7_1" localSheetId="1">#REF!</definedName>
    <definedName name="Excel_BuiltIn__FilterDatabase_7_1" localSheetId="0">#REF!</definedName>
    <definedName name="Excel_BuiltIn__FilterDatabase_7_1">#REF!</definedName>
    <definedName name="Excel_BuiltIn__FilterDatabase_8" localSheetId="1">#REF!</definedName>
    <definedName name="Excel_BuiltIn__FilterDatabase_8" localSheetId="0">#REF!</definedName>
    <definedName name="Excel_BuiltIn__FilterDatabase_8">#REF!</definedName>
    <definedName name="Excel_BuiltIn__FilterDatabase_8_1" localSheetId="1">#REF!</definedName>
    <definedName name="Excel_BuiltIn__FilterDatabase_8_1" localSheetId="0">#REF!</definedName>
    <definedName name="Excel_BuiltIn__FilterDatabase_8_1">#REF!</definedName>
    <definedName name="Excel_BuiltIn__FilterDatabase_9" localSheetId="1">#REF!</definedName>
    <definedName name="Excel_BuiltIn__FilterDatabase_9" localSheetId="0">#REF!</definedName>
    <definedName name="Excel_BuiltIn__FilterDatabase_9">#REF!</definedName>
    <definedName name="Excel_BuiltIn__FilterDatabase_9_1" localSheetId="1">#REF!</definedName>
    <definedName name="Excel_BuiltIn__FilterDatabase_9_1" localSheetId="0">#REF!</definedName>
    <definedName name="Excel_BuiltIn__FilterDatabase_9_1">#REF!</definedName>
    <definedName name="Excel_BuiltIn_Print_Area_0" localSheetId="1">#REF!</definedName>
    <definedName name="Excel_BuiltIn_Print_Area_0" localSheetId="0">#REF!</definedName>
    <definedName name="Excel_BuiltIn_Print_Area_0">#REF!</definedName>
    <definedName name="Excel_BuiltIn_Print_Area_1" localSheetId="1">#REF!</definedName>
    <definedName name="Excel_BuiltIn_Print_Area_1" localSheetId="0">#REF!</definedName>
    <definedName name="Excel_BuiltIn_Print_Area_1">#REF!</definedName>
    <definedName name="Excel_BuiltIn_Print_Area_1_1" localSheetId="1">#REF!</definedName>
    <definedName name="Excel_BuiltIn_Print_Area_1_1" localSheetId="0">#REF!</definedName>
    <definedName name="Excel_BuiltIn_Print_Area_1_1">#REF!</definedName>
    <definedName name="Excel_BuiltIn_Print_Area_1_1_1" localSheetId="1">#REF!</definedName>
    <definedName name="Excel_BuiltIn_Print_Area_1_1_1" localSheetId="0">#REF!</definedName>
    <definedName name="Excel_BuiltIn_Print_Area_1_1_1">#REF!</definedName>
    <definedName name="Excel_BuiltIn_Print_Area_1_1_1_1" localSheetId="1">#REF!</definedName>
    <definedName name="Excel_BuiltIn_Print_Area_1_1_1_1" localSheetId="0">#REF!</definedName>
    <definedName name="Excel_BuiltIn_Print_Area_1_1_1_1">#REF!</definedName>
    <definedName name="Excel_BuiltIn_Print_Area_1_1_1_1_1" localSheetId="1">#REF!</definedName>
    <definedName name="Excel_BuiltIn_Print_Area_1_1_1_1_1" localSheetId="0">#REF!</definedName>
    <definedName name="Excel_BuiltIn_Print_Area_1_1_1_1_1">#REF!</definedName>
    <definedName name="Excel_BuiltIn_Print_Area_1_1_1_1_1_1" localSheetId="1">#REF!</definedName>
    <definedName name="Excel_BuiltIn_Print_Area_1_1_1_1_1_1" localSheetId="0">#REF!</definedName>
    <definedName name="Excel_BuiltIn_Print_Area_1_1_1_1_1_1">#REF!</definedName>
    <definedName name="Excel_BuiltIn_Print_Area_1_1_1_1_1_1_1" localSheetId="1">#REF!</definedName>
    <definedName name="Excel_BuiltIn_Print_Area_1_1_1_1_1_1_1" localSheetId="0">#REF!</definedName>
    <definedName name="Excel_BuiltIn_Print_Area_1_1_1_1_1_1_1">#REF!</definedName>
    <definedName name="Excel_BuiltIn_Print_Area_1_1_1_1_1_1_1_1" localSheetId="1">#REF!</definedName>
    <definedName name="Excel_BuiltIn_Print_Area_1_1_1_1_1_1_1_1" localSheetId="0">#REF!</definedName>
    <definedName name="Excel_BuiltIn_Print_Area_1_1_1_1_1_1_1_1">#REF!</definedName>
    <definedName name="Excel_BuiltIn_Print_Area_1_1_1_1_1_1_1_1_1" localSheetId="1">#REF!</definedName>
    <definedName name="Excel_BuiltIn_Print_Area_1_1_1_1_1_1_1_1_1" localSheetId="0">#REF!</definedName>
    <definedName name="Excel_BuiltIn_Print_Area_1_1_1_1_1_1_1_1_1">#REF!</definedName>
    <definedName name="Excel_BuiltIn_Print_Area_10" localSheetId="1">#REF!</definedName>
    <definedName name="Excel_BuiltIn_Print_Area_10" localSheetId="0">#REF!</definedName>
    <definedName name="Excel_BuiltIn_Print_Area_10">#REF!</definedName>
    <definedName name="Excel_BuiltIn_Print_Area_10_1" localSheetId="1">#REF!</definedName>
    <definedName name="Excel_BuiltIn_Print_Area_10_1" localSheetId="0">#REF!</definedName>
    <definedName name="Excel_BuiltIn_Print_Area_10_1">#REF!</definedName>
    <definedName name="Excel_BuiltIn_Print_Area_11" localSheetId="1">#REF!</definedName>
    <definedName name="Excel_BuiltIn_Print_Area_11" localSheetId="0">#REF!</definedName>
    <definedName name="Excel_BuiltIn_Print_Area_11">#REF!</definedName>
    <definedName name="Excel_BuiltIn_Print_Area_11_1" localSheetId="1">#REF!</definedName>
    <definedName name="Excel_BuiltIn_Print_Area_11_1" localSheetId="0">#REF!</definedName>
    <definedName name="Excel_BuiltIn_Print_Area_11_1">#REF!</definedName>
    <definedName name="Excel_BuiltIn_Print_Area_13" localSheetId="1">#REF!</definedName>
    <definedName name="Excel_BuiltIn_Print_Area_13" localSheetId="0">#REF!</definedName>
    <definedName name="Excel_BuiltIn_Print_Area_13">#REF!</definedName>
    <definedName name="Excel_BuiltIn_Print_Area_14" localSheetId="1">#REF!</definedName>
    <definedName name="Excel_BuiltIn_Print_Area_14" localSheetId="0">#REF!</definedName>
    <definedName name="Excel_BuiltIn_Print_Area_14">#REF!</definedName>
    <definedName name="Excel_BuiltIn_Print_Area_15" localSheetId="1">#REF!</definedName>
    <definedName name="Excel_BuiltIn_Print_Area_15" localSheetId="0">#REF!</definedName>
    <definedName name="Excel_BuiltIn_Print_Area_15">#REF!</definedName>
    <definedName name="Excel_BuiltIn_Print_Area_16" localSheetId="1">#REF!</definedName>
    <definedName name="Excel_BuiltIn_Print_Area_16" localSheetId="0">#REF!</definedName>
    <definedName name="Excel_BuiltIn_Print_Area_16">#REF!</definedName>
    <definedName name="Excel_BuiltIn_Print_Area_17" localSheetId="1">#REF!</definedName>
    <definedName name="Excel_BuiltIn_Print_Area_17" localSheetId="0">#REF!</definedName>
    <definedName name="Excel_BuiltIn_Print_Area_17">#REF!</definedName>
    <definedName name="Excel_BuiltIn_Print_Area_18" localSheetId="1">#REF!</definedName>
    <definedName name="Excel_BuiltIn_Print_Area_18" localSheetId="0">#REF!</definedName>
    <definedName name="Excel_BuiltIn_Print_Area_18">#REF!</definedName>
    <definedName name="Excel_BuiltIn_Print_Area_2" localSheetId="1">#REF!</definedName>
    <definedName name="Excel_BuiltIn_Print_Area_2" localSheetId="0">#REF!</definedName>
    <definedName name="Excel_BuiltIn_Print_Area_2">#REF!</definedName>
    <definedName name="Excel_BuiltIn_Print_Area_2_1" localSheetId="1">#REF!</definedName>
    <definedName name="Excel_BuiltIn_Print_Area_2_1" localSheetId="0">#REF!</definedName>
    <definedName name="Excel_BuiltIn_Print_Area_2_1">#REF!</definedName>
    <definedName name="Excel_BuiltIn_Print_Area_3" localSheetId="1">#REF!</definedName>
    <definedName name="Excel_BuiltIn_Print_Area_3" localSheetId="0">#REF!</definedName>
    <definedName name="Excel_BuiltIn_Print_Area_3">#REF!</definedName>
    <definedName name="Excel_BuiltIn_Print_Area_3_1" localSheetId="1">#REF!</definedName>
    <definedName name="Excel_BuiltIn_Print_Area_3_1" localSheetId="0">#REF!</definedName>
    <definedName name="Excel_BuiltIn_Print_Area_3_1">#REF!</definedName>
    <definedName name="Excel_BuiltIn_Print_Area_3_1_1" localSheetId="1">#REF!</definedName>
    <definedName name="Excel_BuiltIn_Print_Area_3_1_1" localSheetId="0">#REF!</definedName>
    <definedName name="Excel_BuiltIn_Print_Area_3_1_1">#REF!</definedName>
    <definedName name="Excel_BuiltIn_Print_Area_3_1_1_1" localSheetId="1">#REF!</definedName>
    <definedName name="Excel_BuiltIn_Print_Area_3_1_1_1" localSheetId="0">#REF!</definedName>
    <definedName name="Excel_BuiltIn_Print_Area_3_1_1_1">#REF!</definedName>
    <definedName name="Excel_BuiltIn_Print_Area_3_1_1_1_1" localSheetId="1">#REF!</definedName>
    <definedName name="Excel_BuiltIn_Print_Area_3_1_1_1_1" localSheetId="0">#REF!</definedName>
    <definedName name="Excel_BuiltIn_Print_Area_3_1_1_1_1">#REF!</definedName>
    <definedName name="Excel_BuiltIn_Print_Area_4" localSheetId="1">#REF!</definedName>
    <definedName name="Excel_BuiltIn_Print_Area_4" localSheetId="0">#REF!</definedName>
    <definedName name="Excel_BuiltIn_Print_Area_4">#REF!</definedName>
    <definedName name="Excel_BuiltIn_Print_Area_4_1" localSheetId="1">#REF!</definedName>
    <definedName name="Excel_BuiltIn_Print_Area_4_1" localSheetId="0">#REF!</definedName>
    <definedName name="Excel_BuiltIn_Print_Area_4_1">#REF!</definedName>
    <definedName name="Excel_BuiltIn_Print_Area_4_1_1" localSheetId="1">#REF!</definedName>
    <definedName name="Excel_BuiltIn_Print_Area_4_1_1" localSheetId="0">#REF!</definedName>
    <definedName name="Excel_BuiltIn_Print_Area_4_1_1">#REF!</definedName>
    <definedName name="Excel_BuiltIn_Print_Area_5" localSheetId="1">#REF!</definedName>
    <definedName name="Excel_BuiltIn_Print_Area_5" localSheetId="0">#REF!</definedName>
    <definedName name="Excel_BuiltIn_Print_Area_5">#REF!</definedName>
    <definedName name="Excel_BuiltIn_Print_Area_5_1" localSheetId="1">#REF!</definedName>
    <definedName name="Excel_BuiltIn_Print_Area_5_1" localSheetId="0">#REF!</definedName>
    <definedName name="Excel_BuiltIn_Print_Area_5_1">#REF!</definedName>
    <definedName name="Excel_BuiltIn_Print_Area_5_1_1" localSheetId="1">#REF!</definedName>
    <definedName name="Excel_BuiltIn_Print_Area_5_1_1" localSheetId="0">#REF!</definedName>
    <definedName name="Excel_BuiltIn_Print_Area_5_1_1">#REF!</definedName>
    <definedName name="Excel_BuiltIn_Print_Area_5_1_1_1" localSheetId="1">#REF!</definedName>
    <definedName name="Excel_BuiltIn_Print_Area_5_1_1_1" localSheetId="0">#REF!</definedName>
    <definedName name="Excel_BuiltIn_Print_Area_5_1_1_1">#REF!</definedName>
    <definedName name="Excel_BuiltIn_Print_Area_5_6" localSheetId="1">#REF!</definedName>
    <definedName name="Excel_BuiltIn_Print_Area_5_6" localSheetId="0">#REF!</definedName>
    <definedName name="Excel_BuiltIn_Print_Area_5_6">#REF!</definedName>
    <definedName name="Excel_BuiltIn_Print_Area_5_7" localSheetId="1">#REF!</definedName>
    <definedName name="Excel_BuiltIn_Print_Area_5_7" localSheetId="0">#REF!</definedName>
    <definedName name="Excel_BuiltIn_Print_Area_5_7">#REF!</definedName>
    <definedName name="Excel_BuiltIn_Print_Area_6" localSheetId="1">#REF!</definedName>
    <definedName name="Excel_BuiltIn_Print_Area_6" localSheetId="0">#REF!</definedName>
    <definedName name="Excel_BuiltIn_Print_Area_6">#REF!</definedName>
    <definedName name="Excel_BuiltIn_Print_Area_6_1" localSheetId="1">#REF!</definedName>
    <definedName name="Excel_BuiltIn_Print_Area_6_1" localSheetId="0">#REF!</definedName>
    <definedName name="Excel_BuiltIn_Print_Area_6_1">#REF!</definedName>
    <definedName name="Excel_BuiltIn_Print_Area_6_1_1" localSheetId="1">#REF!</definedName>
    <definedName name="Excel_BuiltIn_Print_Area_6_1_1" localSheetId="0">#REF!</definedName>
    <definedName name="Excel_BuiltIn_Print_Area_6_1_1">#REF!</definedName>
    <definedName name="Excel_BuiltIn_Print_Area_6_1_1_1" localSheetId="1">#REF!</definedName>
    <definedName name="Excel_BuiltIn_Print_Area_6_1_1_1" localSheetId="0">#REF!</definedName>
    <definedName name="Excel_BuiltIn_Print_Area_6_1_1_1">#REF!</definedName>
    <definedName name="Excel_BuiltIn_Print_Area_7" localSheetId="1">#REF!</definedName>
    <definedName name="Excel_BuiltIn_Print_Area_7" localSheetId="0">#REF!</definedName>
    <definedName name="Excel_BuiltIn_Print_Area_7">#REF!</definedName>
    <definedName name="Excel_BuiltIn_Print_Area_7_1" localSheetId="1">#REF!</definedName>
    <definedName name="Excel_BuiltIn_Print_Area_7_1" localSheetId="0">#REF!</definedName>
    <definedName name="Excel_BuiltIn_Print_Area_7_1">#REF!</definedName>
    <definedName name="Excel_BuiltIn_Print_Area_7_1_1" localSheetId="1">#REF!</definedName>
    <definedName name="Excel_BuiltIn_Print_Area_7_1_1" localSheetId="0">#REF!</definedName>
    <definedName name="Excel_BuiltIn_Print_Area_7_1_1">#REF!</definedName>
    <definedName name="Excel_BuiltIn_Print_Area_8" localSheetId="1">#REF!</definedName>
    <definedName name="Excel_BuiltIn_Print_Area_8" localSheetId="0">#REF!</definedName>
    <definedName name="Excel_BuiltIn_Print_Area_8">#REF!</definedName>
    <definedName name="Excel_BuiltIn_Print_Area_8_1" localSheetId="1">#REF!</definedName>
    <definedName name="Excel_BuiltIn_Print_Area_8_1" localSheetId="0">#REF!</definedName>
    <definedName name="Excel_BuiltIn_Print_Area_8_1">#REF!</definedName>
    <definedName name="Excel_BuiltIn_Print_Area_8_1_1">([2]EMERGÊNCIA!$A$1:$N$213,[2]EMERGÊNCIA!$A$214:$N$290)</definedName>
    <definedName name="Excel_BuiltIn_Print_Area_8_1_1_1">([2]EMERGÊNCIA!$A$1:$N$213,[2]EMERGÊNCIA!$A$214:$N$290)</definedName>
    <definedName name="Excel_BuiltIn_Print_Area_9" localSheetId="1">#REF!</definedName>
    <definedName name="Excel_BuiltIn_Print_Area_9" localSheetId="0">#REF!</definedName>
    <definedName name="Excel_BuiltIn_Print_Area_9">#REF!</definedName>
    <definedName name="Excel_BuiltIn_Print_Area_9_1" localSheetId="1">#REF!</definedName>
    <definedName name="Excel_BuiltIn_Print_Area_9_1" localSheetId="0">#REF!</definedName>
    <definedName name="Excel_BuiltIn_Print_Area_9_1">#REF!</definedName>
    <definedName name="Excel_BuiltIn_Print_Area_9_1_1" localSheetId="1">#REF!</definedName>
    <definedName name="Excel_BuiltIn_Print_Area_9_1_1" localSheetId="0">#REF!</definedName>
    <definedName name="Excel_BuiltIn_Print_Area_9_1_1">#REF!</definedName>
    <definedName name="Excel_BuiltIn_Print_Area_9_1_1_1" localSheetId="1">#REF!</definedName>
    <definedName name="Excel_BuiltIn_Print_Area_9_1_1_1" localSheetId="0">#REF!</definedName>
    <definedName name="Excel_BuiltIn_Print_Area_9_1_1_1">#REF!</definedName>
    <definedName name="Excel_BuiltIn_Print_Titles_1_1" localSheetId="1">#REF!</definedName>
    <definedName name="Excel_BuiltIn_Print_Titles_1_1" localSheetId="0">#REF!</definedName>
    <definedName name="Excel_BuiltIn_Print_Titles_1_1">#REF!</definedName>
    <definedName name="Excel_BuiltIn_Print_Titles_1_1_1" localSheetId="1">#REF!</definedName>
    <definedName name="Excel_BuiltIn_Print_Titles_1_1_1" localSheetId="0">#REF!</definedName>
    <definedName name="Excel_BuiltIn_Print_Titles_1_1_1">#REF!</definedName>
    <definedName name="Excel_BuiltIn_Print_Titles_11" localSheetId="1">#REF!</definedName>
    <definedName name="Excel_BuiltIn_Print_Titles_11" localSheetId="0">#REF!</definedName>
    <definedName name="Excel_BuiltIn_Print_Titles_11">#REF!</definedName>
    <definedName name="Excel_BuiltIn_Print_Titles_13" localSheetId="1">#REF!</definedName>
    <definedName name="Excel_BuiltIn_Print_Titles_13" localSheetId="0">#REF!</definedName>
    <definedName name="Excel_BuiltIn_Print_Titles_13">#REF!</definedName>
    <definedName name="Excel_BuiltIn_Print_Titles_14" localSheetId="1">#REF!</definedName>
    <definedName name="Excel_BuiltIn_Print_Titles_14" localSheetId="0">#REF!</definedName>
    <definedName name="Excel_BuiltIn_Print_Titles_14">#REF!</definedName>
    <definedName name="Excel_BuiltIn_Print_Titles_15" localSheetId="1">#REF!</definedName>
    <definedName name="Excel_BuiltIn_Print_Titles_15" localSheetId="0">#REF!</definedName>
    <definedName name="Excel_BuiltIn_Print_Titles_15">#REF!</definedName>
    <definedName name="Excel_BuiltIn_Print_Titles_16" localSheetId="1">#REF!</definedName>
    <definedName name="Excel_BuiltIn_Print_Titles_16" localSheetId="0">#REF!</definedName>
    <definedName name="Excel_BuiltIn_Print_Titles_16">#REF!</definedName>
    <definedName name="Excel_BuiltIn_Print_Titles_17" localSheetId="1">#REF!</definedName>
    <definedName name="Excel_BuiltIn_Print_Titles_17" localSheetId="0">#REF!</definedName>
    <definedName name="Excel_BuiltIn_Print_Titles_17">#REF!</definedName>
    <definedName name="Excel_BuiltIn_Print_Titles_18" localSheetId="1">#REF!</definedName>
    <definedName name="Excel_BuiltIn_Print_Titles_18" localSheetId="0">#REF!</definedName>
    <definedName name="Excel_BuiltIn_Print_Titles_18">#REF!</definedName>
    <definedName name="Excel_BuiltIn_Print_Titles_2" localSheetId="1">#REF!</definedName>
    <definedName name="Excel_BuiltIn_Print_Titles_2" localSheetId="0">#REF!</definedName>
    <definedName name="Excel_BuiltIn_Print_Titles_2">#REF!</definedName>
    <definedName name="Excel_BuiltIn_Print_Titles_3" localSheetId="1">#REF!</definedName>
    <definedName name="Excel_BuiltIn_Print_Titles_3" localSheetId="0">#REF!</definedName>
    <definedName name="Excel_BuiltIn_Print_Titles_3">#REF!</definedName>
    <definedName name="Excel_BuiltIn_Print_Titles_3_1" localSheetId="1">#REF!</definedName>
    <definedName name="Excel_BuiltIn_Print_Titles_3_1" localSheetId="0">#REF!</definedName>
    <definedName name="Excel_BuiltIn_Print_Titles_3_1">#REF!</definedName>
    <definedName name="Excel_BuiltIn_Print_Titles_3_1_1" localSheetId="1">#REF!</definedName>
    <definedName name="Excel_BuiltIn_Print_Titles_3_1_1" localSheetId="0">#REF!</definedName>
    <definedName name="Excel_BuiltIn_Print_Titles_3_1_1">#REF!</definedName>
    <definedName name="Excel_BuiltIn_Print_Titles_3_1_1_1" localSheetId="1">#REF!</definedName>
    <definedName name="Excel_BuiltIn_Print_Titles_3_1_1_1" localSheetId="0">#REF!</definedName>
    <definedName name="Excel_BuiltIn_Print_Titles_3_1_1_1">#REF!</definedName>
    <definedName name="Excel_BuiltIn_Print_Titles_3_4" localSheetId="1">#REF!</definedName>
    <definedName name="Excel_BuiltIn_Print_Titles_3_4" localSheetId="0">#REF!</definedName>
    <definedName name="Excel_BuiltIn_Print_Titles_3_4">#REF!</definedName>
    <definedName name="Excel_BuiltIn_Print_Titles_3_5" localSheetId="1">#REF!</definedName>
    <definedName name="Excel_BuiltIn_Print_Titles_3_5" localSheetId="0">#REF!</definedName>
    <definedName name="Excel_BuiltIn_Print_Titles_3_5">#REF!</definedName>
    <definedName name="Excel_BuiltIn_Print_Titles_3_6" localSheetId="1">#REF!</definedName>
    <definedName name="Excel_BuiltIn_Print_Titles_3_6" localSheetId="0">#REF!</definedName>
    <definedName name="Excel_BuiltIn_Print_Titles_3_6">#REF!</definedName>
    <definedName name="Excel_BuiltIn_Print_Titles_3_7" localSheetId="1">#REF!</definedName>
    <definedName name="Excel_BuiltIn_Print_Titles_3_7" localSheetId="0">#REF!</definedName>
    <definedName name="Excel_BuiltIn_Print_Titles_3_7">#REF!</definedName>
    <definedName name="Excel_BuiltIn_Print_Titles_3_8" localSheetId="1">#REF!</definedName>
    <definedName name="Excel_BuiltIn_Print_Titles_3_8" localSheetId="0">#REF!</definedName>
    <definedName name="Excel_BuiltIn_Print_Titles_3_8">#REF!</definedName>
    <definedName name="Excel_BuiltIn_Print_Titles_3_9" localSheetId="1">#REF!</definedName>
    <definedName name="Excel_BuiltIn_Print_Titles_3_9" localSheetId="0">#REF!</definedName>
    <definedName name="Excel_BuiltIn_Print_Titles_3_9">#REF!</definedName>
    <definedName name="Excel_BuiltIn_Print_Titles_4" localSheetId="1">#REF!</definedName>
    <definedName name="Excel_BuiltIn_Print_Titles_4" localSheetId="0">#REF!</definedName>
    <definedName name="Excel_BuiltIn_Print_Titles_4">#REF!</definedName>
    <definedName name="Excel_BuiltIn_Print_Titles_4_1" localSheetId="1">#REF!</definedName>
    <definedName name="Excel_BuiltIn_Print_Titles_4_1" localSheetId="0">#REF!</definedName>
    <definedName name="Excel_BuiltIn_Print_Titles_4_1">#REF!</definedName>
    <definedName name="Excel_BuiltIn_Print_Titles_4_1_1" localSheetId="1">#REF!</definedName>
    <definedName name="Excel_BuiltIn_Print_Titles_4_1_1" localSheetId="0">#REF!</definedName>
    <definedName name="Excel_BuiltIn_Print_Titles_4_1_1">#REF!</definedName>
    <definedName name="Excel_BuiltIn_Print_Titles_5" localSheetId="1">#REF!</definedName>
    <definedName name="Excel_BuiltIn_Print_Titles_5" localSheetId="0">#REF!</definedName>
    <definedName name="Excel_BuiltIn_Print_Titles_5">#REF!</definedName>
    <definedName name="Excel_BuiltIn_Print_Titles_5_1" localSheetId="1">#REF!</definedName>
    <definedName name="Excel_BuiltIn_Print_Titles_5_1" localSheetId="0">#REF!</definedName>
    <definedName name="Excel_BuiltIn_Print_Titles_5_1">#REF!</definedName>
    <definedName name="Excel_BuiltIn_Print_Titles_5_1_1" localSheetId="1">#REF!</definedName>
    <definedName name="Excel_BuiltIn_Print_Titles_5_1_1" localSheetId="0">#REF!</definedName>
    <definedName name="Excel_BuiltIn_Print_Titles_5_1_1">#REF!</definedName>
    <definedName name="Excel_BuiltIn_Print_Titles_5_1_1_1" localSheetId="1">#REF!</definedName>
    <definedName name="Excel_BuiltIn_Print_Titles_5_1_1_1" localSheetId="0">#REF!</definedName>
    <definedName name="Excel_BuiltIn_Print_Titles_5_1_1_1">#REF!</definedName>
    <definedName name="Excel_BuiltIn_Print_Titles_6" localSheetId="1">#REF!</definedName>
    <definedName name="Excel_BuiltIn_Print_Titles_6" localSheetId="0">#REF!</definedName>
    <definedName name="Excel_BuiltIn_Print_Titles_6">#REF!</definedName>
    <definedName name="Excel_BuiltIn_Print_Titles_6_1" localSheetId="1">#REF!</definedName>
    <definedName name="Excel_BuiltIn_Print_Titles_6_1" localSheetId="0">#REF!</definedName>
    <definedName name="Excel_BuiltIn_Print_Titles_6_1">#REF!</definedName>
    <definedName name="Excel_BuiltIn_Print_Titles_6_1_1" localSheetId="1">#REF!</definedName>
    <definedName name="Excel_BuiltIn_Print_Titles_6_1_1" localSheetId="0">#REF!</definedName>
    <definedName name="Excel_BuiltIn_Print_Titles_6_1_1">#REF!</definedName>
    <definedName name="Excel_BuiltIn_Print_Titles_7" localSheetId="1">#REF!</definedName>
    <definedName name="Excel_BuiltIn_Print_Titles_7" localSheetId="0">#REF!</definedName>
    <definedName name="Excel_BuiltIn_Print_Titles_7">#REF!</definedName>
    <definedName name="Excel_BuiltIn_Print_Titles_7_1" localSheetId="1">#REF!</definedName>
    <definedName name="Excel_BuiltIn_Print_Titles_7_1" localSheetId="0">#REF!</definedName>
    <definedName name="Excel_BuiltIn_Print_Titles_7_1">#REF!</definedName>
    <definedName name="Excel_BuiltIn_Print_Titles_8" localSheetId="1">#REF!</definedName>
    <definedName name="Excel_BuiltIn_Print_Titles_8" localSheetId="0">#REF!</definedName>
    <definedName name="Excel_BuiltIn_Print_Titles_8">#REF!</definedName>
    <definedName name="Excel_BuiltIn_Print_Titles_9" localSheetId="1">#REF!</definedName>
    <definedName name="Excel_BuiltIn_Print_Titles_9" localSheetId="0">#REF!</definedName>
    <definedName name="Excel_BuiltIn_Print_Titles_9">#REF!</definedName>
    <definedName name="Excel_BuiltIn_Print_Titles_9_1" localSheetId="1">#REF!</definedName>
    <definedName name="Excel_BuiltIn_Print_Titles_9_1" localSheetId="0">#REF!</definedName>
    <definedName name="Excel_BuiltIn_Print_Titles_9_1">#REF!</definedName>
    <definedName name="Extract_MI" localSheetId="1">#REF!</definedName>
    <definedName name="Extract_MI" localSheetId="0">#REF!</definedName>
    <definedName name="Extract_MI">#REF!</definedName>
    <definedName name="F" localSheetId="1">#REF!</definedName>
    <definedName name="F" localSheetId="0">#REF!</definedName>
    <definedName name="F">#REF!</definedName>
    <definedName name="FAMILIAS" localSheetId="1">#REF!</definedName>
    <definedName name="FAMILIAS" localSheetId="0">#REF!</definedName>
    <definedName name="FAMILIAS">#REF!</definedName>
    <definedName name="FATURAMENTO" localSheetId="1">#REF!</definedName>
    <definedName name="FATURAMENTO" localSheetId="0">#REF!</definedName>
    <definedName name="FATURAMENTO">#REF!</definedName>
    <definedName name="FDDFASD" localSheetId="1">#REF!</definedName>
    <definedName name="FDDFASD" localSheetId="0">#REF!</definedName>
    <definedName name="FDDFASD">#REF!</definedName>
    <definedName name="folha" localSheetId="1">#REF!</definedName>
    <definedName name="folha" localSheetId="0">#REF!</definedName>
    <definedName name="folha">#REF!</definedName>
    <definedName name="folhas" localSheetId="1">#REF!</definedName>
    <definedName name="folhas" localSheetId="0">#REF!</definedName>
    <definedName name="folhas">#REF!</definedName>
    <definedName name="form01a" localSheetId="1">#REF!</definedName>
    <definedName name="form01a" localSheetId="0">#REF!</definedName>
    <definedName name="form01a">#REF!</definedName>
    <definedName name="form01b" localSheetId="1">#REF!</definedName>
    <definedName name="form01b" localSheetId="0">#REF!</definedName>
    <definedName name="form01b">#REF!</definedName>
    <definedName name="G" localSheetId="1">#REF!</definedName>
    <definedName name="G" localSheetId="0">#REF!</definedName>
    <definedName name="G">#REF!</definedName>
    <definedName name="gasdfsdfase" localSheetId="1">#REF!</definedName>
    <definedName name="gasdfsdfase" localSheetId="0">#REF!</definedName>
    <definedName name="gasdfsdfase">#REF!</definedName>
    <definedName name="gfhfgh" localSheetId="1">#REF!</definedName>
    <definedName name="gfhfgh" localSheetId="0">#REF!</definedName>
    <definedName name="gfhfgh">#REF!</definedName>
    <definedName name="gfhfgh___6" localSheetId="1">#REF!</definedName>
    <definedName name="gfhfgh___6" localSheetId="0">#REF!</definedName>
    <definedName name="gfhfgh___6">#REF!</definedName>
    <definedName name="gfhfgh___6_1" localSheetId="1">#REF!</definedName>
    <definedName name="gfhfgh___6_1" localSheetId="0">#REF!</definedName>
    <definedName name="gfhfgh___6_1">#REF!</definedName>
    <definedName name="gfhfgh___6_1_1" localSheetId="1">#REF!</definedName>
    <definedName name="gfhfgh___6_1_1" localSheetId="0">#REF!</definedName>
    <definedName name="gfhfgh___6_1_1">#REF!</definedName>
    <definedName name="gfhfgh_1" localSheetId="1">#REF!</definedName>
    <definedName name="gfhfgh_1" localSheetId="0">#REF!</definedName>
    <definedName name="gfhfgh_1">#REF!</definedName>
    <definedName name="gfhfgh_1_1" localSheetId="1">#REF!</definedName>
    <definedName name="gfhfgh_1_1" localSheetId="0">#REF!</definedName>
    <definedName name="gfhfgh_1_1">#REF!</definedName>
    <definedName name="GGGG" localSheetId="1">#REF!</definedName>
    <definedName name="GGGG" localSheetId="0">#REF!</definedName>
    <definedName name="GGGG">#REF!</definedName>
    <definedName name="h" localSheetId="1">#REF!</definedName>
    <definedName name="h" localSheetId="0">#REF!</definedName>
    <definedName name="h">#REF!</definedName>
    <definedName name="hjjhj" localSheetId="1">#REF!</definedName>
    <definedName name="hjjhj" localSheetId="0">#REF!</definedName>
    <definedName name="hjjhj">#REF!</definedName>
    <definedName name="hjjhj_1" localSheetId="1">#REF!</definedName>
    <definedName name="hjjhj_1" localSheetId="0">#REF!</definedName>
    <definedName name="hjjhj_1">#REF!</definedName>
    <definedName name="hjjhj_1_1" localSheetId="1">#REF!</definedName>
    <definedName name="hjjhj_1_1" localSheetId="0">#REF!</definedName>
    <definedName name="hjjhj_1_1">#REF!</definedName>
    <definedName name="I" localSheetId="1">#REF!</definedName>
    <definedName name="I" localSheetId="0">#REF!</definedName>
    <definedName name="I">#REF!</definedName>
    <definedName name="II" localSheetId="1">#REF!</definedName>
    <definedName name="II" localSheetId="0">#REF!</definedName>
    <definedName name="II">#REF!</definedName>
    <definedName name="III" localSheetId="1">#REF!</definedName>
    <definedName name="III" localSheetId="0">#REF!</definedName>
    <definedName name="III">#REF!</definedName>
    <definedName name="IMPRESSAO" localSheetId="1">#REF!</definedName>
    <definedName name="IMPRESSAO" localSheetId="0">#REF!</definedName>
    <definedName name="IMPRESSAO">#REF!</definedName>
    <definedName name="ISS" localSheetId="1">#REF!</definedName>
    <definedName name="ISS" localSheetId="0">#REF!</definedName>
    <definedName name="ISS">#REF!</definedName>
    <definedName name="IV" localSheetId="1">#REF!</definedName>
    <definedName name="IV" localSheetId="0">#REF!</definedName>
    <definedName name="IV">#REF!</definedName>
    <definedName name="J" localSheetId="1">#REF!</definedName>
    <definedName name="J" localSheetId="0">#REF!</definedName>
    <definedName name="J">#REF!</definedName>
    <definedName name="JOBINFO" localSheetId="1">#REF!</definedName>
    <definedName name="JOBINFO" localSheetId="0">#REF!</definedName>
    <definedName name="JOBINFO">#REF!</definedName>
    <definedName name="joel01" localSheetId="1">'[8]Materiais (1)'!#REF!</definedName>
    <definedName name="joel01" localSheetId="0">'[8]Materiais (1)'!#REF!</definedName>
    <definedName name="joel01">'[8]Materiais (1)'!#REF!</definedName>
    <definedName name="JUR" localSheetId="1">#REF!</definedName>
    <definedName name="JUR" localSheetId="0">#REF!</definedName>
    <definedName name="JUR">#REF!</definedName>
    <definedName name="k" localSheetId="1">#REF!</definedName>
    <definedName name="k" localSheetId="0">#REF!</definedName>
    <definedName name="k">#REF!</definedName>
    <definedName name="L_" localSheetId="1">#REF!</definedName>
    <definedName name="L_" localSheetId="0">#REF!</definedName>
    <definedName name="L_">#REF!</definedName>
    <definedName name="LAJES" localSheetId="1">#REF!</definedName>
    <definedName name="LAJES" localSheetId="0">#REF!</definedName>
    <definedName name="LAJES">#REF!</definedName>
    <definedName name="LEQ" localSheetId="1">#REF!</definedName>
    <definedName name="LEQ" localSheetId="0">#REF!</definedName>
    <definedName name="LEQ">#REF!</definedName>
    <definedName name="LEQC">'[9]mat civil'!$A$50:$A$55</definedName>
    <definedName name="LI" localSheetId="1">#REF!</definedName>
    <definedName name="LI" localSheetId="0">#REF!</definedName>
    <definedName name="LI">#REF!</definedName>
    <definedName name="LII" localSheetId="1">#REF!</definedName>
    <definedName name="LII" localSheetId="0">#REF!</definedName>
    <definedName name="LII">#REF!</definedName>
    <definedName name="LIII" localSheetId="1">#REF!</definedName>
    <definedName name="LIII" localSheetId="0">#REF!</definedName>
    <definedName name="LIII">#REF!</definedName>
    <definedName name="LIV" localSheetId="1">#REF!</definedName>
    <definedName name="LIV" localSheetId="0">#REF!</definedName>
    <definedName name="LIV">#REF!</definedName>
    <definedName name="LIX" localSheetId="1">#REF!</definedName>
    <definedName name="LIX" localSheetId="0">#REF!</definedName>
    <definedName name="LIX">#REF!</definedName>
    <definedName name="LL" localSheetId="1">#REF!</definedName>
    <definedName name="LL" localSheetId="0">#REF!</definedName>
    <definedName name="LL">#REF!</definedName>
    <definedName name="LL_1" localSheetId="1">#REF!</definedName>
    <definedName name="LL_1" localSheetId="0">#REF!</definedName>
    <definedName name="LL_1">#REF!</definedName>
    <definedName name="LL_1_1" localSheetId="1">#REF!</definedName>
    <definedName name="LL_1_1" localSheetId="0">#REF!</definedName>
    <definedName name="LL_1_1">#REF!</definedName>
    <definedName name="LM_AR" hidden="1">{#N/A,#N/A,FALSE,"F-01"}</definedName>
    <definedName name="LM_ARQ">[0]!DESVINCULAR</definedName>
    <definedName name="LM_AT" hidden="1">{#N/A,#N/A,FALSE,"F-01"}</definedName>
    <definedName name="LM_INC" hidden="1">{#N/A,#N/A,FALSE,"F-01"}</definedName>
    <definedName name="LMAT" localSheetId="1">#REF!</definedName>
    <definedName name="LMAT" localSheetId="0">#REF!</definedName>
    <definedName name="LMAT">#REF!</definedName>
    <definedName name="LMATC">'[9]mat civil'!$A$58:$A$131</definedName>
    <definedName name="LMO" localSheetId="1">#REF!</definedName>
    <definedName name="LMO" localSheetId="0">#REF!</definedName>
    <definedName name="LMO">#REF!</definedName>
    <definedName name="LMOC">'[9]mat civil'!$A$8:$A$24</definedName>
    <definedName name="LOCALMENU" localSheetId="1">#REF!</definedName>
    <definedName name="LOCALMENU" localSheetId="0">#REF!</definedName>
    <definedName name="LOCALMENU">#REF!</definedName>
    <definedName name="LSER" localSheetId="1">#REF!</definedName>
    <definedName name="LSER" localSheetId="0">#REF!</definedName>
    <definedName name="LSER">#REF!</definedName>
    <definedName name="LSERC">'[9]mat civil'!$A$27:$A$47</definedName>
    <definedName name="LV" localSheetId="1">#REF!</definedName>
    <definedName name="LV" localSheetId="0">#REF!</definedName>
    <definedName name="LV">#REF!</definedName>
    <definedName name="LVI" localSheetId="1">#REF!</definedName>
    <definedName name="LVI" localSheetId="0">#REF!</definedName>
    <definedName name="LVI">#REF!</definedName>
    <definedName name="LVII" localSheetId="1">#REF!</definedName>
    <definedName name="LVII" localSheetId="0">#REF!</definedName>
    <definedName name="LVII">#REF!</definedName>
    <definedName name="LVIII" localSheetId="1">#REF!</definedName>
    <definedName name="LVIII" localSheetId="0">#REF!</definedName>
    <definedName name="LVIII">#REF!</definedName>
    <definedName name="LXX" localSheetId="1">#REF!</definedName>
    <definedName name="LXX" localSheetId="0">#REF!</definedName>
    <definedName name="LXX">#REF!</definedName>
    <definedName name="LXXI" localSheetId="1">#REF!</definedName>
    <definedName name="LXXI" localSheetId="0">#REF!</definedName>
    <definedName name="LXXI">#REF!</definedName>
    <definedName name="LXXII" localSheetId="1">#REF!</definedName>
    <definedName name="LXXII" localSheetId="0">#REF!</definedName>
    <definedName name="LXXII">#REF!</definedName>
    <definedName name="LXXIII" localSheetId="1">#REF!</definedName>
    <definedName name="LXXIII" localSheetId="0">#REF!</definedName>
    <definedName name="LXXIII">#REF!</definedName>
    <definedName name="LXXIV" localSheetId="1">#REF!</definedName>
    <definedName name="LXXIV" localSheetId="0">#REF!</definedName>
    <definedName name="LXXIV">#REF!</definedName>
    <definedName name="LXXIX" localSheetId="1">#REF!</definedName>
    <definedName name="LXXIX" localSheetId="0">#REF!</definedName>
    <definedName name="LXXIX">#REF!</definedName>
    <definedName name="LXXV" localSheetId="1">#REF!</definedName>
    <definedName name="LXXV" localSheetId="0">#REF!</definedName>
    <definedName name="LXXV">#REF!</definedName>
    <definedName name="LXXVI" localSheetId="1">#REF!</definedName>
    <definedName name="LXXVI" localSheetId="0">#REF!</definedName>
    <definedName name="LXXVI">#REF!</definedName>
    <definedName name="LXXVII" localSheetId="1">#REF!</definedName>
    <definedName name="LXXVII" localSheetId="0">#REF!</definedName>
    <definedName name="LXXVII">#REF!</definedName>
    <definedName name="LXXVIII" localSheetId="1">#REF!</definedName>
    <definedName name="LXXVIII" localSheetId="0">#REF!</definedName>
    <definedName name="LXXVIII">#REF!</definedName>
    <definedName name="LXXX" localSheetId="1">#REF!</definedName>
    <definedName name="LXXX" localSheetId="0">#REF!</definedName>
    <definedName name="LXXX">#REF!</definedName>
    <definedName name="LXXXI" localSheetId="1">#REF!</definedName>
    <definedName name="LXXXI" localSheetId="0">#REF!</definedName>
    <definedName name="LXXXI">#REF!</definedName>
    <definedName name="LXXXII" localSheetId="1">#REF!</definedName>
    <definedName name="LXXXII" localSheetId="0">#REF!</definedName>
    <definedName name="LXXXII">#REF!</definedName>
    <definedName name="LXXXIII" localSheetId="1">#REF!</definedName>
    <definedName name="LXXXIII" localSheetId="0">#REF!</definedName>
    <definedName name="LXXXIII">#REF!</definedName>
    <definedName name="LXXXIV" localSheetId="1">#REF!</definedName>
    <definedName name="LXXXIV" localSheetId="0">#REF!</definedName>
    <definedName name="LXXXIV">#REF!</definedName>
    <definedName name="LXXXV" localSheetId="1">#REF!</definedName>
    <definedName name="LXXXV" localSheetId="0">#REF!</definedName>
    <definedName name="LXXXV">#REF!</definedName>
    <definedName name="m" localSheetId="1">#REF!</definedName>
    <definedName name="m" localSheetId="0">#REF!</definedName>
    <definedName name="m">#REF!</definedName>
    <definedName name="MAN">[0]!DESVINCULAR</definedName>
    <definedName name="MANU">[0]!DESVINCULAR</definedName>
    <definedName name="manut">[0]!DESVINCULAR</definedName>
    <definedName name="Materiais" localSheetId="1">#REF!</definedName>
    <definedName name="Materiais" localSheetId="0">#REF!</definedName>
    <definedName name="Materiais">#REF!</definedName>
    <definedName name="mmmmmm" localSheetId="1">#REF!</definedName>
    <definedName name="mmmmmm" localSheetId="0">#REF!</definedName>
    <definedName name="mmmmmm">#REF!</definedName>
    <definedName name="moinst">'[10]Mat Inst'!$A$8:$A$13</definedName>
    <definedName name="Novo_nome" localSheetId="1">#REF!</definedName>
    <definedName name="Novo_nome" localSheetId="0">#REF!</definedName>
    <definedName name="Novo_nome">#REF!</definedName>
    <definedName name="numcond1" localSheetId="1">#REF!</definedName>
    <definedName name="numcond1" localSheetId="0">#REF!</definedName>
    <definedName name="numcond1">#REF!</definedName>
    <definedName name="numcond3" localSheetId="1">#REF!</definedName>
    <definedName name="numcond3" localSheetId="0">#REF!</definedName>
    <definedName name="numcond3">#REF!</definedName>
    <definedName name="o" localSheetId="1">#REF!</definedName>
    <definedName name="o" localSheetId="0">#REF!</definedName>
    <definedName name="o">#REF!</definedName>
    <definedName name="os" localSheetId="1">#REF!</definedName>
    <definedName name="os" localSheetId="0">#REF!</definedName>
    <definedName name="os">#REF!</definedName>
    <definedName name="P" localSheetId="1">#REF!</definedName>
    <definedName name="P" localSheetId="0">#REF!</definedName>
    <definedName name="P">#REF!</definedName>
    <definedName name="PAG_1_2" localSheetId="1">#REF!</definedName>
    <definedName name="PAG_1_2" localSheetId="0">#REF!</definedName>
    <definedName name="PAG_1_2">#REF!</definedName>
    <definedName name="PAG_2_2" localSheetId="1">#REF!</definedName>
    <definedName name="PAG_2_2" localSheetId="0">#REF!</definedName>
    <definedName name="PAG_2_2">#REF!</definedName>
    <definedName name="PAG_3_2" localSheetId="1">#REF!</definedName>
    <definedName name="PAG_3_2" localSheetId="0">#REF!</definedName>
    <definedName name="PAG_3_2">#REF!</definedName>
    <definedName name="PAG_4_2" localSheetId="1">#REF!</definedName>
    <definedName name="PAG_4_2" localSheetId="0">#REF!</definedName>
    <definedName name="PAG_4_2">#REF!</definedName>
    <definedName name="PAG_5_2" localSheetId="1">#REF!</definedName>
    <definedName name="PAG_5_2" localSheetId="0">#REF!</definedName>
    <definedName name="PAG_5_2">#REF!</definedName>
    <definedName name="PAG_6_2" localSheetId="1">#REF!</definedName>
    <definedName name="PAG_6_2" localSheetId="0">#REF!</definedName>
    <definedName name="PAG_6_2">#REF!</definedName>
    <definedName name="pc">[11]LT!$A$9:$A$787</definedName>
    <definedName name="PÇ">[11]LT!$A$9:$A$787</definedName>
    <definedName name="Pfim0" localSheetId="1">#REF!</definedName>
    <definedName name="Pfim0" localSheetId="0">#REF!</definedName>
    <definedName name="Pfim0">#REF!</definedName>
    <definedName name="Pfim0a" localSheetId="1">#REF!</definedName>
    <definedName name="Pfim0a" localSheetId="0">#REF!</definedName>
    <definedName name="Pfim0a">#REF!</definedName>
    <definedName name="Pfim1" localSheetId="1">#REF!</definedName>
    <definedName name="Pfim1" localSheetId="0">#REF!</definedName>
    <definedName name="Pfim1">#REF!</definedName>
    <definedName name="PILARES" localSheetId="1">#REF!</definedName>
    <definedName name="PILARES" localSheetId="0">#REF!</definedName>
    <definedName name="PILARES">#REF!</definedName>
    <definedName name="PRAZO" localSheetId="1">#REF!</definedName>
    <definedName name="PRAZO" localSheetId="0">#REF!</definedName>
    <definedName name="PRAZO">#REF!</definedName>
    <definedName name="Preços" localSheetId="1">#REF!</definedName>
    <definedName name="Preços" localSheetId="0">#REF!</definedName>
    <definedName name="Preços">#REF!</definedName>
    <definedName name="Print_Area_MI" localSheetId="1">#REF!</definedName>
    <definedName name="Print_Area_MI" localSheetId="0">#REF!</definedName>
    <definedName name="Print_Area_MI">#REF!</definedName>
    <definedName name="Print_Titles_MI" localSheetId="1">#REF!</definedName>
    <definedName name="Print_Titles_MI" localSheetId="0">#REF!</definedName>
    <definedName name="Print_Titles_MI">#REF!</definedName>
    <definedName name="producto">[11]LT!$A$9:$A$43</definedName>
    <definedName name="PRODUTO">[11]LT!$A$9:$A$43</definedName>
    <definedName name="PRODUTOS">[12]PASSIVOS!$A$2:$A$107</definedName>
    <definedName name="Q" localSheetId="1">#REF!</definedName>
    <definedName name="Q" localSheetId="0">#REF!</definedName>
    <definedName name="Q">#REF!</definedName>
    <definedName name="QTAC" localSheetId="1">#REF!</definedName>
    <definedName name="QTAC" localSheetId="0">#REF!</definedName>
    <definedName name="QTAC">#REF!</definedName>
    <definedName name="qwe">[0]!DESVINCULAR</definedName>
    <definedName name="RANGE1" localSheetId="1">#REF!</definedName>
    <definedName name="RANGE1" localSheetId="0">#REF!</definedName>
    <definedName name="RANGE1">#REF!</definedName>
    <definedName name="Retenç_perc" localSheetId="1">#REF!</definedName>
    <definedName name="Retenç_perc" localSheetId="0">#REF!</definedName>
    <definedName name="Retenç_perc">#REF!</definedName>
    <definedName name="Rev" localSheetId="1">#REF!</definedName>
    <definedName name="Rev" localSheetId="0">#REF!</definedName>
    <definedName name="Rev">#REF!</definedName>
    <definedName name="RRRR" localSheetId="1">#REF!</definedName>
    <definedName name="RRRR" localSheetId="0">#REF!</definedName>
    <definedName name="RRRR">#REF!</definedName>
    <definedName name="S" localSheetId="1">#REF!</definedName>
    <definedName name="S" localSheetId="0">#REF!</definedName>
    <definedName name="S">#REF!</definedName>
    <definedName name="Saldo_aPagar" localSheetId="1">#REF!</definedName>
    <definedName name="Saldo_aPagar" localSheetId="0">#REF!</definedName>
    <definedName name="Saldo_aPagar">#REF!</definedName>
    <definedName name="sd" localSheetId="1">#REF!</definedName>
    <definedName name="sd" localSheetId="0">#REF!</definedName>
    <definedName name="sd">#REF!</definedName>
    <definedName name="SDA">[0]!DESVINCULAR</definedName>
    <definedName name="SDAD">[0]!DESVINCULAR</definedName>
    <definedName name="SDF" localSheetId="1">#REF!</definedName>
    <definedName name="SDF" localSheetId="0">#REF!</definedName>
    <definedName name="SDF">#REF!</definedName>
    <definedName name="SDFDSF" localSheetId="1">#REF!</definedName>
    <definedName name="SDFDSF" localSheetId="0">#REF!</definedName>
    <definedName name="SDFDSF">#REF!</definedName>
    <definedName name="Semnome" localSheetId="1">#REF!</definedName>
    <definedName name="Semnome" localSheetId="0">#REF!</definedName>
    <definedName name="Semnome">#REF!</definedName>
    <definedName name="Semnome___0" localSheetId="1">#REF!</definedName>
    <definedName name="Semnome___0" localSheetId="0">#REF!</definedName>
    <definedName name="Semnome___0">#REF!</definedName>
    <definedName name="Semnome___0___0" localSheetId="1">#REF!</definedName>
    <definedName name="Semnome___0___0" localSheetId="0">#REF!</definedName>
    <definedName name="Semnome___0___0">#REF!</definedName>
    <definedName name="Semnome___0___0___0" localSheetId="1">#REF!</definedName>
    <definedName name="Semnome___0___0___0" localSheetId="0">#REF!</definedName>
    <definedName name="Semnome___0___0___0">#REF!</definedName>
    <definedName name="Semnome___0___0___0___0" localSheetId="1">#REF!</definedName>
    <definedName name="Semnome___0___0___0___0" localSheetId="0">#REF!</definedName>
    <definedName name="Semnome___0___0___0___0">#REF!</definedName>
    <definedName name="Semnome___0___0___0___0___0" localSheetId="1">#REF!</definedName>
    <definedName name="Semnome___0___0___0___0___0" localSheetId="0">#REF!</definedName>
    <definedName name="Semnome___0___0___0___0___0">#REF!</definedName>
    <definedName name="Semnome___0___0___0___0___0___0" localSheetId="1">#REF!</definedName>
    <definedName name="Semnome___0___0___0___0___0___0" localSheetId="0">#REF!</definedName>
    <definedName name="Semnome___0___0___0___0___0___0">#REF!</definedName>
    <definedName name="Semnome___0___0___0___0___0___0___0" localSheetId="1">#REF!</definedName>
    <definedName name="Semnome___0___0___0___0___0___0___0" localSheetId="0">#REF!</definedName>
    <definedName name="Semnome___0___0___0___0___0___0___0">#REF!</definedName>
    <definedName name="Semnome_1" localSheetId="1">#REF!</definedName>
    <definedName name="Semnome_1" localSheetId="0">#REF!</definedName>
    <definedName name="Semnome_1">#REF!</definedName>
    <definedName name="Semnome_1_1" localSheetId="1">#REF!</definedName>
    <definedName name="Semnome_1_1" localSheetId="0">#REF!</definedName>
    <definedName name="Semnome_1_1">#REF!</definedName>
    <definedName name="SHARED_FORMULA_0">#N/A</definedName>
    <definedName name="SHARED_FORMULA_1">#N/A</definedName>
    <definedName name="SHARED_FORMULA_10">#N/A</definedName>
    <definedName name="SHARED_FORMULA_100">#N/A</definedName>
    <definedName name="SHARED_FORMULA_101">#N/A</definedName>
    <definedName name="SHARED_FORMULA_102">#N/A</definedName>
    <definedName name="SHARED_FORMULA_103">#N/A</definedName>
    <definedName name="SHARED_FORMULA_104">#N/A</definedName>
    <definedName name="SHARED_FORMULA_105">#N/A</definedName>
    <definedName name="SHARED_FORMULA_106">#N/A</definedName>
    <definedName name="SHARED_FORMULA_107">#N/A</definedName>
    <definedName name="SHARED_FORMULA_108">#N/A</definedName>
    <definedName name="SHARED_FORMULA_109">#N/A</definedName>
    <definedName name="SHARED_FORMULA_11">#N/A</definedName>
    <definedName name="SHARED_FORMULA_110">#N/A</definedName>
    <definedName name="SHARED_FORMULA_111">#N/A</definedName>
    <definedName name="SHARED_FORMULA_112">#N/A</definedName>
    <definedName name="SHARED_FORMULA_113">#N/A</definedName>
    <definedName name="SHARED_FORMULA_114">#N/A</definedName>
    <definedName name="SHARED_FORMULA_115">#N/A</definedName>
    <definedName name="SHARED_FORMULA_116">#N/A</definedName>
    <definedName name="SHARED_FORMULA_117">#N/A</definedName>
    <definedName name="SHARED_FORMULA_118">#N/A</definedName>
    <definedName name="SHARED_FORMULA_119">#N/A</definedName>
    <definedName name="SHARED_FORMULA_12">#N/A</definedName>
    <definedName name="SHARED_FORMULA_120">#N/A</definedName>
    <definedName name="SHARED_FORMULA_121">#N/A</definedName>
    <definedName name="SHARED_FORMULA_122">#N/A</definedName>
    <definedName name="SHARED_FORMULA_123">#N/A</definedName>
    <definedName name="SHARED_FORMULA_124">#N/A</definedName>
    <definedName name="SHARED_FORMULA_125">#N/A</definedName>
    <definedName name="SHARED_FORMULA_126">#N/A</definedName>
    <definedName name="SHARED_FORMULA_127">#N/A</definedName>
    <definedName name="SHARED_FORMULA_128">#N/A</definedName>
    <definedName name="SHARED_FORMULA_129">#N/A</definedName>
    <definedName name="SHARED_FORMULA_13">#N/A</definedName>
    <definedName name="SHARED_FORMULA_130">#N/A</definedName>
    <definedName name="SHARED_FORMULA_131">#N/A</definedName>
    <definedName name="SHARED_FORMULA_132">#N/A</definedName>
    <definedName name="SHARED_FORMULA_133">#N/A</definedName>
    <definedName name="SHARED_FORMULA_134">#N/A</definedName>
    <definedName name="SHARED_FORMULA_135">#N/A</definedName>
    <definedName name="SHARED_FORMULA_136">#N/A</definedName>
    <definedName name="SHARED_FORMULA_137">#N/A</definedName>
    <definedName name="SHARED_FORMULA_138">#N/A</definedName>
    <definedName name="SHARED_FORMULA_139">#N/A</definedName>
    <definedName name="SHARED_FORMULA_14">#N/A</definedName>
    <definedName name="SHARED_FORMULA_140">#N/A</definedName>
    <definedName name="SHARED_FORMULA_141">#N/A</definedName>
    <definedName name="SHARED_FORMULA_142">#N/A</definedName>
    <definedName name="SHARED_FORMULA_143">#N/A</definedName>
    <definedName name="SHARED_FORMULA_144">#N/A</definedName>
    <definedName name="SHARED_FORMULA_145">#N/A</definedName>
    <definedName name="SHARED_FORMULA_146">#N/A</definedName>
    <definedName name="SHARED_FORMULA_147">#N/A</definedName>
    <definedName name="SHARED_FORMULA_148">#N/A</definedName>
    <definedName name="SHARED_FORMULA_149">#N/A</definedName>
    <definedName name="SHARED_FORMULA_15">#N/A</definedName>
    <definedName name="SHARED_FORMULA_150">#N/A</definedName>
    <definedName name="SHARED_FORMULA_151">#N/A</definedName>
    <definedName name="SHARED_FORMULA_152">#N/A</definedName>
    <definedName name="SHARED_FORMULA_153">#N/A</definedName>
    <definedName name="SHARED_FORMULA_154">#N/A</definedName>
    <definedName name="SHARED_FORMULA_155">#N/A</definedName>
    <definedName name="SHARED_FORMULA_156">#N/A</definedName>
    <definedName name="SHARED_FORMULA_157">#N/A</definedName>
    <definedName name="SHARED_FORMULA_158">#N/A</definedName>
    <definedName name="SHARED_FORMULA_159">#N/A</definedName>
    <definedName name="SHARED_FORMULA_16">#N/A</definedName>
    <definedName name="SHARED_FORMULA_160">#N/A</definedName>
    <definedName name="SHARED_FORMULA_161">#N/A</definedName>
    <definedName name="SHARED_FORMULA_162">#N/A</definedName>
    <definedName name="SHARED_FORMULA_163">#N/A</definedName>
    <definedName name="SHARED_FORMULA_164">#N/A</definedName>
    <definedName name="SHARED_FORMULA_165">#N/A</definedName>
    <definedName name="SHARED_FORMULA_166">#N/A</definedName>
    <definedName name="SHARED_FORMULA_167">#N/A</definedName>
    <definedName name="SHARED_FORMULA_168">#N/A</definedName>
    <definedName name="SHARED_FORMULA_169">#N/A</definedName>
    <definedName name="SHARED_FORMULA_17">#N/A</definedName>
    <definedName name="SHARED_FORMULA_170">#N/A</definedName>
    <definedName name="SHARED_FORMULA_171">#N/A</definedName>
    <definedName name="SHARED_FORMULA_172">#N/A</definedName>
    <definedName name="SHARED_FORMULA_173">#N/A</definedName>
    <definedName name="SHARED_FORMULA_174">#N/A</definedName>
    <definedName name="SHARED_FORMULA_175">#N/A</definedName>
    <definedName name="SHARED_FORMULA_176">#N/A</definedName>
    <definedName name="SHARED_FORMULA_177">#N/A</definedName>
    <definedName name="SHARED_FORMULA_178">#N/A</definedName>
    <definedName name="SHARED_FORMULA_179">#N/A</definedName>
    <definedName name="SHARED_FORMULA_18">#N/A</definedName>
    <definedName name="SHARED_FORMULA_180">#N/A</definedName>
    <definedName name="SHARED_FORMULA_181">#N/A</definedName>
    <definedName name="SHARED_FORMULA_182">#N/A</definedName>
    <definedName name="SHARED_FORMULA_183">#N/A</definedName>
    <definedName name="SHARED_FORMULA_184">#N/A</definedName>
    <definedName name="SHARED_FORMULA_185">#N/A</definedName>
    <definedName name="SHARED_FORMULA_186">#N/A</definedName>
    <definedName name="SHARED_FORMULA_187">#N/A</definedName>
    <definedName name="SHARED_FORMULA_188">#N/A</definedName>
    <definedName name="SHARED_FORMULA_189">#N/A</definedName>
    <definedName name="SHARED_FORMULA_19">#N/A</definedName>
    <definedName name="SHARED_FORMULA_190">#N/A</definedName>
    <definedName name="SHARED_FORMULA_191">#N/A</definedName>
    <definedName name="SHARED_FORMULA_192">#N/A</definedName>
    <definedName name="SHARED_FORMULA_193">#N/A</definedName>
    <definedName name="SHARED_FORMULA_194">#N/A</definedName>
    <definedName name="SHARED_FORMULA_195">#N/A</definedName>
    <definedName name="SHARED_FORMULA_196">#N/A</definedName>
    <definedName name="SHARED_FORMULA_197">#N/A</definedName>
    <definedName name="SHARED_FORMULA_198">#N/A</definedName>
    <definedName name="SHARED_FORMULA_199">#N/A</definedName>
    <definedName name="SHARED_FORMULA_2">#N/A</definedName>
    <definedName name="SHARED_FORMULA_20">#N/A</definedName>
    <definedName name="SHARED_FORMULA_200">#N/A</definedName>
    <definedName name="SHARED_FORMULA_201">#N/A</definedName>
    <definedName name="SHARED_FORMULA_202">#N/A</definedName>
    <definedName name="SHARED_FORMULA_203">#N/A</definedName>
    <definedName name="SHARED_FORMULA_204">#N/A</definedName>
    <definedName name="SHARED_FORMULA_205">#N/A</definedName>
    <definedName name="SHARED_FORMULA_206">#N/A</definedName>
    <definedName name="SHARED_FORMULA_207">#N/A</definedName>
    <definedName name="SHARED_FORMULA_208">#N/A</definedName>
    <definedName name="SHARED_FORMULA_209">#N/A</definedName>
    <definedName name="SHARED_FORMULA_21">#N/A</definedName>
    <definedName name="SHARED_FORMULA_210">#N/A</definedName>
    <definedName name="SHARED_FORMULA_211">#N/A</definedName>
    <definedName name="SHARED_FORMULA_212">#N/A</definedName>
    <definedName name="SHARED_FORMULA_213">#N/A</definedName>
    <definedName name="SHARED_FORMULA_214">#N/A</definedName>
    <definedName name="SHARED_FORMULA_215">#N/A</definedName>
    <definedName name="SHARED_FORMULA_216">#N/A</definedName>
    <definedName name="SHARED_FORMULA_217">#N/A</definedName>
    <definedName name="SHARED_FORMULA_218">#N/A</definedName>
    <definedName name="SHARED_FORMULA_219">#N/A</definedName>
    <definedName name="SHARED_FORMULA_22">#N/A</definedName>
    <definedName name="SHARED_FORMULA_220">#N/A</definedName>
    <definedName name="SHARED_FORMULA_221">#N/A</definedName>
    <definedName name="SHARED_FORMULA_222">#N/A</definedName>
    <definedName name="SHARED_FORMULA_223">#N/A</definedName>
    <definedName name="SHARED_FORMULA_224">#N/A</definedName>
    <definedName name="SHARED_FORMULA_225">#N/A</definedName>
    <definedName name="SHARED_FORMULA_226">#N/A</definedName>
    <definedName name="SHARED_FORMULA_227">#N/A</definedName>
    <definedName name="SHARED_FORMULA_228">#N/A</definedName>
    <definedName name="SHARED_FORMULA_229">#N/A</definedName>
    <definedName name="SHARED_FORMULA_23">#N/A</definedName>
    <definedName name="SHARED_FORMULA_230">#N/A</definedName>
    <definedName name="SHARED_FORMULA_231">#N/A</definedName>
    <definedName name="SHARED_FORMULA_232">#N/A</definedName>
    <definedName name="SHARED_FORMULA_233">#N/A</definedName>
    <definedName name="SHARED_FORMULA_234">#N/A</definedName>
    <definedName name="SHARED_FORMULA_235">#N/A</definedName>
    <definedName name="SHARED_FORMULA_236">#N/A</definedName>
    <definedName name="SHARED_FORMULA_237">#N/A</definedName>
    <definedName name="SHARED_FORMULA_238">#N/A</definedName>
    <definedName name="SHARED_FORMULA_239">#N/A</definedName>
    <definedName name="SHARED_FORMULA_24">#N/A</definedName>
    <definedName name="SHARED_FORMULA_240">#N/A</definedName>
    <definedName name="SHARED_FORMULA_241">#N/A</definedName>
    <definedName name="SHARED_FORMULA_242">#N/A</definedName>
    <definedName name="SHARED_FORMULA_243">#N/A</definedName>
    <definedName name="SHARED_FORMULA_244">#N/A</definedName>
    <definedName name="SHARED_FORMULA_245">#N/A</definedName>
    <definedName name="SHARED_FORMULA_246">#N/A</definedName>
    <definedName name="SHARED_FORMULA_247">#N/A</definedName>
    <definedName name="SHARED_FORMULA_248">#N/A</definedName>
    <definedName name="SHARED_FORMULA_249">#N/A</definedName>
    <definedName name="SHARED_FORMULA_25">#N/A</definedName>
    <definedName name="SHARED_FORMULA_250">#N/A</definedName>
    <definedName name="SHARED_FORMULA_251">#N/A</definedName>
    <definedName name="SHARED_FORMULA_252">#N/A</definedName>
    <definedName name="SHARED_FORMULA_253">#N/A</definedName>
    <definedName name="SHARED_FORMULA_254">#N/A</definedName>
    <definedName name="SHARED_FORMULA_255">#N/A</definedName>
    <definedName name="SHARED_FORMULA_256">#N/A</definedName>
    <definedName name="SHARED_FORMULA_257">#N/A</definedName>
    <definedName name="SHARED_FORMULA_258">#N/A</definedName>
    <definedName name="SHARED_FORMULA_259">#N/A</definedName>
    <definedName name="SHARED_FORMULA_26">#N/A</definedName>
    <definedName name="SHARED_FORMULA_260">#N/A</definedName>
    <definedName name="SHARED_FORMULA_261">#N/A</definedName>
    <definedName name="SHARED_FORMULA_262">#N/A</definedName>
    <definedName name="SHARED_FORMULA_263">#N/A</definedName>
    <definedName name="SHARED_FORMULA_264">#N/A</definedName>
    <definedName name="SHARED_FORMULA_265">#N/A</definedName>
    <definedName name="SHARED_FORMULA_266">#N/A</definedName>
    <definedName name="SHARED_FORMULA_267">#N/A</definedName>
    <definedName name="SHARED_FORMULA_268">#N/A</definedName>
    <definedName name="SHARED_FORMULA_269">#N/A</definedName>
    <definedName name="SHARED_FORMULA_27">#N/A</definedName>
    <definedName name="SHARED_FORMULA_270">#N/A</definedName>
    <definedName name="SHARED_FORMULA_271">#N/A</definedName>
    <definedName name="SHARED_FORMULA_272">#N/A</definedName>
    <definedName name="SHARED_FORMULA_273">#N/A</definedName>
    <definedName name="SHARED_FORMULA_274">#N/A</definedName>
    <definedName name="SHARED_FORMULA_275">#N/A</definedName>
    <definedName name="SHARED_FORMULA_276">#N/A</definedName>
    <definedName name="SHARED_FORMULA_277">#N/A</definedName>
    <definedName name="SHARED_FORMULA_278">#N/A</definedName>
    <definedName name="SHARED_FORMULA_279">#N/A</definedName>
    <definedName name="SHARED_FORMULA_28">#N/A</definedName>
    <definedName name="SHARED_FORMULA_280">#N/A</definedName>
    <definedName name="SHARED_FORMULA_281">#N/A</definedName>
    <definedName name="SHARED_FORMULA_282">#N/A</definedName>
    <definedName name="SHARED_FORMULA_283">#N/A</definedName>
    <definedName name="SHARED_FORMULA_284">#N/A</definedName>
    <definedName name="SHARED_FORMULA_285">#N/A</definedName>
    <definedName name="SHARED_FORMULA_286">#N/A</definedName>
    <definedName name="SHARED_FORMULA_287">#N/A</definedName>
    <definedName name="SHARED_FORMULA_288">#N/A</definedName>
    <definedName name="SHARED_FORMULA_289">#N/A</definedName>
    <definedName name="SHARED_FORMULA_29">#N/A</definedName>
    <definedName name="SHARED_FORMULA_290">#N/A</definedName>
    <definedName name="SHARED_FORMULA_291">#N/A</definedName>
    <definedName name="SHARED_FORMULA_292">#N/A</definedName>
    <definedName name="SHARED_FORMULA_293">#N/A</definedName>
    <definedName name="SHARED_FORMULA_294">#N/A</definedName>
    <definedName name="SHARED_FORMULA_295">#N/A</definedName>
    <definedName name="SHARED_FORMULA_296">#N/A</definedName>
    <definedName name="SHARED_FORMULA_297">#N/A</definedName>
    <definedName name="SHARED_FORMULA_298">#N/A</definedName>
    <definedName name="SHARED_FORMULA_299">#N/A</definedName>
    <definedName name="SHARED_FORMULA_3">#N/A</definedName>
    <definedName name="SHARED_FORMULA_30">#N/A</definedName>
    <definedName name="SHARED_FORMULA_300">#N/A</definedName>
    <definedName name="SHARED_FORMULA_301">#N/A</definedName>
    <definedName name="SHARED_FORMULA_302">#N/A</definedName>
    <definedName name="SHARED_FORMULA_303">#N/A</definedName>
    <definedName name="SHARED_FORMULA_304">#N/A</definedName>
    <definedName name="SHARED_FORMULA_305">#N/A</definedName>
    <definedName name="SHARED_FORMULA_306">#N/A</definedName>
    <definedName name="SHARED_FORMULA_307">#N/A</definedName>
    <definedName name="SHARED_FORMULA_308">#N/A</definedName>
    <definedName name="SHARED_FORMULA_309">#N/A</definedName>
    <definedName name="SHARED_FORMULA_31">#N/A</definedName>
    <definedName name="SHARED_FORMULA_310">#N/A</definedName>
    <definedName name="SHARED_FORMULA_311">#N/A</definedName>
    <definedName name="SHARED_FORMULA_312">#N/A</definedName>
    <definedName name="SHARED_FORMULA_313">#N/A</definedName>
    <definedName name="SHARED_FORMULA_314">#N/A</definedName>
    <definedName name="SHARED_FORMULA_315">#N/A</definedName>
    <definedName name="SHARED_FORMULA_316">#N/A</definedName>
    <definedName name="SHARED_FORMULA_317">#N/A</definedName>
    <definedName name="SHARED_FORMULA_318">#N/A</definedName>
    <definedName name="SHARED_FORMULA_319">#N/A</definedName>
    <definedName name="SHARED_FORMULA_32">#N/A</definedName>
    <definedName name="SHARED_FORMULA_320">#N/A</definedName>
    <definedName name="SHARED_FORMULA_321">#N/A</definedName>
    <definedName name="SHARED_FORMULA_322">#N/A</definedName>
    <definedName name="SHARED_FORMULA_323">#N/A</definedName>
    <definedName name="SHARED_FORMULA_324">#N/A</definedName>
    <definedName name="SHARED_FORMULA_325">#N/A</definedName>
    <definedName name="SHARED_FORMULA_326">#N/A</definedName>
    <definedName name="SHARED_FORMULA_327">#N/A</definedName>
    <definedName name="SHARED_FORMULA_328">#N/A</definedName>
    <definedName name="SHARED_FORMULA_329">#N/A</definedName>
    <definedName name="SHARED_FORMULA_33">#N/A</definedName>
    <definedName name="SHARED_FORMULA_330">#N/A</definedName>
    <definedName name="SHARED_FORMULA_331">#N/A</definedName>
    <definedName name="SHARED_FORMULA_332">#N/A</definedName>
    <definedName name="SHARED_FORMULA_333">#N/A</definedName>
    <definedName name="SHARED_FORMULA_334">#N/A</definedName>
    <definedName name="SHARED_FORMULA_335">#N/A</definedName>
    <definedName name="SHARED_FORMULA_336">#N/A</definedName>
    <definedName name="SHARED_FORMULA_337">#N/A</definedName>
    <definedName name="SHARED_FORMULA_338">#N/A</definedName>
    <definedName name="SHARED_FORMULA_339">#N/A</definedName>
    <definedName name="SHARED_FORMULA_34">#N/A</definedName>
    <definedName name="SHARED_FORMULA_340">#N/A</definedName>
    <definedName name="SHARED_FORMULA_341">#N/A</definedName>
    <definedName name="SHARED_FORMULA_342">#N/A</definedName>
    <definedName name="SHARED_FORMULA_343">#N/A</definedName>
    <definedName name="SHARED_FORMULA_344">#N/A</definedName>
    <definedName name="SHARED_FORMULA_345">#N/A</definedName>
    <definedName name="SHARED_FORMULA_346">#N/A</definedName>
    <definedName name="SHARED_FORMULA_347">#N/A</definedName>
    <definedName name="SHARED_FORMULA_348">#N/A</definedName>
    <definedName name="SHARED_FORMULA_349">#N/A</definedName>
    <definedName name="SHARED_FORMULA_35">#N/A</definedName>
    <definedName name="SHARED_FORMULA_350">#N/A</definedName>
    <definedName name="SHARED_FORMULA_351">#N/A</definedName>
    <definedName name="SHARED_FORMULA_352">#N/A</definedName>
    <definedName name="SHARED_FORMULA_353">#N/A</definedName>
    <definedName name="SHARED_FORMULA_354">#N/A</definedName>
    <definedName name="SHARED_FORMULA_355">#N/A</definedName>
    <definedName name="SHARED_FORMULA_356">#N/A</definedName>
    <definedName name="SHARED_FORMULA_357">#N/A</definedName>
    <definedName name="SHARED_FORMULA_358">#N/A</definedName>
    <definedName name="SHARED_FORMULA_359">#N/A</definedName>
    <definedName name="SHARED_FORMULA_36">#N/A</definedName>
    <definedName name="SHARED_FORMULA_360">#N/A</definedName>
    <definedName name="SHARED_FORMULA_361">#N/A</definedName>
    <definedName name="SHARED_FORMULA_362">#N/A</definedName>
    <definedName name="SHARED_FORMULA_363">#N/A</definedName>
    <definedName name="SHARED_FORMULA_364">#N/A</definedName>
    <definedName name="SHARED_FORMULA_365">#N/A</definedName>
    <definedName name="SHARED_FORMULA_366">#N/A</definedName>
    <definedName name="SHARED_FORMULA_367">#N/A</definedName>
    <definedName name="SHARED_FORMULA_368">#N/A</definedName>
    <definedName name="SHARED_FORMULA_369">#N/A</definedName>
    <definedName name="SHARED_FORMULA_37">#N/A</definedName>
    <definedName name="SHARED_FORMULA_370">#N/A</definedName>
    <definedName name="SHARED_FORMULA_371">#N/A</definedName>
    <definedName name="SHARED_FORMULA_372">#N/A</definedName>
    <definedName name="SHARED_FORMULA_373">#N/A</definedName>
    <definedName name="SHARED_FORMULA_374">#N/A</definedName>
    <definedName name="SHARED_FORMULA_375">#N/A</definedName>
    <definedName name="SHARED_FORMULA_376">#N/A</definedName>
    <definedName name="SHARED_FORMULA_377">#N/A</definedName>
    <definedName name="SHARED_FORMULA_378">#N/A</definedName>
    <definedName name="SHARED_FORMULA_379">#N/A</definedName>
    <definedName name="SHARED_FORMULA_38">#N/A</definedName>
    <definedName name="SHARED_FORMULA_380">#N/A</definedName>
    <definedName name="SHARED_FORMULA_381">#N/A</definedName>
    <definedName name="SHARED_FORMULA_382">#N/A</definedName>
    <definedName name="SHARED_FORMULA_383">#N/A</definedName>
    <definedName name="SHARED_FORMULA_384">#N/A</definedName>
    <definedName name="SHARED_FORMULA_385">#N/A</definedName>
    <definedName name="SHARED_FORMULA_386">#N/A</definedName>
    <definedName name="SHARED_FORMULA_387">#N/A</definedName>
    <definedName name="SHARED_FORMULA_388">#N/A</definedName>
    <definedName name="SHARED_FORMULA_389">#N/A</definedName>
    <definedName name="SHARED_FORMULA_39">#N/A</definedName>
    <definedName name="SHARED_FORMULA_390">#N/A</definedName>
    <definedName name="SHARED_FORMULA_391">#N/A</definedName>
    <definedName name="SHARED_FORMULA_392">#N/A</definedName>
    <definedName name="SHARED_FORMULA_393">#N/A</definedName>
    <definedName name="SHARED_FORMULA_394">#N/A</definedName>
    <definedName name="SHARED_FORMULA_395">#N/A</definedName>
    <definedName name="SHARED_FORMULA_396">#N/A</definedName>
    <definedName name="SHARED_FORMULA_397">#N/A</definedName>
    <definedName name="SHARED_FORMULA_398">#N/A</definedName>
    <definedName name="SHARED_FORMULA_399">#N/A</definedName>
    <definedName name="SHARED_FORMULA_4">#N/A</definedName>
    <definedName name="SHARED_FORMULA_40">#N/A</definedName>
    <definedName name="SHARED_FORMULA_400">#N/A</definedName>
    <definedName name="SHARED_FORMULA_401">#N/A</definedName>
    <definedName name="SHARED_FORMULA_402">#N/A</definedName>
    <definedName name="SHARED_FORMULA_403">#N/A</definedName>
    <definedName name="SHARED_FORMULA_404">#N/A</definedName>
    <definedName name="SHARED_FORMULA_405">#N/A</definedName>
    <definedName name="SHARED_FORMULA_406">#N/A</definedName>
    <definedName name="SHARED_FORMULA_407">#N/A</definedName>
    <definedName name="SHARED_FORMULA_408">#N/A</definedName>
    <definedName name="SHARED_FORMULA_409">#N/A</definedName>
    <definedName name="SHARED_FORMULA_41">#N/A</definedName>
    <definedName name="SHARED_FORMULA_410">#N/A</definedName>
    <definedName name="SHARED_FORMULA_411">#N/A</definedName>
    <definedName name="SHARED_FORMULA_412">#N/A</definedName>
    <definedName name="SHARED_FORMULA_413">#N/A</definedName>
    <definedName name="SHARED_FORMULA_414">#N/A</definedName>
    <definedName name="SHARED_FORMULA_415">#N/A</definedName>
    <definedName name="SHARED_FORMULA_416">#N/A</definedName>
    <definedName name="SHARED_FORMULA_417">#N/A</definedName>
    <definedName name="SHARED_FORMULA_418">#N/A</definedName>
    <definedName name="SHARED_FORMULA_419">#N/A</definedName>
    <definedName name="SHARED_FORMULA_42">#N/A</definedName>
    <definedName name="SHARED_FORMULA_420">#N/A</definedName>
    <definedName name="SHARED_FORMULA_421">#N/A</definedName>
    <definedName name="SHARED_FORMULA_422">#N/A</definedName>
    <definedName name="SHARED_FORMULA_423">#N/A</definedName>
    <definedName name="SHARED_FORMULA_424">#N/A</definedName>
    <definedName name="SHARED_FORMULA_425">#N/A</definedName>
    <definedName name="SHARED_FORMULA_426">#N/A</definedName>
    <definedName name="SHARED_FORMULA_427">#N/A</definedName>
    <definedName name="SHARED_FORMULA_428">#N/A</definedName>
    <definedName name="SHARED_FORMULA_429">#N/A</definedName>
    <definedName name="SHARED_FORMULA_43">#N/A</definedName>
    <definedName name="SHARED_FORMULA_430">#N/A</definedName>
    <definedName name="SHARED_FORMULA_431">#N/A</definedName>
    <definedName name="SHARED_FORMULA_432">#N/A</definedName>
    <definedName name="SHARED_FORMULA_433">#N/A</definedName>
    <definedName name="SHARED_FORMULA_434">#N/A</definedName>
    <definedName name="SHARED_FORMULA_435">#N/A</definedName>
    <definedName name="SHARED_FORMULA_436">#N/A</definedName>
    <definedName name="SHARED_FORMULA_437">#N/A</definedName>
    <definedName name="SHARED_FORMULA_438">#N/A</definedName>
    <definedName name="SHARED_FORMULA_439">#N/A</definedName>
    <definedName name="SHARED_FORMULA_44">#N/A</definedName>
    <definedName name="SHARED_FORMULA_440">#N/A</definedName>
    <definedName name="SHARED_FORMULA_441">#N/A</definedName>
    <definedName name="SHARED_FORMULA_442">#N/A</definedName>
    <definedName name="SHARED_FORMULA_443">#N/A</definedName>
    <definedName name="SHARED_FORMULA_444">#N/A</definedName>
    <definedName name="SHARED_FORMULA_445">#N/A</definedName>
    <definedName name="SHARED_FORMULA_446">#N/A</definedName>
    <definedName name="SHARED_FORMULA_447">#N/A</definedName>
    <definedName name="SHARED_FORMULA_448">#N/A</definedName>
    <definedName name="SHARED_FORMULA_449">#N/A</definedName>
    <definedName name="SHARED_FORMULA_45">#N/A</definedName>
    <definedName name="SHARED_FORMULA_450">#N/A</definedName>
    <definedName name="SHARED_FORMULA_451">#N/A</definedName>
    <definedName name="SHARED_FORMULA_452">#N/A</definedName>
    <definedName name="SHARED_FORMULA_453">#N/A</definedName>
    <definedName name="SHARED_FORMULA_454">#N/A</definedName>
    <definedName name="SHARED_FORMULA_455">#N/A</definedName>
    <definedName name="SHARED_FORMULA_456">#N/A</definedName>
    <definedName name="SHARED_FORMULA_457">#N/A</definedName>
    <definedName name="SHARED_FORMULA_458">#N/A</definedName>
    <definedName name="SHARED_FORMULA_459">#N/A</definedName>
    <definedName name="SHARED_FORMULA_46">#N/A</definedName>
    <definedName name="SHARED_FORMULA_460">#N/A</definedName>
    <definedName name="SHARED_FORMULA_461">#N/A</definedName>
    <definedName name="SHARED_FORMULA_462">#N/A</definedName>
    <definedName name="SHARED_FORMULA_463">#N/A</definedName>
    <definedName name="SHARED_FORMULA_464">#N/A</definedName>
    <definedName name="SHARED_FORMULA_465">#N/A</definedName>
    <definedName name="SHARED_FORMULA_466">#N/A</definedName>
    <definedName name="SHARED_FORMULA_467">#N/A</definedName>
    <definedName name="SHARED_FORMULA_468">#N/A</definedName>
    <definedName name="SHARED_FORMULA_469">#N/A</definedName>
    <definedName name="SHARED_FORMULA_47">#N/A</definedName>
    <definedName name="SHARED_FORMULA_470">#N/A</definedName>
    <definedName name="SHARED_FORMULA_471">#N/A</definedName>
    <definedName name="SHARED_FORMULA_472">#N/A</definedName>
    <definedName name="SHARED_FORMULA_473">#N/A</definedName>
    <definedName name="SHARED_FORMULA_474">#N/A</definedName>
    <definedName name="SHARED_FORMULA_475">#N/A</definedName>
    <definedName name="SHARED_FORMULA_476">#N/A</definedName>
    <definedName name="SHARED_FORMULA_477">#N/A</definedName>
    <definedName name="SHARED_FORMULA_478">#N/A</definedName>
    <definedName name="SHARED_FORMULA_479">#N/A</definedName>
    <definedName name="SHARED_FORMULA_48">#N/A</definedName>
    <definedName name="SHARED_FORMULA_480">#N/A</definedName>
    <definedName name="SHARED_FORMULA_481">#N/A</definedName>
    <definedName name="SHARED_FORMULA_482">#N/A</definedName>
    <definedName name="SHARED_FORMULA_483">#N/A</definedName>
    <definedName name="SHARED_FORMULA_484">#N/A</definedName>
    <definedName name="SHARED_FORMULA_485">#N/A</definedName>
    <definedName name="SHARED_FORMULA_486">#N/A</definedName>
    <definedName name="SHARED_FORMULA_487">#N/A</definedName>
    <definedName name="SHARED_FORMULA_488">#N/A</definedName>
    <definedName name="SHARED_FORMULA_489">#N/A</definedName>
    <definedName name="SHARED_FORMULA_49">#N/A</definedName>
    <definedName name="SHARED_FORMULA_490">#N/A</definedName>
    <definedName name="SHARED_FORMULA_491">#N/A</definedName>
    <definedName name="SHARED_FORMULA_492">#N/A</definedName>
    <definedName name="SHARED_FORMULA_493">#N/A</definedName>
    <definedName name="SHARED_FORMULA_494">#N/A</definedName>
    <definedName name="SHARED_FORMULA_495">#N/A</definedName>
    <definedName name="SHARED_FORMULA_496">#N/A</definedName>
    <definedName name="SHARED_FORMULA_497">#N/A</definedName>
    <definedName name="SHARED_FORMULA_498">#N/A</definedName>
    <definedName name="SHARED_FORMULA_499">#N/A</definedName>
    <definedName name="SHARED_FORMULA_5">#N/A</definedName>
    <definedName name="SHARED_FORMULA_50">#N/A</definedName>
    <definedName name="SHARED_FORMULA_500">#N/A</definedName>
    <definedName name="SHARED_FORMULA_501">#N/A</definedName>
    <definedName name="SHARED_FORMULA_502">#N/A</definedName>
    <definedName name="SHARED_FORMULA_503">#N/A</definedName>
    <definedName name="SHARED_FORMULA_504">#N/A</definedName>
    <definedName name="SHARED_FORMULA_505">#N/A</definedName>
    <definedName name="SHARED_FORMULA_506">#N/A</definedName>
    <definedName name="SHARED_FORMULA_507">#N/A</definedName>
    <definedName name="SHARED_FORMULA_508">#N/A</definedName>
    <definedName name="SHARED_FORMULA_509">#N/A</definedName>
    <definedName name="SHARED_FORMULA_51">#N/A</definedName>
    <definedName name="SHARED_FORMULA_510">#N/A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59">#N/A</definedName>
    <definedName name="SHARED_FORMULA_6">#N/A</definedName>
    <definedName name="SHARED_FORMULA_60">#N/A</definedName>
    <definedName name="SHARED_FORMULA_61">#N/A</definedName>
    <definedName name="SHARED_FORMULA_62">#N/A</definedName>
    <definedName name="SHARED_FORMULA_63">#N/A</definedName>
    <definedName name="SHARED_FORMULA_64">#N/A</definedName>
    <definedName name="SHARED_FORMULA_65">#N/A</definedName>
    <definedName name="SHARED_FORMULA_66">#N/A</definedName>
    <definedName name="SHARED_FORMULA_67">#N/A</definedName>
    <definedName name="SHARED_FORMULA_68">#N/A</definedName>
    <definedName name="SHARED_FORMULA_69">#N/A</definedName>
    <definedName name="SHARED_FORMULA_7">#N/A</definedName>
    <definedName name="SHARED_FORMULA_70">#N/A</definedName>
    <definedName name="SHARED_FORMULA_71">#N/A</definedName>
    <definedName name="SHARED_FORMULA_72">#N/A</definedName>
    <definedName name="SHARED_FORMULA_73">#N/A</definedName>
    <definedName name="SHARED_FORMULA_74">#N/A</definedName>
    <definedName name="SHARED_FORMULA_75">#N/A</definedName>
    <definedName name="SHARED_FORMULA_76">#N/A</definedName>
    <definedName name="SHARED_FORMULA_77">#N/A</definedName>
    <definedName name="SHARED_FORMULA_78">#N/A</definedName>
    <definedName name="SHARED_FORMULA_79">#N/A</definedName>
    <definedName name="SHARED_FORMULA_8">#N/A</definedName>
    <definedName name="SHARED_FORMULA_80">#N/A</definedName>
    <definedName name="SHARED_FORMULA_81">#N/A</definedName>
    <definedName name="SHARED_FORMULA_82">#N/A</definedName>
    <definedName name="SHARED_FORMULA_83">#N/A</definedName>
    <definedName name="SHARED_FORMULA_84">#N/A</definedName>
    <definedName name="SHARED_FORMULA_85">#N/A</definedName>
    <definedName name="SHARED_FORMULA_86">#N/A</definedName>
    <definedName name="SHARED_FORMULA_87">#N/A</definedName>
    <definedName name="SHARED_FORMULA_88">#N/A</definedName>
    <definedName name="SHARED_FORMULA_89">#N/A</definedName>
    <definedName name="SHARED_FORMULA_9">#N/A</definedName>
    <definedName name="SHARED_FORMULA_90">#N/A</definedName>
    <definedName name="SHARED_FORMULA_91">#N/A</definedName>
    <definedName name="SHARED_FORMULA_92">#N/A</definedName>
    <definedName name="SHARED_FORMULA_93">#N/A</definedName>
    <definedName name="SHARED_FORMULA_94">#N/A</definedName>
    <definedName name="SHARED_FORMULA_95">#N/A</definedName>
    <definedName name="SHARED_FORMULA_96">#N/A</definedName>
    <definedName name="SHARED_FORMULA_97">#N/A</definedName>
    <definedName name="SHARED_FORMULA_98">#N/A</definedName>
    <definedName name="SHARED_FORMULA_99">#N/A</definedName>
    <definedName name="SS" localSheetId="1">#REF!</definedName>
    <definedName name="SS" localSheetId="0">#REF!</definedName>
    <definedName name="SS">#REF!</definedName>
    <definedName name="SSS" localSheetId="1">#REF!</definedName>
    <definedName name="SSS" localSheetId="0">#REF!</definedName>
    <definedName name="SSS">#REF!</definedName>
    <definedName name="SSSSS" localSheetId="1">#REF!</definedName>
    <definedName name="SSSSS" localSheetId="0">#REF!</definedName>
    <definedName name="SSSSS">#REF!</definedName>
    <definedName name="SSSSSSS" localSheetId="1">#REF!</definedName>
    <definedName name="SSSSSSS" localSheetId="0">#REF!</definedName>
    <definedName name="SSSSSSS">#REF!</definedName>
    <definedName name="START" localSheetId="1">#REF!</definedName>
    <definedName name="START" localSheetId="0">#REF!</definedName>
    <definedName name="START">#REF!</definedName>
    <definedName name="STATUS" localSheetId="1">#REF!</definedName>
    <definedName name="STATUS" localSheetId="0">#REF!</definedName>
    <definedName name="STATUS">#REF!</definedName>
    <definedName name="T" localSheetId="1">#REF!</definedName>
    <definedName name="T" localSheetId="0">#REF!</definedName>
    <definedName name="T">#REF!</definedName>
    <definedName name="TABELA">[11]LT!$A$9:$E$42</definedName>
    <definedName name="TABSERBO" localSheetId="1">#REF!</definedName>
    <definedName name="TABSERBO" localSheetId="0">#REF!</definedName>
    <definedName name="TABSERBO">#REF!</definedName>
    <definedName name="TECH" localSheetId="1">#REF!</definedName>
    <definedName name="TECH" localSheetId="0">#REF!</definedName>
    <definedName name="TECH">#REF!</definedName>
    <definedName name="teste" localSheetId="1">#REF!</definedName>
    <definedName name="teste" localSheetId="0">#REF!</definedName>
    <definedName name="teste">#REF!</definedName>
    <definedName name="teste1" localSheetId="1">#REF!</definedName>
    <definedName name="teste1" localSheetId="0">#REF!</definedName>
    <definedName name="teste1">#REF!</definedName>
    <definedName name="teste2" localSheetId="1">'[5]CAPA -1'!#REF!</definedName>
    <definedName name="teste2" localSheetId="0">'[5]CAPA -1'!#REF!</definedName>
    <definedName name="teste2">'[5]CAPA -1'!#REF!</definedName>
    <definedName name="teste3" localSheetId="1">#REF!</definedName>
    <definedName name="teste3" localSheetId="0">#REF!</definedName>
    <definedName name="teste3">#REF!</definedName>
    <definedName name="TESTE4" localSheetId="1">#REF!</definedName>
    <definedName name="TESTE4" localSheetId="0">#REF!</definedName>
    <definedName name="TESTE4">#REF!</definedName>
    <definedName name="TESTE5" localSheetId="1">#REF!</definedName>
    <definedName name="TESTE5" localSheetId="0">#REF!</definedName>
    <definedName name="TESTE5">#REF!</definedName>
    <definedName name="_xlnm.Print_Titles" localSheetId="3">ESQUADRIA!$422:$422</definedName>
    <definedName name="_xlnm.Print_Titles" localSheetId="4">'Esquadrias 2'!$2:$5</definedName>
    <definedName name="_xlnm.Print_Titles" localSheetId="11">impermeabilização!$2:$3</definedName>
    <definedName name="_xlnm.Print_Titles" localSheetId="12">'Louças e Metais'!$4:$5</definedName>
    <definedName name="_xlnm.Print_Titles" localSheetId="7">'Planilha Orç'!$8:$9</definedName>
    <definedName name="TMO" localSheetId="1">#REF!</definedName>
    <definedName name="TMO" localSheetId="0">#REF!</definedName>
    <definedName name="TMO">#REF!</definedName>
    <definedName name="Tot_contrato" localSheetId="1">#REF!</definedName>
    <definedName name="Tot_contrato" localSheetId="0">#REF!</definedName>
    <definedName name="Tot_contrato">#REF!</definedName>
    <definedName name="Tot_OSC" localSheetId="1">#REF!</definedName>
    <definedName name="Tot_OSC" localSheetId="0">#REF!</definedName>
    <definedName name="Tot_OSC">#REF!</definedName>
    <definedName name="USDOLAR" localSheetId="1">#REF!</definedName>
    <definedName name="USDOLAR" localSheetId="0">#REF!</definedName>
    <definedName name="USDOLAR">#REF!</definedName>
    <definedName name="V" localSheetId="1">#REF!</definedName>
    <definedName name="V" localSheetId="0">#REF!</definedName>
    <definedName name="V">#REF!</definedName>
    <definedName name="Valor_Contrato" localSheetId="1">#REF!</definedName>
    <definedName name="Valor_Contrato" localSheetId="0">#REF!</definedName>
    <definedName name="Valor_Contrato">#REF!</definedName>
    <definedName name="VI" localSheetId="1">#REF!</definedName>
    <definedName name="VI" localSheetId="0">#REF!</definedName>
    <definedName name="VI">#REF!</definedName>
    <definedName name="VIGAS" localSheetId="1">#REF!</definedName>
    <definedName name="VIGAS" localSheetId="0">#REF!</definedName>
    <definedName name="VIGAS">#REF!</definedName>
    <definedName name="VINCULO" localSheetId="1">#REF!</definedName>
    <definedName name="VINCULO" localSheetId="0">#REF!</definedName>
    <definedName name="VINCULO">#REF!</definedName>
    <definedName name="W" localSheetId="1">#REF!</definedName>
    <definedName name="W" localSheetId="0">#REF!</definedName>
    <definedName name="W">#REF!</definedName>
    <definedName name="wrn.GERAL." hidden="1">{#N/A,#N/A,FALSE,"ET-CAPA";#N/A,#N/A,FALSE,"ET-PAG1";#N/A,#N/A,FALSE,"ET-PAG2";#N/A,#N/A,FALSE,"ET-PAG3";#N/A,#N/A,FALSE,"ET-PAG4";#N/A,#N/A,FALSE,"ET-PAG5"}</definedName>
    <definedName name="wrn.GERAL2" hidden="1">{#N/A,#N/A,FALSE,"ET-CAPA";#N/A,#N/A,FALSE,"ET-PAG1";#N/A,#N/A,FALSE,"ET-PAG2";#N/A,#N/A,FALSE,"ET-PAG3";#N/A,#N/A,FALSE,"ET-PAG4";#N/A,#N/A,FALSE,"ET-PAG5"}</definedName>
    <definedName name="wrn.Planiha._.de._.Medição._.F._.01." hidden="1">{#N/A,#N/A,FALSE,"F-01"}</definedName>
    <definedName name="wrn.Planiha._.de._.Medição._.F._.01._1" hidden="1">{#N/A,#N/A,FALSE,"F-01"}</definedName>
    <definedName name="wrn.Planilha_de_Medição_F_02" hidden="1">{#N/A,#N/A,FALSE,"F-01"}</definedName>
    <definedName name="X" localSheetId="1">#REF!</definedName>
    <definedName name="X" localSheetId="0">#REF!</definedName>
    <definedName name="X">#REF!</definedName>
    <definedName name="XC" localSheetId="1">#REF!</definedName>
    <definedName name="XC" localSheetId="0">#REF!</definedName>
    <definedName name="XC">#REF!</definedName>
    <definedName name="XCI" localSheetId="1">#REF!</definedName>
    <definedName name="XCI" localSheetId="0">#REF!</definedName>
    <definedName name="XCI">#REF!</definedName>
    <definedName name="XCII" localSheetId="1">#REF!</definedName>
    <definedName name="XCII" localSheetId="0">#REF!</definedName>
    <definedName name="XCII">#REF!</definedName>
    <definedName name="XCIII" localSheetId="1">#REF!</definedName>
    <definedName name="XCIII" localSheetId="0">#REF!</definedName>
    <definedName name="XCIII">#REF!</definedName>
    <definedName name="XCIV" localSheetId="1">#REF!</definedName>
    <definedName name="XCIV" localSheetId="0">#REF!</definedName>
    <definedName name="XCIV">#REF!</definedName>
    <definedName name="XCIX" localSheetId="1">#REF!</definedName>
    <definedName name="XCIX" localSheetId="0">#REF!</definedName>
    <definedName name="XCIX">#REF!</definedName>
    <definedName name="XCV" localSheetId="1">#REF!</definedName>
    <definedName name="XCV" localSheetId="0">#REF!</definedName>
    <definedName name="XCV">#REF!</definedName>
    <definedName name="XCVI" localSheetId="1">#REF!</definedName>
    <definedName name="XCVI" localSheetId="0">#REF!</definedName>
    <definedName name="XCVI">#REF!</definedName>
    <definedName name="XCVII" localSheetId="1">#REF!</definedName>
    <definedName name="XCVII" localSheetId="0">#REF!</definedName>
    <definedName name="XCVII">#REF!</definedName>
    <definedName name="XCVIII" localSheetId="1">#REF!</definedName>
    <definedName name="XCVIII" localSheetId="0">#REF!</definedName>
    <definedName name="XCVIII">#REF!</definedName>
    <definedName name="XI" localSheetId="1">#REF!</definedName>
    <definedName name="XI" localSheetId="0">#REF!</definedName>
    <definedName name="XI">#REF!</definedName>
    <definedName name="XII" localSheetId="1">#REF!</definedName>
    <definedName name="XII" localSheetId="0">#REF!</definedName>
    <definedName name="XII">#REF!</definedName>
    <definedName name="XIII" localSheetId="1">#REF!</definedName>
    <definedName name="XIII" localSheetId="0">#REF!</definedName>
    <definedName name="XIII">#REF!</definedName>
    <definedName name="XIV" localSheetId="1">#REF!</definedName>
    <definedName name="XIV" localSheetId="0">#REF!</definedName>
    <definedName name="XIV">#REF!</definedName>
    <definedName name="XV" localSheetId="1">#REF!</definedName>
    <definedName name="XV" localSheetId="0">#REF!</definedName>
    <definedName name="XV">#REF!</definedName>
    <definedName name="XX" localSheetId="1">#REF!</definedName>
    <definedName name="XX" localSheetId="0">#REF!</definedName>
    <definedName name="XX">#REF!</definedName>
    <definedName name="XXI" localSheetId="1">#REF!</definedName>
    <definedName name="XXI" localSheetId="0">#REF!</definedName>
    <definedName name="XXI">#REF!</definedName>
    <definedName name="XXII" localSheetId="1">#REF!</definedName>
    <definedName name="XXII" localSheetId="0">#REF!</definedName>
    <definedName name="XXII">#REF!</definedName>
    <definedName name="XXIII" localSheetId="1">#REF!</definedName>
    <definedName name="XXIII" localSheetId="0">#REF!</definedName>
    <definedName name="XXIII">#REF!</definedName>
    <definedName name="XXIV" localSheetId="1">#REF!</definedName>
    <definedName name="XXIV" localSheetId="0">#REF!</definedName>
    <definedName name="XXIV">#REF!</definedName>
    <definedName name="XXV" localSheetId="1">#REF!</definedName>
    <definedName name="XXV" localSheetId="0">#REF!</definedName>
    <definedName name="XXV">#REF!</definedName>
    <definedName name="XXX" localSheetId="1">#REF!</definedName>
    <definedName name="XXX" localSheetId="0">#REF!</definedName>
    <definedName name="XXX">#REF!</definedName>
    <definedName name="XXXI" localSheetId="1">#REF!</definedName>
    <definedName name="XXXI" localSheetId="0">#REF!</definedName>
    <definedName name="XXXI">#REF!</definedName>
    <definedName name="XXXII" localSheetId="1">#REF!</definedName>
    <definedName name="XXXII" localSheetId="0">#REF!</definedName>
    <definedName name="XXXII">#REF!</definedName>
    <definedName name="XXXIII" localSheetId="1">#REF!</definedName>
    <definedName name="XXXIII" localSheetId="0">#REF!</definedName>
    <definedName name="XXXIII">#REF!</definedName>
    <definedName name="XXXIV" localSheetId="1">#REF!</definedName>
    <definedName name="XXXIV" localSheetId="0">#REF!</definedName>
    <definedName name="XXXIV">#REF!</definedName>
    <definedName name="XXXIX" localSheetId="1">#REF!</definedName>
    <definedName name="XXXIX" localSheetId="0">#REF!</definedName>
    <definedName name="XXXIX">#REF!</definedName>
    <definedName name="XXXV" localSheetId="1">#REF!</definedName>
    <definedName name="XXXV" localSheetId="0">#REF!</definedName>
    <definedName name="XXXV">#REF!</definedName>
    <definedName name="XXXVI" localSheetId="1">#REF!</definedName>
    <definedName name="XXXVI" localSheetId="0">#REF!</definedName>
    <definedName name="XXXVI">#REF!</definedName>
    <definedName name="XXXVII" localSheetId="1">#REF!</definedName>
    <definedName name="XXXVII" localSheetId="0">#REF!</definedName>
    <definedName name="XXXVII">#REF!</definedName>
    <definedName name="XXXVIII" localSheetId="1">#REF!</definedName>
    <definedName name="XXXVIII" localSheetId="0">#REF!</definedName>
    <definedName name="XXXVIII">#REF!</definedName>
    <definedName name="y" localSheetId="1">#REF!</definedName>
    <definedName name="y" localSheetId="0">#REF!</definedName>
    <definedName name="y">#REF!</definedName>
    <definedName name="Z" localSheetId="1">#REF!</definedName>
    <definedName name="Z" localSheetId="0">#REF!</definedName>
    <definedName name="Z">#REF!</definedName>
    <definedName name="Z_0DB407A0_1449_11D8_ADD1_0060083A646F_.wvu.PrintArea" localSheetId="1" hidden="1">#REF!</definedName>
    <definedName name="Z_0DB407A0_1449_11D8_ADD1_0060083A646F_.wvu.PrintArea" localSheetId="0" hidden="1">#REF!</definedName>
    <definedName name="Z_0DB407A0_1449_11D8_ADD1_0060083A646F_.wvu.PrintArea" hidden="1">#REF!</definedName>
    <definedName name="ZEROS" localSheetId="1">#REF!</definedName>
    <definedName name="ZEROS" localSheetId="0">#REF!</definedName>
    <definedName name="ZEROS">#REF!</definedName>
  </definedNames>
  <calcPr calcId="125725"/>
</workbook>
</file>

<file path=xl/calcChain.xml><?xml version="1.0" encoding="utf-8"?>
<calcChain xmlns="http://schemas.openxmlformats.org/spreadsheetml/2006/main">
  <c r="N460" i="6"/>
  <c r="N385"/>
  <c r="N338"/>
  <c r="N304"/>
  <c r="N268"/>
  <c r="N243"/>
  <c r="N187"/>
  <c r="N165"/>
  <c r="N133"/>
  <c r="N103"/>
  <c r="M460"/>
  <c r="M451"/>
  <c r="N451" s="1"/>
  <c r="M438"/>
  <c r="N438" s="1"/>
  <c r="M415"/>
  <c r="N415" s="1"/>
  <c r="M399"/>
  <c r="N399" s="1"/>
  <c r="M395"/>
  <c r="M390"/>
  <c r="M385"/>
  <c r="M350"/>
  <c r="N350" s="1"/>
  <c r="M344"/>
  <c r="N344" s="1"/>
  <c r="M341"/>
  <c r="N341" s="1"/>
  <c r="M338"/>
  <c r="M332"/>
  <c r="N332" s="1"/>
  <c r="M325"/>
  <c r="N325" s="1"/>
  <c r="M321"/>
  <c r="N321" s="1"/>
  <c r="M304"/>
  <c r="M293"/>
  <c r="N293" s="1"/>
  <c r="M284"/>
  <c r="N284" s="1"/>
  <c r="M275"/>
  <c r="N275" s="1"/>
  <c r="M268"/>
  <c r="M259"/>
  <c r="N259" s="1"/>
  <c r="M254"/>
  <c r="N254" s="1"/>
  <c r="M246"/>
  <c r="N246" s="1"/>
  <c r="M243"/>
  <c r="M237"/>
  <c r="N237" s="1"/>
  <c r="M199"/>
  <c r="N199" s="1"/>
  <c r="M190"/>
  <c r="N190" s="1"/>
  <c r="M187"/>
  <c r="M181"/>
  <c r="N181" s="1"/>
  <c r="M178"/>
  <c r="N178" s="1"/>
  <c r="M172"/>
  <c r="N172" s="1"/>
  <c r="M165"/>
  <c r="M159"/>
  <c r="N159" s="1"/>
  <c r="M151"/>
  <c r="N151" s="1"/>
  <c r="M142"/>
  <c r="N142" s="1"/>
  <c r="M133"/>
  <c r="M123"/>
  <c r="N123" s="1"/>
  <c r="M117"/>
  <c r="N117" s="1"/>
  <c r="M108"/>
  <c r="N108" s="1"/>
  <c r="M103"/>
  <c r="M97"/>
  <c r="N97" s="1"/>
  <c r="N93"/>
  <c r="N77"/>
  <c r="N71"/>
  <c r="N62"/>
  <c r="N53"/>
  <c r="N41"/>
  <c r="N32"/>
  <c r="N23"/>
  <c r="I102"/>
  <c r="J102" s="1"/>
  <c r="I101"/>
  <c r="J101" s="1"/>
  <c r="I100"/>
  <c r="J100" s="1"/>
  <c r="I99"/>
  <c r="J99" s="1"/>
  <c r="I497"/>
  <c r="J497" s="1"/>
  <c r="I498"/>
  <c r="J498" s="1"/>
  <c r="J103" l="1"/>
  <c r="I496"/>
  <c r="J496" s="1"/>
  <c r="I495"/>
  <c r="J495" s="1"/>
  <c r="J499" l="1"/>
  <c r="I394"/>
  <c r="I393"/>
  <c r="J393" s="1"/>
  <c r="I392"/>
  <c r="J392" s="1"/>
  <c r="I389"/>
  <c r="J389" s="1"/>
  <c r="I459"/>
  <c r="J459" s="1"/>
  <c r="I458"/>
  <c r="J458" s="1"/>
  <c r="I457"/>
  <c r="J457" s="1"/>
  <c r="I456"/>
  <c r="J456" s="1"/>
  <c r="I455"/>
  <c r="J455" s="1"/>
  <c r="I454"/>
  <c r="J454" s="1"/>
  <c r="I453"/>
  <c r="J453" s="1"/>
  <c r="I450"/>
  <c r="J450" s="1"/>
  <c r="I449"/>
  <c r="J449" s="1"/>
  <c r="I448"/>
  <c r="J448" s="1"/>
  <c r="I447"/>
  <c r="J447" s="1"/>
  <c r="I446"/>
  <c r="J446" s="1"/>
  <c r="I445"/>
  <c r="J445" s="1"/>
  <c r="I444"/>
  <c r="J444" s="1"/>
  <c r="I443"/>
  <c r="J443" s="1"/>
  <c r="I442"/>
  <c r="J442" s="1"/>
  <c r="I441"/>
  <c r="J441" s="1"/>
  <c r="I440"/>
  <c r="J440" s="1"/>
  <c r="I437"/>
  <c r="J437" s="1"/>
  <c r="I436"/>
  <c r="J436" s="1"/>
  <c r="I435"/>
  <c r="J435" s="1"/>
  <c r="I434"/>
  <c r="J434" s="1"/>
  <c r="I433"/>
  <c r="J433" s="1"/>
  <c r="I432"/>
  <c r="J432" s="1"/>
  <c r="I431"/>
  <c r="J431" s="1"/>
  <c r="I430"/>
  <c r="J430" s="1"/>
  <c r="I429"/>
  <c r="J429" s="1"/>
  <c r="I428"/>
  <c r="J428" s="1"/>
  <c r="I427"/>
  <c r="J427" s="1"/>
  <c r="I426"/>
  <c r="J426" s="1"/>
  <c r="I425"/>
  <c r="J425" s="1"/>
  <c r="I424"/>
  <c r="J424" s="1"/>
  <c r="I423"/>
  <c r="J423" s="1"/>
  <c r="I422"/>
  <c r="J422" s="1"/>
  <c r="I421"/>
  <c r="J421" s="1"/>
  <c r="I420"/>
  <c r="J420" s="1"/>
  <c r="I419"/>
  <c r="J419" s="1"/>
  <c r="I414"/>
  <c r="J414" s="1"/>
  <c r="I413"/>
  <c r="J413" s="1"/>
  <c r="I412"/>
  <c r="J412" s="1"/>
  <c r="I411"/>
  <c r="J411" s="1"/>
  <c r="I410"/>
  <c r="J410" s="1"/>
  <c r="I407"/>
  <c r="J407" s="1"/>
  <c r="I406"/>
  <c r="J406" s="1"/>
  <c r="I405"/>
  <c r="J405" s="1"/>
  <c r="I404"/>
  <c r="J404" s="1"/>
  <c r="I403"/>
  <c r="J403" s="1"/>
  <c r="I402"/>
  <c r="J402" s="1"/>
  <c r="I398"/>
  <c r="J398" s="1"/>
  <c r="J394"/>
  <c r="I384"/>
  <c r="J384" s="1"/>
  <c r="I383"/>
  <c r="J383" s="1"/>
  <c r="I382"/>
  <c r="J382" s="1"/>
  <c r="I381"/>
  <c r="J381" s="1"/>
  <c r="I380"/>
  <c r="J380" s="1"/>
  <c r="I379"/>
  <c r="J379" s="1"/>
  <c r="I378"/>
  <c r="J378" s="1"/>
  <c r="I377"/>
  <c r="J377" s="1"/>
  <c r="I376"/>
  <c r="J376" s="1"/>
  <c r="I375"/>
  <c r="J375" s="1"/>
  <c r="I374"/>
  <c r="J374" s="1"/>
  <c r="I373"/>
  <c r="J373" s="1"/>
  <c r="I372"/>
  <c r="J372" s="1"/>
  <c r="I371"/>
  <c r="J371" s="1"/>
  <c r="I370"/>
  <c r="J370" s="1"/>
  <c r="I369"/>
  <c r="J369" s="1"/>
  <c r="I368"/>
  <c r="J368" s="1"/>
  <c r="I367"/>
  <c r="J367" s="1"/>
  <c r="I366"/>
  <c r="J366" s="1"/>
  <c r="I365"/>
  <c r="J365" s="1"/>
  <c r="I364"/>
  <c r="J364" s="1"/>
  <c r="I363"/>
  <c r="J363" s="1"/>
  <c r="I362"/>
  <c r="J362" s="1"/>
  <c r="I361"/>
  <c r="J361" s="1"/>
  <c r="I360"/>
  <c r="J360" s="1"/>
  <c r="I359"/>
  <c r="J359" s="1"/>
  <c r="I358"/>
  <c r="J358" s="1"/>
  <c r="I357"/>
  <c r="J357" s="1"/>
  <c r="I356"/>
  <c r="J356" s="1"/>
  <c r="I355"/>
  <c r="J355" s="1"/>
  <c r="I354"/>
  <c r="J354" s="1"/>
  <c r="I353"/>
  <c r="J353" s="1"/>
  <c r="I352"/>
  <c r="J352" s="1"/>
  <c r="I349"/>
  <c r="J349" s="1"/>
  <c r="I346"/>
  <c r="J346" s="1"/>
  <c r="I343"/>
  <c r="J343" s="1"/>
  <c r="I340"/>
  <c r="J340" s="1"/>
  <c r="I337"/>
  <c r="J337" s="1"/>
  <c r="I336"/>
  <c r="J336" s="1"/>
  <c r="I335"/>
  <c r="J335" s="1"/>
  <c r="I331"/>
  <c r="J331" s="1"/>
  <c r="I330"/>
  <c r="J330" s="1"/>
  <c r="I329"/>
  <c r="J329" s="1"/>
  <c r="I328"/>
  <c r="J328" s="1"/>
  <c r="I324"/>
  <c r="J324" s="1"/>
  <c r="I323"/>
  <c r="J323" s="1"/>
  <c r="I320"/>
  <c r="J320" s="1"/>
  <c r="I319"/>
  <c r="J319" s="1"/>
  <c r="I318"/>
  <c r="J318" s="1"/>
  <c r="I317"/>
  <c r="J317" s="1"/>
  <c r="I316"/>
  <c r="J316" s="1"/>
  <c r="I315"/>
  <c r="J315" s="1"/>
  <c r="I314"/>
  <c r="J314" s="1"/>
  <c r="I313"/>
  <c r="J313" s="1"/>
  <c r="I312"/>
  <c r="J312" s="1"/>
  <c r="I311"/>
  <c r="J311" s="1"/>
  <c r="I310"/>
  <c r="J310" s="1"/>
  <c r="I309"/>
  <c r="J309" s="1"/>
  <c r="I308"/>
  <c r="J308" s="1"/>
  <c r="I303"/>
  <c r="J303" s="1"/>
  <c r="I302"/>
  <c r="J302" s="1"/>
  <c r="I301"/>
  <c r="J301" s="1"/>
  <c r="I300"/>
  <c r="J300" s="1"/>
  <c r="I299"/>
  <c r="J299" s="1"/>
  <c r="I298"/>
  <c r="J298" s="1"/>
  <c r="I297"/>
  <c r="J297" s="1"/>
  <c r="I296"/>
  <c r="J296" s="1"/>
  <c r="I295"/>
  <c r="J295" s="1"/>
  <c r="I292"/>
  <c r="J292" s="1"/>
  <c r="I291"/>
  <c r="J291" s="1"/>
  <c r="I290"/>
  <c r="J290" s="1"/>
  <c r="I289"/>
  <c r="J289" s="1"/>
  <c r="I288"/>
  <c r="J288" s="1"/>
  <c r="I287"/>
  <c r="J287" s="1"/>
  <c r="I286"/>
  <c r="J286" s="1"/>
  <c r="I283"/>
  <c r="J283" s="1"/>
  <c r="I282"/>
  <c r="J282" s="1"/>
  <c r="I281"/>
  <c r="J281" s="1"/>
  <c r="I280"/>
  <c r="J280" s="1"/>
  <c r="I279"/>
  <c r="J279" s="1"/>
  <c r="I278"/>
  <c r="J278" s="1"/>
  <c r="I277"/>
  <c r="J277" s="1"/>
  <c r="I274"/>
  <c r="J274" s="1"/>
  <c r="I273"/>
  <c r="J273" s="1"/>
  <c r="I272"/>
  <c r="J272" s="1"/>
  <c r="I271"/>
  <c r="J271" s="1"/>
  <c r="I270"/>
  <c r="J270" s="1"/>
  <c r="I267"/>
  <c r="J267" s="1"/>
  <c r="I266"/>
  <c r="J266" s="1"/>
  <c r="I265"/>
  <c r="J265" s="1"/>
  <c r="I264"/>
  <c r="J264" s="1"/>
  <c r="I263"/>
  <c r="J263" s="1"/>
  <c r="I258"/>
  <c r="J258" s="1"/>
  <c r="I257"/>
  <c r="J257" s="1"/>
  <c r="I256"/>
  <c r="J256" s="1"/>
  <c r="I253"/>
  <c r="J253" s="1"/>
  <c r="I252"/>
  <c r="J252" s="1"/>
  <c r="I251"/>
  <c r="J251" s="1"/>
  <c r="I250"/>
  <c r="J250" s="1"/>
  <c r="I245"/>
  <c r="J245" s="1"/>
  <c r="I242"/>
  <c r="J242" s="1"/>
  <c r="I241"/>
  <c r="J241" s="1"/>
  <c r="I240"/>
  <c r="J240" s="1"/>
  <c r="I239"/>
  <c r="J239" s="1"/>
  <c r="I236"/>
  <c r="J236" s="1"/>
  <c r="I235"/>
  <c r="J235" s="1"/>
  <c r="I234"/>
  <c r="J234" s="1"/>
  <c r="I233"/>
  <c r="J233" s="1"/>
  <c r="I232"/>
  <c r="J232" s="1"/>
  <c r="I231"/>
  <c r="J231" s="1"/>
  <c r="I229"/>
  <c r="J229" s="1"/>
  <c r="I228"/>
  <c r="J228" s="1"/>
  <c r="I227"/>
  <c r="J227" s="1"/>
  <c r="I226"/>
  <c r="J226" s="1"/>
  <c r="I224"/>
  <c r="J224" s="1"/>
  <c r="I223"/>
  <c r="J223" s="1"/>
  <c r="I222"/>
  <c r="J222" s="1"/>
  <c r="I221"/>
  <c r="J221" s="1"/>
  <c r="I219"/>
  <c r="J219" s="1"/>
  <c r="I218"/>
  <c r="J218" s="1"/>
  <c r="I217"/>
  <c r="J217" s="1"/>
  <c r="I215"/>
  <c r="J215" s="1"/>
  <c r="I214"/>
  <c r="J214" s="1"/>
  <c r="I213"/>
  <c r="J213" s="1"/>
  <c r="I212"/>
  <c r="J212" s="1"/>
  <c r="I210"/>
  <c r="J210" s="1"/>
  <c r="I209"/>
  <c r="J209" s="1"/>
  <c r="I208"/>
  <c r="J208" s="1"/>
  <c r="I207"/>
  <c r="J207" s="1"/>
  <c r="I206"/>
  <c r="J206" s="1"/>
  <c r="I205"/>
  <c r="J205" s="1"/>
  <c r="I204"/>
  <c r="J204" s="1"/>
  <c r="I203"/>
  <c r="J203" s="1"/>
  <c r="I202"/>
  <c r="J202" s="1"/>
  <c r="I198"/>
  <c r="J198" s="1"/>
  <c r="I197"/>
  <c r="J197" s="1"/>
  <c r="I196"/>
  <c r="J196" s="1"/>
  <c r="I195"/>
  <c r="J195" s="1"/>
  <c r="I194"/>
  <c r="J194" s="1"/>
  <c r="I189"/>
  <c r="J189" s="1"/>
  <c r="I186"/>
  <c r="J186" s="1"/>
  <c r="I185"/>
  <c r="J185" s="1"/>
  <c r="I184"/>
  <c r="J184" s="1"/>
  <c r="I183"/>
  <c r="J183" s="1"/>
  <c r="I180"/>
  <c r="J180" s="1"/>
  <c r="I177"/>
  <c r="J177" s="1"/>
  <c r="I176"/>
  <c r="J176" s="1"/>
  <c r="I175"/>
  <c r="J175" s="1"/>
  <c r="I174"/>
  <c r="J174" s="1"/>
  <c r="I171"/>
  <c r="J171" s="1"/>
  <c r="I170"/>
  <c r="J170" s="1"/>
  <c r="I169"/>
  <c r="J169" s="1"/>
  <c r="I168"/>
  <c r="J168" s="1"/>
  <c r="I167"/>
  <c r="J167" s="1"/>
  <c r="I164"/>
  <c r="J164" s="1"/>
  <c r="I163"/>
  <c r="J163" s="1"/>
  <c r="I162"/>
  <c r="J162" s="1"/>
  <c r="I161"/>
  <c r="J161" s="1"/>
  <c r="I158"/>
  <c r="J158" s="1"/>
  <c r="I157"/>
  <c r="J157" s="1"/>
  <c r="I156"/>
  <c r="J156" s="1"/>
  <c r="I150"/>
  <c r="J150" s="1"/>
  <c r="I149"/>
  <c r="J149" s="1"/>
  <c r="I148"/>
  <c r="J148" s="1"/>
  <c r="I147"/>
  <c r="J147" s="1"/>
  <c r="I146"/>
  <c r="J146" s="1"/>
  <c r="I145"/>
  <c r="J145" s="1"/>
  <c r="I144"/>
  <c r="J144" s="1"/>
  <c r="I141"/>
  <c r="J141" s="1"/>
  <c r="I140"/>
  <c r="J140" s="1"/>
  <c r="I139"/>
  <c r="J139" s="1"/>
  <c r="I138"/>
  <c r="J138" s="1"/>
  <c r="I137"/>
  <c r="J137" s="1"/>
  <c r="I136"/>
  <c r="J136" s="1"/>
  <c r="I135"/>
  <c r="J135" s="1"/>
  <c r="I132"/>
  <c r="J132" s="1"/>
  <c r="I131"/>
  <c r="J131" s="1"/>
  <c r="I130"/>
  <c r="J130" s="1"/>
  <c r="I129"/>
  <c r="J129" s="1"/>
  <c r="I128"/>
  <c r="J128" s="1"/>
  <c r="I127"/>
  <c r="J127" s="1"/>
  <c r="I126"/>
  <c r="J126" s="1"/>
  <c r="I122"/>
  <c r="J122" s="1"/>
  <c r="I121"/>
  <c r="J121" s="1"/>
  <c r="I120"/>
  <c r="J120" s="1"/>
  <c r="I119"/>
  <c r="J119" s="1"/>
  <c r="I116"/>
  <c r="J116" s="1"/>
  <c r="I115"/>
  <c r="J115" s="1"/>
  <c r="I114"/>
  <c r="J114" s="1"/>
  <c r="I113"/>
  <c r="J113" s="1"/>
  <c r="I112"/>
  <c r="J112" s="1"/>
  <c r="I107"/>
  <c r="J107" s="1"/>
  <c r="I106"/>
  <c r="J106" s="1"/>
  <c r="I105"/>
  <c r="J105" s="1"/>
  <c r="I96"/>
  <c r="J96" s="1"/>
  <c r="I95"/>
  <c r="J95" s="1"/>
  <c r="I92"/>
  <c r="J92" s="1"/>
  <c r="I91"/>
  <c r="J91" s="1"/>
  <c r="I90"/>
  <c r="J90" s="1"/>
  <c r="I89"/>
  <c r="J89" s="1"/>
  <c r="I88"/>
  <c r="J88" s="1"/>
  <c r="I87"/>
  <c r="J87" s="1"/>
  <c r="I86"/>
  <c r="J86" s="1"/>
  <c r="I85"/>
  <c r="J85" s="1"/>
  <c r="I84"/>
  <c r="J84" s="1"/>
  <c r="I83"/>
  <c r="J83" s="1"/>
  <c r="I82"/>
  <c r="J82" s="1"/>
  <c r="I81"/>
  <c r="J81" s="1"/>
  <c r="I80"/>
  <c r="J80" s="1"/>
  <c r="I79"/>
  <c r="J79" s="1"/>
  <c r="I76"/>
  <c r="J76" s="1"/>
  <c r="I75"/>
  <c r="J75" s="1"/>
  <c r="I74"/>
  <c r="J74" s="1"/>
  <c r="I73"/>
  <c r="J73" s="1"/>
  <c r="I70"/>
  <c r="J70" s="1"/>
  <c r="I69"/>
  <c r="J69" s="1"/>
  <c r="I68"/>
  <c r="J68" s="1"/>
  <c r="I67"/>
  <c r="J67" s="1"/>
  <c r="I66"/>
  <c r="J66" s="1"/>
  <c r="I65"/>
  <c r="J65" s="1"/>
  <c r="I64"/>
  <c r="J64" s="1"/>
  <c r="I61"/>
  <c r="J61" s="1"/>
  <c r="I60"/>
  <c r="J60" s="1"/>
  <c r="I59"/>
  <c r="J59" s="1"/>
  <c r="I58"/>
  <c r="J58" s="1"/>
  <c r="I57"/>
  <c r="J57" s="1"/>
  <c r="I56"/>
  <c r="J56" s="1"/>
  <c r="I55"/>
  <c r="J55" s="1"/>
  <c r="I52"/>
  <c r="J52" s="1"/>
  <c r="I51"/>
  <c r="J51" s="1"/>
  <c r="I50"/>
  <c r="J50" s="1"/>
  <c r="I49"/>
  <c r="J49" s="1"/>
  <c r="I48"/>
  <c r="J48" s="1"/>
  <c r="I47"/>
  <c r="J47" s="1"/>
  <c r="I46"/>
  <c r="J46" s="1"/>
  <c r="I45"/>
  <c r="J45" s="1"/>
  <c r="I44"/>
  <c r="J44" s="1"/>
  <c r="I43"/>
  <c r="J43" s="1"/>
  <c r="I40"/>
  <c r="J40" s="1"/>
  <c r="I39"/>
  <c r="J39" s="1"/>
  <c r="I38"/>
  <c r="J38" s="1"/>
  <c r="I37"/>
  <c r="J37" s="1"/>
  <c r="I36"/>
  <c r="J36" s="1"/>
  <c r="I35"/>
  <c r="J35" s="1"/>
  <c r="I34"/>
  <c r="J34" s="1"/>
  <c r="I31"/>
  <c r="J31" s="1"/>
  <c r="I30"/>
  <c r="J30" s="1"/>
  <c r="I29"/>
  <c r="J29" s="1"/>
  <c r="I28"/>
  <c r="J28" s="1"/>
  <c r="I27"/>
  <c r="J27" s="1"/>
  <c r="I26"/>
  <c r="J26" s="1"/>
  <c r="I25"/>
  <c r="J25" s="1"/>
  <c r="I22"/>
  <c r="J22" s="1"/>
  <c r="E400" i="17" l="1"/>
  <c r="E395"/>
  <c r="H21" i="6" l="1"/>
  <c r="I21" s="1"/>
  <c r="J21" s="1"/>
  <c r="H20"/>
  <c r="I20" s="1"/>
  <c r="J20" s="1"/>
  <c r="H19"/>
  <c r="I19" s="1"/>
  <c r="J19" s="1"/>
  <c r="H16"/>
  <c r="I16" s="1"/>
  <c r="J16" s="1"/>
  <c r="H17"/>
  <c r="I17" s="1"/>
  <c r="J17" s="1"/>
  <c r="H15"/>
  <c r="I15" s="1"/>
  <c r="J15" s="1"/>
  <c r="H13"/>
  <c r="I13" s="1"/>
  <c r="J13" s="1"/>
  <c r="H18"/>
  <c r="I18" s="1"/>
  <c r="J18" s="1"/>
  <c r="H14"/>
  <c r="I14" s="1"/>
  <c r="J14" s="1"/>
  <c r="H487" l="1"/>
  <c r="G631" i="17"/>
  <c r="G630"/>
  <c r="G629"/>
  <c r="G628"/>
  <c r="G627"/>
  <c r="G626"/>
  <c r="G622" s="1"/>
  <c r="G625"/>
  <c r="G624"/>
  <c r="G623"/>
  <c r="G620"/>
  <c r="G619"/>
  <c r="G618"/>
  <c r="G617"/>
  <c r="G616"/>
  <c r="G615"/>
  <c r="G614"/>
  <c r="G613"/>
  <c r="G612"/>
  <c r="G611"/>
  <c r="G610"/>
  <c r="G609"/>
  <c r="G608"/>
  <c r="G605" s="1"/>
  <c r="G607"/>
  <c r="G606"/>
  <c r="G603"/>
  <c r="G602"/>
  <c r="G601"/>
  <c r="G600"/>
  <c r="G599"/>
  <c r="G598"/>
  <c r="G597" s="1"/>
  <c r="G595"/>
  <c r="G594"/>
  <c r="G593"/>
  <c r="G592"/>
  <c r="G591" s="1"/>
  <c r="G589"/>
  <c r="G588"/>
  <c r="G587"/>
  <c r="G586"/>
  <c r="G583" s="1"/>
  <c r="G585"/>
  <c r="G584"/>
  <c r="G581"/>
  <c r="G580"/>
  <c r="G576" s="1"/>
  <c r="G579"/>
  <c r="G578"/>
  <c r="G577"/>
  <c r="G574"/>
  <c r="G573"/>
  <c r="G572"/>
  <c r="G571"/>
  <c r="G570"/>
  <c r="G564"/>
  <c r="G562"/>
  <c r="G561"/>
  <c r="G560"/>
  <c r="G559"/>
  <c r="G558"/>
  <c r="G555"/>
  <c r="G554"/>
  <c r="G552" s="1"/>
  <c r="G553"/>
  <c r="G550"/>
  <c r="G549"/>
  <c r="G548"/>
  <c r="G544" s="1"/>
  <c r="G547"/>
  <c r="G546"/>
  <c r="G545"/>
  <c r="G542"/>
  <c r="G541"/>
  <c r="G540"/>
  <c r="G539"/>
  <c r="G538"/>
  <c r="G537" s="1"/>
  <c r="G535"/>
  <c r="G534"/>
  <c r="G533"/>
  <c r="G532"/>
  <c r="G529"/>
  <c r="G528"/>
  <c r="G527"/>
  <c r="G526"/>
  <c r="G524" s="1"/>
  <c r="G525"/>
  <c r="G522"/>
  <c r="G521"/>
  <c r="G520"/>
  <c r="G517" s="1"/>
  <c r="G519"/>
  <c r="G518"/>
  <c r="G515"/>
  <c r="G514"/>
  <c r="G511" s="1"/>
  <c r="G513"/>
  <c r="G512"/>
  <c r="G509"/>
  <c r="G508"/>
  <c r="G505"/>
  <c r="G504"/>
  <c r="G501"/>
  <c r="G500"/>
  <c r="G499" s="1"/>
  <c r="G497"/>
  <c r="G496"/>
  <c r="G495"/>
  <c r="G494"/>
  <c r="G493"/>
  <c r="G490"/>
  <c r="G489"/>
  <c r="G488"/>
  <c r="G485" s="1"/>
  <c r="G487"/>
  <c r="G486"/>
  <c r="G483"/>
  <c r="G482"/>
  <c r="G479" s="1"/>
  <c r="G481"/>
  <c r="G480"/>
  <c r="G477"/>
  <c r="G476"/>
  <c r="G473" s="1"/>
  <c r="G475"/>
  <c r="G474"/>
  <c r="G471"/>
  <c r="G470"/>
  <c r="G469"/>
  <c r="G467"/>
  <c r="G466"/>
  <c r="G463"/>
  <c r="G462"/>
  <c r="G461"/>
  <c r="G460"/>
  <c r="G457"/>
  <c r="G453" s="1"/>
  <c r="G456"/>
  <c r="G455"/>
  <c r="G454"/>
  <c r="G451"/>
  <c r="G447" s="1"/>
  <c r="G450"/>
  <c r="G449"/>
  <c r="G448"/>
  <c r="G445"/>
  <c r="G441" s="1"/>
  <c r="G444"/>
  <c r="G443"/>
  <c r="G442"/>
  <c r="G439"/>
  <c r="G438"/>
  <c r="G437"/>
  <c r="G436"/>
  <c r="G432"/>
  <c r="G431"/>
  <c r="G430"/>
  <c r="G427"/>
  <c r="G426"/>
  <c r="G423" s="1"/>
  <c r="G425"/>
  <c r="G424"/>
  <c r="G421"/>
  <c r="G420"/>
  <c r="G419"/>
  <c r="G418"/>
  <c r="G417"/>
  <c r="G416"/>
  <c r="G415" s="1"/>
  <c r="G413"/>
  <c r="G412"/>
  <c r="G411"/>
  <c r="G410"/>
  <c r="G409" s="1"/>
  <c r="G407"/>
  <c r="G406"/>
  <c r="G405"/>
  <c r="G404"/>
  <c r="G402" s="1"/>
  <c r="G403"/>
  <c r="G400"/>
  <c r="G399"/>
  <c r="G398"/>
  <c r="G395"/>
  <c r="G394"/>
  <c r="G393"/>
  <c r="G390"/>
  <c r="G389"/>
  <c r="G388"/>
  <c r="G387"/>
  <c r="G384"/>
  <c r="G380" s="1"/>
  <c r="G383"/>
  <c r="G382"/>
  <c r="G381"/>
  <c r="G378"/>
  <c r="G374" s="1"/>
  <c r="G377"/>
  <c r="G376"/>
  <c r="G375"/>
  <c r="G372"/>
  <c r="G368" s="1"/>
  <c r="G371"/>
  <c r="G370"/>
  <c r="G369"/>
  <c r="G366"/>
  <c r="G362" s="1"/>
  <c r="G365"/>
  <c r="G364"/>
  <c r="G363"/>
  <c r="G360"/>
  <c r="G356" s="1"/>
  <c r="G359"/>
  <c r="G358"/>
  <c r="G357"/>
  <c r="G354"/>
  <c r="G352" s="1"/>
  <c r="G353"/>
  <c r="G350"/>
  <c r="G347"/>
  <c r="G346"/>
  <c r="G345"/>
  <c r="G342"/>
  <c r="G341"/>
  <c r="G340"/>
  <c r="G339" s="1"/>
  <c r="G337"/>
  <c r="G336"/>
  <c r="G335"/>
  <c r="G332"/>
  <c r="G331"/>
  <c r="G330"/>
  <c r="G329"/>
  <c r="G328"/>
  <c r="G327" s="1"/>
  <c r="G325"/>
  <c r="G324"/>
  <c r="G323"/>
  <c r="G322"/>
  <c r="G320" s="1"/>
  <c r="G321"/>
  <c r="G318"/>
  <c r="G317"/>
  <c r="G316"/>
  <c r="G315" s="1"/>
  <c r="G313"/>
  <c r="G312"/>
  <c r="G311"/>
  <c r="G310"/>
  <c r="G307"/>
  <c r="G306"/>
  <c r="G305"/>
  <c r="G302"/>
  <c r="G301"/>
  <c r="G300"/>
  <c r="G299"/>
  <c r="G298"/>
  <c r="G296" s="1"/>
  <c r="G297"/>
  <c r="G294"/>
  <c r="G293"/>
  <c r="G292"/>
  <c r="G289" s="1"/>
  <c r="G291"/>
  <c r="G290"/>
  <c r="G287"/>
  <c r="G286"/>
  <c r="G285"/>
  <c r="G284"/>
  <c r="G283"/>
  <c r="G280"/>
  <c r="G279"/>
  <c r="G278"/>
  <c r="G277"/>
  <c r="G276"/>
  <c r="G275" s="1"/>
  <c r="G273"/>
  <c r="G272"/>
  <c r="G271"/>
  <c r="G270"/>
  <c r="G269"/>
  <c r="G268"/>
  <c r="G267"/>
  <c r="G264"/>
  <c r="G263"/>
  <c r="G262"/>
  <c r="G261"/>
  <c r="G260"/>
  <c r="G257"/>
  <c r="G256"/>
  <c r="G255"/>
  <c r="G252"/>
  <c r="G249" s="1"/>
  <c r="G251"/>
  <c r="G250"/>
  <c r="G247"/>
  <c r="G246"/>
  <c r="G245" s="1"/>
  <c r="G243"/>
  <c r="G242"/>
  <c r="G241"/>
  <c r="G240"/>
  <c r="G236" s="1"/>
  <c r="G239"/>
  <c r="G238"/>
  <c r="G237"/>
  <c r="G234"/>
  <c r="G233"/>
  <c r="G232"/>
  <c r="G231"/>
  <c r="G230"/>
  <c r="G227"/>
  <c r="G226"/>
  <c r="G225"/>
  <c r="G224"/>
  <c r="G222" s="1"/>
  <c r="G223"/>
  <c r="G220"/>
  <c r="G219"/>
  <c r="G218"/>
  <c r="G217"/>
  <c r="G216"/>
  <c r="G213"/>
  <c r="G212"/>
  <c r="G211"/>
  <c r="G210"/>
  <c r="G209"/>
  <c r="G208"/>
  <c r="G207"/>
  <c r="G206"/>
  <c r="G205"/>
  <c r="G204"/>
  <c r="G203"/>
  <c r="G202"/>
  <c r="G201"/>
  <c r="G200"/>
  <c r="G198" s="1"/>
  <c r="G199"/>
  <c r="G196"/>
  <c r="G195"/>
  <c r="G194"/>
  <c r="G193"/>
  <c r="G190"/>
  <c r="G188"/>
  <c r="G187"/>
  <c r="G186"/>
  <c r="G185"/>
  <c r="G184"/>
  <c r="G181"/>
  <c r="G178"/>
  <c r="G177"/>
  <c r="G176"/>
  <c r="G175"/>
  <c r="G174" s="1"/>
  <c r="G172"/>
  <c r="G166"/>
  <c r="G165"/>
  <c r="G164"/>
  <c r="G163"/>
  <c r="G162"/>
  <c r="G159"/>
  <c r="G158"/>
  <c r="G157"/>
  <c r="G156"/>
  <c r="G155"/>
  <c r="G154"/>
  <c r="G153"/>
  <c r="G152"/>
  <c r="G151"/>
  <c r="G150"/>
  <c r="G147" s="1"/>
  <c r="G149"/>
  <c r="G148"/>
  <c r="G145"/>
  <c r="G144"/>
  <c r="G143"/>
  <c r="G142"/>
  <c r="G141"/>
  <c r="G140"/>
  <c r="G139"/>
  <c r="G138"/>
  <c r="G137"/>
  <c r="G136"/>
  <c r="G135"/>
  <c r="G132"/>
  <c r="G131"/>
  <c r="G130"/>
  <c r="G129"/>
  <c r="G128"/>
  <c r="G127"/>
  <c r="G126"/>
  <c r="G125"/>
  <c r="G124"/>
  <c r="G123"/>
  <c r="G122"/>
  <c r="G119"/>
  <c r="G118"/>
  <c r="G117"/>
  <c r="G116"/>
  <c r="G114" s="1"/>
  <c r="G115"/>
  <c r="G112"/>
  <c r="G111"/>
  <c r="G110"/>
  <c r="G109"/>
  <c r="G107"/>
  <c r="G106"/>
  <c r="G105"/>
  <c r="G104" s="1"/>
  <c r="G102"/>
  <c r="G101"/>
  <c r="G100"/>
  <c r="G99"/>
  <c r="G98"/>
  <c r="G97"/>
  <c r="G94"/>
  <c r="G93"/>
  <c r="G92"/>
  <c r="G91"/>
  <c r="G90"/>
  <c r="G89"/>
  <c r="G88" s="1"/>
  <c r="G86"/>
  <c r="G85"/>
  <c r="G84"/>
  <c r="G83"/>
  <c r="G82"/>
  <c r="G81"/>
  <c r="G78"/>
  <c r="G77"/>
  <c r="G76"/>
  <c r="G75"/>
  <c r="G72"/>
  <c r="G71"/>
  <c r="G70"/>
  <c r="G69"/>
  <c r="G68"/>
  <c r="G67"/>
  <c r="G66" s="1"/>
  <c r="G64"/>
  <c r="G61"/>
  <c r="G60"/>
  <c r="G59"/>
  <c r="G58" s="1"/>
  <c r="G56"/>
  <c r="G55"/>
  <c r="G54"/>
  <c r="G53"/>
  <c r="G52"/>
  <c r="G49"/>
  <c r="G48"/>
  <c r="G45"/>
  <c r="G44"/>
  <c r="G43"/>
  <c r="G42"/>
  <c r="G39"/>
  <c r="G38"/>
  <c r="G37"/>
  <c r="G36"/>
  <c r="G35"/>
  <c r="G32"/>
  <c r="G31"/>
  <c r="G30"/>
  <c r="G29"/>
  <c r="G26"/>
  <c r="G25"/>
  <c r="G24"/>
  <c r="G23"/>
  <c r="G20"/>
  <c r="G19"/>
  <c r="G18"/>
  <c r="G17"/>
  <c r="G16"/>
  <c r="G15"/>
  <c r="G14"/>
  <c r="G11"/>
  <c r="G10"/>
  <c r="G9"/>
  <c r="G8"/>
  <c r="G7"/>
  <c r="G6"/>
  <c r="P43" i="16"/>
  <c r="P44"/>
  <c r="C23" i="27"/>
  <c r="B23"/>
  <c r="J481" i="6" s="1"/>
  <c r="H12" i="13"/>
  <c r="R218" i="10"/>
  <c r="C218"/>
  <c r="N12" i="13"/>
  <c r="L12"/>
  <c r="F12"/>
  <c r="T12"/>
  <c r="V12"/>
  <c r="F5"/>
  <c r="H5"/>
  <c r="F6"/>
  <c r="H6"/>
  <c r="F7"/>
  <c r="H7"/>
  <c r="F8"/>
  <c r="H8"/>
  <c r="F9"/>
  <c r="H9"/>
  <c r="F10"/>
  <c r="H10"/>
  <c r="F11"/>
  <c r="H11"/>
  <c r="F13"/>
  <c r="H13"/>
  <c r="F14"/>
  <c r="H14"/>
  <c r="F15"/>
  <c r="H15"/>
  <c r="F16"/>
  <c r="H16"/>
  <c r="F17"/>
  <c r="H17"/>
  <c r="F18"/>
  <c r="H18"/>
  <c r="F19"/>
  <c r="H19"/>
  <c r="F20"/>
  <c r="H20"/>
  <c r="F21"/>
  <c r="H21"/>
  <c r="H4"/>
  <c r="F4"/>
  <c r="F22" s="1"/>
  <c r="H195" i="9"/>
  <c r="H192"/>
  <c r="H187"/>
  <c r="H186"/>
  <c r="H185"/>
  <c r="H184"/>
  <c r="H183"/>
  <c r="H181"/>
  <c r="H178"/>
  <c r="H176"/>
  <c r="H175"/>
  <c r="H174"/>
  <c r="H173"/>
  <c r="H172"/>
  <c r="H171"/>
  <c r="H170"/>
  <c r="AD217" i="10"/>
  <c r="I89" i="22"/>
  <c r="AC188" i="10"/>
  <c r="AC187"/>
  <c r="AE186"/>
  <c r="AC186"/>
  <c r="AE185"/>
  <c r="AC185"/>
  <c r="AC184"/>
  <c r="AC183"/>
  <c r="AC182"/>
  <c r="AC181"/>
  <c r="M677" i="7"/>
  <c r="M676"/>
  <c r="M674"/>
  <c r="M673"/>
  <c r="AE671"/>
  <c r="AE6"/>
  <c r="AE665" s="1"/>
  <c r="AE7"/>
  <c r="AE8"/>
  <c r="AE9"/>
  <c r="AE10"/>
  <c r="AE11"/>
  <c r="AE12"/>
  <c r="AE13"/>
  <c r="AE14"/>
  <c r="AE15"/>
  <c r="AE16"/>
  <c r="AE17"/>
  <c r="AE18"/>
  <c r="AE19"/>
  <c r="AE20"/>
  <c r="AE21"/>
  <c r="AE22"/>
  <c r="AE23"/>
  <c r="AE24"/>
  <c r="AE25"/>
  <c r="AE26"/>
  <c r="AE27"/>
  <c r="AE28"/>
  <c r="AE29"/>
  <c r="AE30"/>
  <c r="AE31"/>
  <c r="AE32"/>
  <c r="AE33"/>
  <c r="AE34"/>
  <c r="AE35"/>
  <c r="AE36"/>
  <c r="AE37"/>
  <c r="AE38"/>
  <c r="AE39"/>
  <c r="AE40"/>
  <c r="AE41"/>
  <c r="AE42"/>
  <c r="AE43"/>
  <c r="AE44"/>
  <c r="AE45"/>
  <c r="AE46"/>
  <c r="AE47"/>
  <c r="AE48"/>
  <c r="AE49"/>
  <c r="AE50"/>
  <c r="AE51"/>
  <c r="AE52"/>
  <c r="AE53"/>
  <c r="AE54"/>
  <c r="AE55"/>
  <c r="AE56"/>
  <c r="AE57"/>
  <c r="AE58"/>
  <c r="AE59"/>
  <c r="AE60"/>
  <c r="AE61"/>
  <c r="AE62"/>
  <c r="AE63"/>
  <c r="AE64"/>
  <c r="AE65"/>
  <c r="AE66"/>
  <c r="AE67"/>
  <c r="AE68"/>
  <c r="AE69"/>
  <c r="AE70"/>
  <c r="AE71"/>
  <c r="AE72"/>
  <c r="AE73"/>
  <c r="AE74"/>
  <c r="AE75"/>
  <c r="AE76"/>
  <c r="AE77"/>
  <c r="AE78"/>
  <c r="AE79"/>
  <c r="AE80"/>
  <c r="AE81"/>
  <c r="AE82"/>
  <c r="AE83"/>
  <c r="AE84"/>
  <c r="AE85"/>
  <c r="AE86"/>
  <c r="AE87"/>
  <c r="AE88"/>
  <c r="AE89"/>
  <c r="AE90"/>
  <c r="AE91"/>
  <c r="AE92"/>
  <c r="AE93"/>
  <c r="AE94"/>
  <c r="AE95"/>
  <c r="AE96"/>
  <c r="AE97"/>
  <c r="AE98"/>
  <c r="AE99"/>
  <c r="AE100"/>
  <c r="AE101"/>
  <c r="AE102"/>
  <c r="AE103"/>
  <c r="AE104"/>
  <c r="AE105"/>
  <c r="AE106"/>
  <c r="AE107"/>
  <c r="AE108"/>
  <c r="AE109"/>
  <c r="AE110"/>
  <c r="AE111"/>
  <c r="AE112"/>
  <c r="AE113"/>
  <c r="AE114"/>
  <c r="AE115"/>
  <c r="AE116"/>
  <c r="AE117"/>
  <c r="AE118"/>
  <c r="AE119"/>
  <c r="AE120"/>
  <c r="AE121"/>
  <c r="AE122"/>
  <c r="AE123"/>
  <c r="AE124"/>
  <c r="AE125"/>
  <c r="AE126"/>
  <c r="AE127"/>
  <c r="AE128"/>
  <c r="AE129"/>
  <c r="AE130"/>
  <c r="AE131"/>
  <c r="AE132"/>
  <c r="AE133"/>
  <c r="AE134"/>
  <c r="AE135"/>
  <c r="AE136"/>
  <c r="AE137"/>
  <c r="AE138"/>
  <c r="AE139"/>
  <c r="AE140"/>
  <c r="AE141"/>
  <c r="AE142"/>
  <c r="AE143"/>
  <c r="AE144"/>
  <c r="AE145"/>
  <c r="AE146"/>
  <c r="AE147"/>
  <c r="AE148"/>
  <c r="AE149"/>
  <c r="AE150"/>
  <c r="AE151"/>
  <c r="AE152"/>
  <c r="AE153"/>
  <c r="AE154"/>
  <c r="AE155"/>
  <c r="AE156"/>
  <c r="AE157"/>
  <c r="AE158"/>
  <c r="AE159"/>
  <c r="AE160"/>
  <c r="AE161"/>
  <c r="AE162"/>
  <c r="AE163"/>
  <c r="AE164"/>
  <c r="AE165"/>
  <c r="AE166"/>
  <c r="AE167"/>
  <c r="AE168"/>
  <c r="AE169"/>
  <c r="AE170"/>
  <c r="AE171"/>
  <c r="AE172"/>
  <c r="AE173"/>
  <c r="AE174"/>
  <c r="AE175"/>
  <c r="AE176"/>
  <c r="AE177"/>
  <c r="AE178"/>
  <c r="AE179"/>
  <c r="AE180"/>
  <c r="AE181"/>
  <c r="AE182"/>
  <c r="AE183"/>
  <c r="AE184"/>
  <c r="AE185"/>
  <c r="AE186"/>
  <c r="AE187"/>
  <c r="AE188"/>
  <c r="AE189"/>
  <c r="AE190"/>
  <c r="AE191"/>
  <c r="AE192"/>
  <c r="AE193"/>
  <c r="AE194"/>
  <c r="AE195"/>
  <c r="AE196"/>
  <c r="AE197"/>
  <c r="AE198"/>
  <c r="AE199"/>
  <c r="AE200"/>
  <c r="AE201"/>
  <c r="AE202"/>
  <c r="AE203"/>
  <c r="AE204"/>
  <c r="AE205"/>
  <c r="AE206"/>
  <c r="AE207"/>
  <c r="AE208"/>
  <c r="AE209"/>
  <c r="AE210"/>
  <c r="AE211"/>
  <c r="AE212"/>
  <c r="AE213"/>
  <c r="AE214"/>
  <c r="AE215"/>
  <c r="AE216"/>
  <c r="AE217"/>
  <c r="AE218"/>
  <c r="AE219"/>
  <c r="AE220"/>
  <c r="AE221"/>
  <c r="AE222"/>
  <c r="AE223"/>
  <c r="AE224"/>
  <c r="AE225"/>
  <c r="AE226"/>
  <c r="AE227"/>
  <c r="AE228"/>
  <c r="AE229"/>
  <c r="AE230"/>
  <c r="AE231"/>
  <c r="AE232"/>
  <c r="AE233"/>
  <c r="AE234"/>
  <c r="AE235"/>
  <c r="AE236"/>
  <c r="AE237"/>
  <c r="AE238"/>
  <c r="AE239"/>
  <c r="AE240"/>
  <c r="AE241"/>
  <c r="AE242"/>
  <c r="AE243"/>
  <c r="AE244"/>
  <c r="AE245"/>
  <c r="AE246"/>
  <c r="AE247"/>
  <c r="AE248"/>
  <c r="AE249"/>
  <c r="AE250"/>
  <c r="AE251"/>
  <c r="AE252"/>
  <c r="AE253"/>
  <c r="AE254"/>
  <c r="AE255"/>
  <c r="AE256"/>
  <c r="AE257"/>
  <c r="AE258"/>
  <c r="AE259"/>
  <c r="AE260"/>
  <c r="AE261"/>
  <c r="AE262"/>
  <c r="AE263"/>
  <c r="AE264"/>
  <c r="AE265"/>
  <c r="AE266"/>
  <c r="AE267"/>
  <c r="AE268"/>
  <c r="AE269"/>
  <c r="AE270"/>
  <c r="AE271"/>
  <c r="AE272"/>
  <c r="AE273"/>
  <c r="AE274"/>
  <c r="AE275"/>
  <c r="AE276"/>
  <c r="AE277"/>
  <c r="AE278"/>
  <c r="AE279"/>
  <c r="AE280"/>
  <c r="AE281"/>
  <c r="AE282"/>
  <c r="AE283"/>
  <c r="AE284"/>
  <c r="AE285"/>
  <c r="AE286"/>
  <c r="AE287"/>
  <c r="AE288"/>
  <c r="AE289"/>
  <c r="AE290"/>
  <c r="AE291"/>
  <c r="AE292"/>
  <c r="AE293"/>
  <c r="AE294"/>
  <c r="AE295"/>
  <c r="AE296"/>
  <c r="AE297"/>
  <c r="AE299"/>
  <c r="AE300"/>
  <c r="AE301"/>
  <c r="AE302"/>
  <c r="AE303"/>
  <c r="AE304"/>
  <c r="AE305"/>
  <c r="AE306"/>
  <c r="AE307"/>
  <c r="AE308"/>
  <c r="AE309"/>
  <c r="AE310"/>
  <c r="AE311"/>
  <c r="AE312"/>
  <c r="AE313"/>
  <c r="AE314"/>
  <c r="AE315"/>
  <c r="AE316"/>
  <c r="AE317"/>
  <c r="AE318"/>
  <c r="AE319"/>
  <c r="AE320"/>
  <c r="AE321"/>
  <c r="AE322"/>
  <c r="AE323"/>
  <c r="AE324"/>
  <c r="AE325"/>
  <c r="AE326"/>
  <c r="AE327"/>
  <c r="AE328"/>
  <c r="AE329"/>
  <c r="AE330"/>
  <c r="AE331"/>
  <c r="AE332"/>
  <c r="AE333"/>
  <c r="AE334"/>
  <c r="AE335"/>
  <c r="AE336"/>
  <c r="AE337"/>
  <c r="AE338"/>
  <c r="AE339"/>
  <c r="AE340"/>
  <c r="AE341"/>
  <c r="AE342"/>
  <c r="AE343"/>
  <c r="AE344"/>
  <c r="AE345"/>
  <c r="AE346"/>
  <c r="AE347"/>
  <c r="AE348"/>
  <c r="AE349"/>
  <c r="AE350"/>
  <c r="AE351"/>
  <c r="AE352"/>
  <c r="AE353"/>
  <c r="AE354"/>
  <c r="AE355"/>
  <c r="AE356"/>
  <c r="AE357"/>
  <c r="AE358"/>
  <c r="AE359"/>
  <c r="AE360"/>
  <c r="AE361"/>
  <c r="AE362"/>
  <c r="AE363"/>
  <c r="AE364"/>
  <c r="AE365"/>
  <c r="AE366"/>
  <c r="AE367"/>
  <c r="AE368"/>
  <c r="AE369"/>
  <c r="AE370"/>
  <c r="AE371"/>
  <c r="AE372"/>
  <c r="AE373"/>
  <c r="AE374"/>
  <c r="AE375"/>
  <c r="AE376"/>
  <c r="AE377"/>
  <c r="AE378"/>
  <c r="AE379"/>
  <c r="AE380"/>
  <c r="AE381"/>
  <c r="AE382"/>
  <c r="AE383"/>
  <c r="AE384"/>
  <c r="AE385"/>
  <c r="AE386"/>
  <c r="AE387"/>
  <c r="AE388"/>
  <c r="AE389"/>
  <c r="AE390"/>
  <c r="AE391"/>
  <c r="AE392"/>
  <c r="AE393"/>
  <c r="AE394"/>
  <c r="AE395"/>
  <c r="AE396"/>
  <c r="AE397"/>
  <c r="AE398"/>
  <c r="AE399"/>
  <c r="AE400"/>
  <c r="AE401"/>
  <c r="AE402"/>
  <c r="AE403"/>
  <c r="AE404"/>
  <c r="AE405"/>
  <c r="AE406"/>
  <c r="AE407"/>
  <c r="AE408"/>
  <c r="AE409"/>
  <c r="AE410"/>
  <c r="AE411"/>
  <c r="AE412"/>
  <c r="AE413"/>
  <c r="AE414"/>
  <c r="AE415"/>
  <c r="AE416"/>
  <c r="AE417"/>
  <c r="AE418"/>
  <c r="AE419"/>
  <c r="AE420"/>
  <c r="AE421"/>
  <c r="AE422"/>
  <c r="AE423"/>
  <c r="AE424"/>
  <c r="AE425"/>
  <c r="AE426"/>
  <c r="AE427"/>
  <c r="AE428"/>
  <c r="AE429"/>
  <c r="AE430"/>
  <c r="AE431"/>
  <c r="AE432"/>
  <c r="AE433"/>
  <c r="AE434"/>
  <c r="AE435"/>
  <c r="AE436"/>
  <c r="AE437"/>
  <c r="AE438"/>
  <c r="AE439"/>
  <c r="AE440"/>
  <c r="AE441"/>
  <c r="AE442"/>
  <c r="AE443"/>
  <c r="AE444"/>
  <c r="AE445"/>
  <c r="AE446"/>
  <c r="AE447"/>
  <c r="AE448"/>
  <c r="AE449"/>
  <c r="AE450"/>
  <c r="AE451"/>
  <c r="AE452"/>
  <c r="AE453"/>
  <c r="AE454"/>
  <c r="AE455"/>
  <c r="AE456"/>
  <c r="AE457"/>
  <c r="AE458"/>
  <c r="AE459"/>
  <c r="AE460"/>
  <c r="AE461"/>
  <c r="AE462"/>
  <c r="AE463"/>
  <c r="AE464"/>
  <c r="AE465"/>
  <c r="AE466"/>
  <c r="AE467"/>
  <c r="AE468"/>
  <c r="AE469"/>
  <c r="AE470"/>
  <c r="AE471"/>
  <c r="AE472"/>
  <c r="AE473"/>
  <c r="AE474"/>
  <c r="AE475"/>
  <c r="AE476"/>
  <c r="AE477"/>
  <c r="AE478"/>
  <c r="AE479"/>
  <c r="AE480"/>
  <c r="AE481"/>
  <c r="AE482"/>
  <c r="AE483"/>
  <c r="AE484"/>
  <c r="AE485"/>
  <c r="AE486"/>
  <c r="AE487"/>
  <c r="AE488"/>
  <c r="AE489"/>
  <c r="AE490"/>
  <c r="AE491"/>
  <c r="AE492"/>
  <c r="AE493"/>
  <c r="AE494"/>
  <c r="AE495"/>
  <c r="AE496"/>
  <c r="AE497"/>
  <c r="AE498"/>
  <c r="AE499"/>
  <c r="AE500"/>
  <c r="AE501"/>
  <c r="AE502"/>
  <c r="AE503"/>
  <c r="AE504"/>
  <c r="AE505"/>
  <c r="AE506"/>
  <c r="AE507"/>
  <c r="AE508"/>
  <c r="AE509"/>
  <c r="AE510"/>
  <c r="AE511"/>
  <c r="AE512"/>
  <c r="AE513"/>
  <c r="AE514"/>
  <c r="AE515"/>
  <c r="AE516"/>
  <c r="AE517"/>
  <c r="AE518"/>
  <c r="AE519"/>
  <c r="AE520"/>
  <c r="AE521"/>
  <c r="AE522"/>
  <c r="AE523"/>
  <c r="AE524"/>
  <c r="AE525"/>
  <c r="AE526"/>
  <c r="AE527"/>
  <c r="AE528"/>
  <c r="AE529"/>
  <c r="AE530"/>
  <c r="AE531"/>
  <c r="AE532"/>
  <c r="AE533"/>
  <c r="AE534"/>
  <c r="AE535"/>
  <c r="AE536"/>
  <c r="AE537"/>
  <c r="AE538"/>
  <c r="AE539"/>
  <c r="AE540"/>
  <c r="AE541"/>
  <c r="AE542"/>
  <c r="AE543"/>
  <c r="AE544"/>
  <c r="AE545"/>
  <c r="AE546"/>
  <c r="AE547"/>
  <c r="AE548"/>
  <c r="AE549"/>
  <c r="AE550"/>
  <c r="AE551"/>
  <c r="AE552"/>
  <c r="AE553"/>
  <c r="AE554"/>
  <c r="AE555"/>
  <c r="AE556"/>
  <c r="AE557"/>
  <c r="AE558"/>
  <c r="AE559"/>
  <c r="AE560"/>
  <c r="AE561"/>
  <c r="AE562"/>
  <c r="AE563"/>
  <c r="AE564"/>
  <c r="AE565"/>
  <c r="AE566"/>
  <c r="AE567"/>
  <c r="AE568"/>
  <c r="AE569"/>
  <c r="AE570"/>
  <c r="AE571"/>
  <c r="AE572"/>
  <c r="AE573"/>
  <c r="AE574"/>
  <c r="AE575"/>
  <c r="AE576"/>
  <c r="AE577"/>
  <c r="AE578"/>
  <c r="AE579"/>
  <c r="AE580"/>
  <c r="AE581"/>
  <c r="AE582"/>
  <c r="AE583"/>
  <c r="AE584"/>
  <c r="AE585"/>
  <c r="AE586"/>
  <c r="AE587"/>
  <c r="AE588"/>
  <c r="AE589"/>
  <c r="AE590"/>
  <c r="AE591"/>
  <c r="AE592"/>
  <c r="AE593"/>
  <c r="AE594"/>
  <c r="AE595"/>
  <c r="AE596"/>
  <c r="AE597"/>
  <c r="AE598"/>
  <c r="AE599"/>
  <c r="AE600"/>
  <c r="AE601"/>
  <c r="AE602"/>
  <c r="AE603"/>
  <c r="AE604"/>
  <c r="AE605"/>
  <c r="AE606"/>
  <c r="AE607"/>
  <c r="AE608"/>
  <c r="AE609"/>
  <c r="AE610"/>
  <c r="AE611"/>
  <c r="AE612"/>
  <c r="AE613"/>
  <c r="AE614"/>
  <c r="AE615"/>
  <c r="AE616"/>
  <c r="AE617"/>
  <c r="AE618"/>
  <c r="AE685" s="1"/>
  <c r="AE619"/>
  <c r="AE620"/>
  <c r="AE621"/>
  <c r="AE622"/>
  <c r="AE623"/>
  <c r="AE624"/>
  <c r="AE625"/>
  <c r="AE626"/>
  <c r="AE627"/>
  <c r="AE628"/>
  <c r="AE629"/>
  <c r="AE630"/>
  <c r="AE631"/>
  <c r="AE632"/>
  <c r="AE633"/>
  <c r="AE634"/>
  <c r="AE635"/>
  <c r="AE636"/>
  <c r="AE637"/>
  <c r="AE638"/>
  <c r="AE639"/>
  <c r="AE640"/>
  <c r="AE641"/>
  <c r="AE642"/>
  <c r="AE643"/>
  <c r="AE644"/>
  <c r="AE645"/>
  <c r="AE646"/>
  <c r="AE647"/>
  <c r="AE648"/>
  <c r="AE649"/>
  <c r="AE650"/>
  <c r="AE651"/>
  <c r="AE652"/>
  <c r="AE653"/>
  <c r="AE654"/>
  <c r="AE655"/>
  <c r="AE656"/>
  <c r="AE657"/>
  <c r="AE658"/>
  <c r="AE659"/>
  <c r="AE660"/>
  <c r="AE661"/>
  <c r="AE662"/>
  <c r="AE663"/>
  <c r="AE5"/>
  <c r="K14" i="26"/>
  <c r="K13"/>
  <c r="M16"/>
  <c r="M18" s="1"/>
  <c r="I13" i="4" s="1"/>
  <c r="M15" i="26"/>
  <c r="M13"/>
  <c r="AC6"/>
  <c r="AC18" s="1"/>
  <c r="AA6"/>
  <c r="AA18" s="1"/>
  <c r="S6"/>
  <c r="Q6"/>
  <c r="O6"/>
  <c r="O18" s="1"/>
  <c r="K6"/>
  <c r="AC5"/>
  <c r="AA5"/>
  <c r="Q5"/>
  <c r="K5"/>
  <c r="K18" s="1"/>
  <c r="I14" i="4" s="1"/>
  <c r="G18" i="26"/>
  <c r="C19"/>
  <c r="S18"/>
  <c r="Q18"/>
  <c r="R167" i="12"/>
  <c r="R166"/>
  <c r="S166" s="1"/>
  <c r="R165"/>
  <c r="S165"/>
  <c r="R164"/>
  <c r="S164" s="1"/>
  <c r="R163"/>
  <c r="S163"/>
  <c r="R162"/>
  <c r="S162" s="1"/>
  <c r="R161"/>
  <c r="S161"/>
  <c r="R160"/>
  <c r="R159"/>
  <c r="R158"/>
  <c r="S158"/>
  <c r="S157" s="1"/>
  <c r="R157"/>
  <c r="R156"/>
  <c r="R155"/>
  <c r="S155" s="1"/>
  <c r="S154" s="1"/>
  <c r="R152"/>
  <c r="S152"/>
  <c r="R151"/>
  <c r="S151" s="1"/>
  <c r="R150"/>
  <c r="S150"/>
  <c r="R149"/>
  <c r="R148"/>
  <c r="J147"/>
  <c r="R147"/>
  <c r="S147" s="1"/>
  <c r="S146" s="1"/>
  <c r="R146"/>
  <c r="R144"/>
  <c r="S144" s="1"/>
  <c r="R143"/>
  <c r="S143" s="1"/>
  <c r="R142"/>
  <c r="J140"/>
  <c r="R140" s="1"/>
  <c r="S140" s="1"/>
  <c r="R139"/>
  <c r="S139"/>
  <c r="R138"/>
  <c r="S138" s="1"/>
  <c r="R137"/>
  <c r="S137"/>
  <c r="R136"/>
  <c r="S136" s="1"/>
  <c r="R135"/>
  <c r="J133"/>
  <c r="R133"/>
  <c r="S133" s="1"/>
  <c r="S132" s="1"/>
  <c r="R132"/>
  <c r="R131"/>
  <c r="R130"/>
  <c r="S130"/>
  <c r="R129"/>
  <c r="S129"/>
  <c r="R128"/>
  <c r="S128"/>
  <c r="R127"/>
  <c r="S127"/>
  <c r="R126"/>
  <c r="S126"/>
  <c r="R125"/>
  <c r="S125"/>
  <c r="R124"/>
  <c r="S124"/>
  <c r="R123"/>
  <c r="S123"/>
  <c r="R122"/>
  <c r="S122"/>
  <c r="R121"/>
  <c r="S121"/>
  <c r="R120"/>
  <c r="S120"/>
  <c r="R119"/>
  <c r="S119"/>
  <c r="R118"/>
  <c r="S118"/>
  <c r="R117"/>
  <c r="S117"/>
  <c r="R116"/>
  <c r="S116"/>
  <c r="R115"/>
  <c r="S115"/>
  <c r="R114"/>
  <c r="S114"/>
  <c r="R113"/>
  <c r="S113"/>
  <c r="R112"/>
  <c r="S112"/>
  <c r="J111"/>
  <c r="R111"/>
  <c r="S111" s="1"/>
  <c r="R110"/>
  <c r="S110"/>
  <c r="R109"/>
  <c r="S109" s="1"/>
  <c r="R108"/>
  <c r="S108" s="1"/>
  <c r="R107"/>
  <c r="S107" s="1"/>
  <c r="R106"/>
  <c r="S106"/>
  <c r="R105"/>
  <c r="S105" s="1"/>
  <c r="R104"/>
  <c r="S104"/>
  <c r="R103"/>
  <c r="S103" s="1"/>
  <c r="R102"/>
  <c r="S102"/>
  <c r="R101"/>
  <c r="S101" s="1"/>
  <c r="J100"/>
  <c r="R100" s="1"/>
  <c r="S100" s="1"/>
  <c r="R99"/>
  <c r="S99"/>
  <c r="J98"/>
  <c r="R98"/>
  <c r="S98" s="1"/>
  <c r="J97"/>
  <c r="R97"/>
  <c r="S97" s="1"/>
  <c r="J96"/>
  <c r="R96"/>
  <c r="S96"/>
  <c r="J95"/>
  <c r="R95" s="1"/>
  <c r="S95" s="1"/>
  <c r="K94"/>
  <c r="J94"/>
  <c r="H94"/>
  <c r="R94" s="1"/>
  <c r="S94" s="1"/>
  <c r="K93"/>
  <c r="J93"/>
  <c r="I93"/>
  <c r="H93"/>
  <c r="G93"/>
  <c r="F93"/>
  <c r="R92"/>
  <c r="S92" s="1"/>
  <c r="R91"/>
  <c r="S91" s="1"/>
  <c r="R90"/>
  <c r="S90" s="1"/>
  <c r="R89"/>
  <c r="S89"/>
  <c r="R88"/>
  <c r="S88" s="1"/>
  <c r="R87"/>
  <c r="S87"/>
  <c r="R86"/>
  <c r="S86" s="1"/>
  <c r="R85"/>
  <c r="S85"/>
  <c r="R84"/>
  <c r="S84" s="1"/>
  <c r="R83"/>
  <c r="S83" s="1"/>
  <c r="J82"/>
  <c r="R82" s="1"/>
  <c r="S82" s="1"/>
  <c r="R81"/>
  <c r="S81"/>
  <c r="J80"/>
  <c r="R80"/>
  <c r="S80"/>
  <c r="R79"/>
  <c r="S79" s="1"/>
  <c r="R78"/>
  <c r="S78"/>
  <c r="R77"/>
  <c r="S77" s="1"/>
  <c r="R76"/>
  <c r="S76" s="1"/>
  <c r="R75"/>
  <c r="S75" s="1"/>
  <c r="R74"/>
  <c r="S74"/>
  <c r="R73"/>
  <c r="S73" s="1"/>
  <c r="R72"/>
  <c r="S72"/>
  <c r="R71"/>
  <c r="S71" s="1"/>
  <c r="R70"/>
  <c r="S70"/>
  <c r="R69"/>
  <c r="S69" s="1"/>
  <c r="R68"/>
  <c r="S68" s="1"/>
  <c r="R67"/>
  <c r="S67" s="1"/>
  <c r="R66"/>
  <c r="S66"/>
  <c r="R65"/>
  <c r="S65" s="1"/>
  <c r="R64"/>
  <c r="S64"/>
  <c r="R63"/>
  <c r="S63" s="1"/>
  <c r="R62"/>
  <c r="S62"/>
  <c r="R61"/>
  <c r="S61" s="1"/>
  <c r="R60"/>
  <c r="S60" s="1"/>
  <c r="R59"/>
  <c r="S59" s="1"/>
  <c r="R58"/>
  <c r="S58"/>
  <c r="R57"/>
  <c r="S57" s="1"/>
  <c r="R56"/>
  <c r="S56"/>
  <c r="J55"/>
  <c r="R55" s="1"/>
  <c r="S55" s="1"/>
  <c r="R54"/>
  <c r="S54"/>
  <c r="R53"/>
  <c r="S53"/>
  <c r="J52"/>
  <c r="R52"/>
  <c r="S52" s="1"/>
  <c r="R51"/>
  <c r="J49"/>
  <c r="R49" s="1"/>
  <c r="S49" s="1"/>
  <c r="S48" s="1"/>
  <c r="R48"/>
  <c r="J46"/>
  <c r="R46" s="1"/>
  <c r="S46" s="1"/>
  <c r="J45"/>
  <c r="R45" s="1"/>
  <c r="S45" s="1"/>
  <c r="S44" s="1"/>
  <c r="R44"/>
  <c r="R43"/>
  <c r="R38"/>
  <c r="S38" s="1"/>
  <c r="R29"/>
  <c r="S29"/>
  <c r="R28"/>
  <c r="S28" s="1"/>
  <c r="R37"/>
  <c r="S37" s="1"/>
  <c r="R36"/>
  <c r="S36" s="1"/>
  <c r="R30"/>
  <c r="S30"/>
  <c r="J27"/>
  <c r="R27"/>
  <c r="S27"/>
  <c r="R26"/>
  <c r="S26" s="1"/>
  <c r="J33"/>
  <c r="R33"/>
  <c r="S33"/>
  <c r="R25"/>
  <c r="S25" s="1"/>
  <c r="R24"/>
  <c r="R22"/>
  <c r="S22" s="1"/>
  <c r="R21"/>
  <c r="S21" s="1"/>
  <c r="R20"/>
  <c r="S20" s="1"/>
  <c r="R19"/>
  <c r="S19"/>
  <c r="R18"/>
  <c r="R16"/>
  <c r="S16"/>
  <c r="R15"/>
  <c r="R14"/>
  <c r="R13"/>
  <c r="R12"/>
  <c r="S12"/>
  <c r="S11" s="1"/>
  <c r="R11"/>
  <c r="J10"/>
  <c r="R10"/>
  <c r="S10" s="1"/>
  <c r="J9"/>
  <c r="R9"/>
  <c r="S9"/>
  <c r="G203" i="9"/>
  <c r="F203"/>
  <c r="G202"/>
  <c r="F202"/>
  <c r="H202" s="1"/>
  <c r="G201"/>
  <c r="F201"/>
  <c r="H204"/>
  <c r="H205"/>
  <c r="H165"/>
  <c r="H164"/>
  <c r="H163"/>
  <c r="H162"/>
  <c r="H161"/>
  <c r="H159"/>
  <c r="H156"/>
  <c r="H154"/>
  <c r="H153"/>
  <c r="H152"/>
  <c r="H151"/>
  <c r="H150"/>
  <c r="H149"/>
  <c r="H148"/>
  <c r="H143"/>
  <c r="H142"/>
  <c r="H141"/>
  <c r="H140"/>
  <c r="H139"/>
  <c r="H137"/>
  <c r="H134"/>
  <c r="H132"/>
  <c r="H131"/>
  <c r="H130"/>
  <c r="H129"/>
  <c r="H128"/>
  <c r="H127"/>
  <c r="H126"/>
  <c r="H118"/>
  <c r="H117"/>
  <c r="H105"/>
  <c r="H104"/>
  <c r="H93"/>
  <c r="H92"/>
  <c r="H90"/>
  <c r="H89"/>
  <c r="H84"/>
  <c r="H83"/>
  <c r="H82"/>
  <c r="H81"/>
  <c r="H80"/>
  <c r="H79"/>
  <c r="H78"/>
  <c r="H77"/>
  <c r="G85"/>
  <c r="F85"/>
  <c r="G97"/>
  <c r="F97"/>
  <c r="G122"/>
  <c r="F122"/>
  <c r="G144"/>
  <c r="F144"/>
  <c r="H144" s="1"/>
  <c r="G166"/>
  <c r="F166"/>
  <c r="G188"/>
  <c r="F188"/>
  <c r="H188" s="1"/>
  <c r="F198"/>
  <c r="G198"/>
  <c r="H200"/>
  <c r="H19"/>
  <c r="M675" i="7"/>
  <c r="G674"/>
  <c r="G673"/>
  <c r="K13"/>
  <c r="K14"/>
  <c r="K21"/>
  <c r="K27"/>
  <c r="K31"/>
  <c r="K34"/>
  <c r="K35"/>
  <c r="K39"/>
  <c r="K40"/>
  <c r="K41"/>
  <c r="K49"/>
  <c r="K51"/>
  <c r="K52"/>
  <c r="K53"/>
  <c r="K61"/>
  <c r="K72"/>
  <c r="K73"/>
  <c r="K74"/>
  <c r="K75"/>
  <c r="K76"/>
  <c r="K77"/>
  <c r="K78"/>
  <c r="K79"/>
  <c r="K81"/>
  <c r="K82"/>
  <c r="K83"/>
  <c r="K84"/>
  <c r="K85"/>
  <c r="K673" s="1"/>
  <c r="K86"/>
  <c r="K87"/>
  <c r="K88"/>
  <c r="K89"/>
  <c r="K90"/>
  <c r="K91"/>
  <c r="K92"/>
  <c r="K93"/>
  <c r="K94"/>
  <c r="K674" s="1"/>
  <c r="K95"/>
  <c r="K96"/>
  <c r="K97"/>
  <c r="K98"/>
  <c r="K99"/>
  <c r="K100"/>
  <c r="K101"/>
  <c r="K102"/>
  <c r="K103"/>
  <c r="K104"/>
  <c r="K105"/>
  <c r="K106"/>
  <c r="K107"/>
  <c r="K140"/>
  <c r="K145"/>
  <c r="K157"/>
  <c r="K158"/>
  <c r="K160"/>
  <c r="K163"/>
  <c r="K164"/>
  <c r="K165"/>
  <c r="K167"/>
  <c r="K168"/>
  <c r="K169"/>
  <c r="K171"/>
  <c r="K172"/>
  <c r="K173"/>
  <c r="K174"/>
  <c r="K177"/>
  <c r="K180"/>
  <c r="K182"/>
  <c r="K184"/>
  <c r="K186"/>
  <c r="K195"/>
  <c r="K196"/>
  <c r="K197"/>
  <c r="K198"/>
  <c r="K199"/>
  <c r="K201"/>
  <c r="K203"/>
  <c r="K205"/>
  <c r="K207"/>
  <c r="K209"/>
  <c r="K210"/>
  <c r="K211"/>
  <c r="K212"/>
  <c r="K213"/>
  <c r="K215"/>
  <c r="K217"/>
  <c r="K219"/>
  <c r="K221"/>
  <c r="K225"/>
  <c r="K227"/>
  <c r="K229"/>
  <c r="K230"/>
  <c r="K231"/>
  <c r="K232"/>
  <c r="K233"/>
  <c r="K234"/>
  <c r="K235"/>
  <c r="K238"/>
  <c r="K239"/>
  <c r="K242"/>
  <c r="K243"/>
  <c r="K248"/>
  <c r="K249"/>
  <c r="K250"/>
  <c r="K253"/>
  <c r="K254"/>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5"/>
  <c r="K296"/>
  <c r="K297"/>
  <c r="K299"/>
  <c r="K300"/>
  <c r="K302"/>
  <c r="K305"/>
  <c r="K308"/>
  <c r="K310"/>
  <c r="K311"/>
  <c r="K312"/>
  <c r="K315"/>
  <c r="K323"/>
  <c r="K324"/>
  <c r="K326"/>
  <c r="K328"/>
  <c r="K329"/>
  <c r="K331"/>
  <c r="K332"/>
  <c r="K333"/>
  <c r="K334"/>
  <c r="K335"/>
  <c r="K339"/>
  <c r="K340"/>
  <c r="K342"/>
  <c r="K343"/>
  <c r="K344"/>
  <c r="K345"/>
  <c r="K346"/>
  <c r="K347"/>
  <c r="K348"/>
  <c r="K350"/>
  <c r="K353"/>
  <c r="K355"/>
  <c r="K366"/>
  <c r="K367"/>
  <c r="K368"/>
  <c r="K369"/>
  <c r="K370"/>
  <c r="K371"/>
  <c r="K373"/>
  <c r="K375"/>
  <c r="K377"/>
  <c r="K380"/>
  <c r="K382"/>
  <c r="K384"/>
  <c r="K386"/>
  <c r="K388"/>
  <c r="K390"/>
  <c r="K399"/>
  <c r="K401"/>
  <c r="K402"/>
  <c r="K404"/>
  <c r="K406"/>
  <c r="K407"/>
  <c r="K409"/>
  <c r="K410"/>
  <c r="K411"/>
  <c r="K413"/>
  <c r="K414"/>
  <c r="K416"/>
  <c r="K417"/>
  <c r="K418"/>
  <c r="K419"/>
  <c r="K420"/>
  <c r="K421"/>
  <c r="K422"/>
  <c r="K423"/>
  <c r="K426"/>
  <c r="K429"/>
  <c r="K430"/>
  <c r="K431"/>
  <c r="K432"/>
  <c r="K433"/>
  <c r="K434"/>
  <c r="K435"/>
  <c r="K436"/>
  <c r="K437"/>
  <c r="K438"/>
  <c r="K439"/>
  <c r="K443"/>
  <c r="K445"/>
  <c r="K448"/>
  <c r="K449"/>
  <c r="K450"/>
  <c r="K451"/>
  <c r="K452"/>
  <c r="K453"/>
  <c r="K454"/>
  <c r="K455"/>
  <c r="K463"/>
  <c r="K466"/>
  <c r="K468"/>
  <c r="K470"/>
  <c r="K471"/>
  <c r="K472"/>
  <c r="K473"/>
  <c r="K474"/>
  <c r="K475"/>
  <c r="K476"/>
  <c r="K477"/>
  <c r="K478"/>
  <c r="K479"/>
  <c r="K480"/>
  <c r="K481"/>
  <c r="K483"/>
  <c r="K484"/>
  <c r="K485"/>
  <c r="K486"/>
  <c r="K487"/>
  <c r="K488"/>
  <c r="K491"/>
  <c r="K494"/>
  <c r="K495"/>
  <c r="K496"/>
  <c r="K497"/>
  <c r="K498"/>
  <c r="K499"/>
  <c r="K500"/>
  <c r="K501"/>
  <c r="K502"/>
  <c r="K503"/>
  <c r="K504"/>
  <c r="K508"/>
  <c r="K510"/>
  <c r="K513"/>
  <c r="K514"/>
  <c r="K515"/>
  <c r="K516"/>
  <c r="K517"/>
  <c r="K518"/>
  <c r="K519"/>
  <c r="K520"/>
  <c r="K528"/>
  <c r="K531"/>
  <c r="K533"/>
  <c r="K535"/>
  <c r="K536"/>
  <c r="K537"/>
  <c r="K538"/>
  <c r="K539"/>
  <c r="K540"/>
  <c r="K541"/>
  <c r="K542"/>
  <c r="K543"/>
  <c r="K544"/>
  <c r="K545"/>
  <c r="K546"/>
  <c r="K548"/>
  <c r="K549"/>
  <c r="K550"/>
  <c r="K551"/>
  <c r="K552"/>
  <c r="K553"/>
  <c r="K556"/>
  <c r="K559"/>
  <c r="K560"/>
  <c r="K561"/>
  <c r="K562"/>
  <c r="K563"/>
  <c r="K564"/>
  <c r="K565"/>
  <c r="K566"/>
  <c r="K567"/>
  <c r="K568"/>
  <c r="K569"/>
  <c r="K573"/>
  <c r="K575"/>
  <c r="K578"/>
  <c r="K579"/>
  <c r="K580"/>
  <c r="K581"/>
  <c r="K582"/>
  <c r="K583"/>
  <c r="K584"/>
  <c r="K585"/>
  <c r="K593"/>
  <c r="K596"/>
  <c r="K598"/>
  <c r="K600"/>
  <c r="K601"/>
  <c r="K602"/>
  <c r="K603"/>
  <c r="K604"/>
  <c r="K605"/>
  <c r="K606"/>
  <c r="K607"/>
  <c r="K608"/>
  <c r="K609"/>
  <c r="K610"/>
  <c r="K611"/>
  <c r="K613"/>
  <c r="K614"/>
  <c r="K615"/>
  <c r="K616"/>
  <c r="K617"/>
  <c r="K618"/>
  <c r="K621"/>
  <c r="K624"/>
  <c r="K627"/>
  <c r="K641"/>
  <c r="K644"/>
  <c r="K647"/>
  <c r="K649"/>
  <c r="K652"/>
  <c r="K653"/>
  <c r="K654"/>
  <c r="K655"/>
  <c r="K656"/>
  <c r="K657"/>
  <c r="K658"/>
  <c r="K659"/>
  <c r="K660"/>
  <c r="K661"/>
  <c r="K662"/>
  <c r="K663"/>
  <c r="K664"/>
  <c r="Q6"/>
  <c r="Q7"/>
  <c r="Q8"/>
  <c r="Q9"/>
  <c r="Q10"/>
  <c r="Q11"/>
  <c r="Q12"/>
  <c r="Q13"/>
  <c r="Q14"/>
  <c r="Q15"/>
  <c r="Q16"/>
  <c r="Q17"/>
  <c r="Q18"/>
  <c r="Q19"/>
  <c r="Q20"/>
  <c r="Q21"/>
  <c r="Q22"/>
  <c r="Q23"/>
  <c r="Q24"/>
  <c r="Q25"/>
  <c r="Q26"/>
  <c r="Q27"/>
  <c r="Q28"/>
  <c r="Q29"/>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672" s="1"/>
  <c r="Q81"/>
  <c r="Q82"/>
  <c r="Q83"/>
  <c r="Q84"/>
  <c r="Q85"/>
  <c r="Q673" s="1"/>
  <c r="Q86"/>
  <c r="Q87"/>
  <c r="Q88"/>
  <c r="Q89"/>
  <c r="Q90"/>
  <c r="Q91"/>
  <c r="Q92"/>
  <c r="Q674" s="1"/>
  <c r="Q93"/>
  <c r="Q94"/>
  <c r="Q95"/>
  <c r="Q96"/>
  <c r="Q97"/>
  <c r="Q98"/>
  <c r="Q99"/>
  <c r="Q100"/>
  <c r="Q101"/>
  <c r="Q102"/>
  <c r="Q103"/>
  <c r="Q104"/>
  <c r="Q105"/>
  <c r="Q106"/>
  <c r="Q107"/>
  <c r="Q108"/>
  <c r="Q109"/>
  <c r="Q675" s="1"/>
  <c r="Q110"/>
  <c r="Q111"/>
  <c r="Q112"/>
  <c r="Q113"/>
  <c r="Q114"/>
  <c r="Q115"/>
  <c r="Q116"/>
  <c r="Q117"/>
  <c r="Q118"/>
  <c r="Q119"/>
  <c r="Q120"/>
  <c r="Q121"/>
  <c r="Q122"/>
  <c r="Q123"/>
  <c r="Q124"/>
  <c r="Q125"/>
  <c r="Q126"/>
  <c r="Q127"/>
  <c r="Q128"/>
  <c r="Q129"/>
  <c r="Q130"/>
  <c r="Q131"/>
  <c r="Q132"/>
  <c r="Q133"/>
  <c r="Q134"/>
  <c r="Q135"/>
  <c r="Q136"/>
  <c r="Q137"/>
  <c r="Q138"/>
  <c r="Q139"/>
  <c r="Q140"/>
  <c r="Q141"/>
  <c r="Q676" s="1"/>
  <c r="Q142"/>
  <c r="Q143"/>
  <c r="Q144"/>
  <c r="Q145"/>
  <c r="Q146"/>
  <c r="Q147"/>
  <c r="Q148"/>
  <c r="Q149"/>
  <c r="Q150"/>
  <c r="Q151"/>
  <c r="Q152"/>
  <c r="Q153"/>
  <c r="Q154"/>
  <c r="Q155"/>
  <c r="Q156"/>
  <c r="Q157"/>
  <c r="Q158"/>
  <c r="Q159"/>
  <c r="Q160"/>
  <c r="Q161"/>
  <c r="Q677" s="1"/>
  <c r="Q162"/>
  <c r="Q163"/>
  <c r="Q164"/>
  <c r="Q678" s="1"/>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51"/>
  <c r="Q252"/>
  <c r="Q253"/>
  <c r="Q255"/>
  <c r="Q257"/>
  <c r="Q260"/>
  <c r="Q261"/>
  <c r="Q262"/>
  <c r="Q264"/>
  <c r="Q265"/>
  <c r="Q266"/>
  <c r="Q267"/>
  <c r="Q268"/>
  <c r="Q269"/>
  <c r="Q270"/>
  <c r="Q271"/>
  <c r="Q272"/>
  <c r="Q273"/>
  <c r="Q274"/>
  <c r="Q275"/>
  <c r="Q276"/>
  <c r="Q277"/>
  <c r="Q281"/>
  <c r="Q282"/>
  <c r="Q283"/>
  <c r="Q284"/>
  <c r="Q285"/>
  <c r="Q286"/>
  <c r="Q287"/>
  <c r="Q288"/>
  <c r="Q292"/>
  <c r="Q293"/>
  <c r="Q294"/>
  <c r="Q295"/>
  <c r="Q296"/>
  <c r="Q297"/>
  <c r="Q299"/>
  <c r="Q300"/>
  <c r="Q301"/>
  <c r="Q302"/>
  <c r="Q303"/>
  <c r="Q304"/>
  <c r="Q305"/>
  <c r="Q306"/>
  <c r="Q307"/>
  <c r="Q308"/>
  <c r="Q309"/>
  <c r="Q310"/>
  <c r="Q311"/>
  <c r="Q313"/>
  <c r="Q314"/>
  <c r="Q315"/>
  <c r="Q316"/>
  <c r="Q317"/>
  <c r="Q318"/>
  <c r="Q319"/>
  <c r="Q320"/>
  <c r="Q321"/>
  <c r="Q322"/>
  <c r="Q323"/>
  <c r="Q324"/>
  <c r="Q325"/>
  <c r="Q326"/>
  <c r="Q327"/>
  <c r="Q328"/>
  <c r="Q329"/>
  <c r="Q330"/>
  <c r="Q333"/>
  <c r="Q334"/>
  <c r="Q336"/>
  <c r="Q337"/>
  <c r="Q338"/>
  <c r="Q341"/>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8"/>
  <c r="Q410"/>
  <c r="Q412"/>
  <c r="Q415"/>
  <c r="Q417"/>
  <c r="Q418"/>
  <c r="Q419"/>
  <c r="Q420"/>
  <c r="Q421"/>
  <c r="Q422"/>
  <c r="Q423"/>
  <c r="Q424"/>
  <c r="Q682" s="1"/>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683" s="1"/>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Q528"/>
  <c r="Q529"/>
  <c r="Q530"/>
  <c r="Q531"/>
  <c r="Q532"/>
  <c r="Q533"/>
  <c r="Q534"/>
  <c r="Q535"/>
  <c r="Q536"/>
  <c r="Q537"/>
  <c r="Q538"/>
  <c r="Q539"/>
  <c r="Q540"/>
  <c r="Q541"/>
  <c r="Q542"/>
  <c r="Q543"/>
  <c r="Q544"/>
  <c r="Q545"/>
  <c r="Q546"/>
  <c r="Q547"/>
  <c r="Q548"/>
  <c r="Q549"/>
  <c r="Q550"/>
  <c r="Q551"/>
  <c r="Q552"/>
  <c r="Q553"/>
  <c r="Q554"/>
  <c r="Q555"/>
  <c r="Q556"/>
  <c r="Q557"/>
  <c r="Q558"/>
  <c r="Q559"/>
  <c r="Q560"/>
  <c r="Q561"/>
  <c r="Q562"/>
  <c r="Q563"/>
  <c r="Q564"/>
  <c r="Q565"/>
  <c r="Q566"/>
  <c r="Q567"/>
  <c r="Q568"/>
  <c r="Q569"/>
  <c r="Q570"/>
  <c r="Q571"/>
  <c r="Q572"/>
  <c r="Q573"/>
  <c r="Q574"/>
  <c r="Q575"/>
  <c r="Q576"/>
  <c r="Q577"/>
  <c r="Q578"/>
  <c r="Q579"/>
  <c r="Q580"/>
  <c r="Q581"/>
  <c r="Q582"/>
  <c r="Q583"/>
  <c r="Q584"/>
  <c r="Q585"/>
  <c r="Q586"/>
  <c r="Q587"/>
  <c r="Q588"/>
  <c r="Q589"/>
  <c r="Q590"/>
  <c r="Q591"/>
  <c r="Q592"/>
  <c r="Q593"/>
  <c r="Q594"/>
  <c r="Q595"/>
  <c r="Q596"/>
  <c r="Q597"/>
  <c r="Q598"/>
  <c r="Q599"/>
  <c r="Q600"/>
  <c r="Q601"/>
  <c r="Q602"/>
  <c r="Q603"/>
  <c r="Q604"/>
  <c r="Q605"/>
  <c r="Q606"/>
  <c r="Q607"/>
  <c r="Q608"/>
  <c r="Q609"/>
  <c r="Q610"/>
  <c r="Q611"/>
  <c r="Q612"/>
  <c r="Q613"/>
  <c r="Q614"/>
  <c r="Q615"/>
  <c r="Q616"/>
  <c r="Q617"/>
  <c r="Q685" s="1"/>
  <c r="Q618"/>
  <c r="Q619"/>
  <c r="Q620"/>
  <c r="Q621"/>
  <c r="Q622"/>
  <c r="Q623"/>
  <c r="Q624"/>
  <c r="Q625"/>
  <c r="Q626"/>
  <c r="Q627"/>
  <c r="Q628"/>
  <c r="Q629"/>
  <c r="Q630"/>
  <c r="Q631"/>
  <c r="Q632"/>
  <c r="Q633"/>
  <c r="Q634"/>
  <c r="Q635"/>
  <c r="Q636"/>
  <c r="Q637"/>
  <c r="Q638"/>
  <c r="Q639"/>
  <c r="Q640"/>
  <c r="Q641"/>
  <c r="Q642"/>
  <c r="Q643"/>
  <c r="Q644"/>
  <c r="Q645"/>
  <c r="Q646"/>
  <c r="Q647"/>
  <c r="Q648"/>
  <c r="Q649"/>
  <c r="Q650"/>
  <c r="Q651"/>
  <c r="Q652"/>
  <c r="Q653"/>
  <c r="Q654"/>
  <c r="Q655"/>
  <c r="Q656"/>
  <c r="Q657"/>
  <c r="Q658"/>
  <c r="Q659"/>
  <c r="Q660"/>
  <c r="Q661"/>
  <c r="Q662"/>
  <c r="Q663"/>
  <c r="Q5"/>
  <c r="O66" i="4"/>
  <c r="O67"/>
  <c r="O68"/>
  <c r="O69"/>
  <c r="O70"/>
  <c r="O71"/>
  <c r="O72"/>
  <c r="O73"/>
  <c r="O74"/>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6"/>
  <c r="O137"/>
  <c r="O138"/>
  <c r="O139"/>
  <c r="O140"/>
  <c r="O141"/>
  <c r="O142"/>
  <c r="O143"/>
  <c r="O144"/>
  <c r="O146"/>
  <c r="O147"/>
  <c r="O148"/>
  <c r="O145" s="1"/>
  <c r="O33" s="1"/>
  <c r="O149"/>
  <c r="O150"/>
  <c r="O151"/>
  <c r="O152"/>
  <c r="O153"/>
  <c r="O154"/>
  <c r="O155"/>
  <c r="O156"/>
  <c r="O181"/>
  <c r="O182"/>
  <c r="O183"/>
  <c r="O184"/>
  <c r="O185"/>
  <c r="O187"/>
  <c r="O188"/>
  <c r="O189"/>
  <c r="O190"/>
  <c r="O186" s="1"/>
  <c r="O191"/>
  <c r="O192"/>
  <c r="O193"/>
  <c r="O194"/>
  <c r="O195"/>
  <c r="O196"/>
  <c r="O197"/>
  <c r="O198"/>
  <c r="O199"/>
  <c r="O200"/>
  <c r="O201"/>
  <c r="O202"/>
  <c r="O203"/>
  <c r="O204"/>
  <c r="O205"/>
  <c r="O206"/>
  <c r="O207"/>
  <c r="O208"/>
  <c r="O209"/>
  <c r="O210"/>
  <c r="O211"/>
  <c r="O212"/>
  <c r="O213"/>
  <c r="O214"/>
  <c r="O215"/>
  <c r="O216"/>
  <c r="O217"/>
  <c r="O218"/>
  <c r="O219"/>
  <c r="O220"/>
  <c r="O221"/>
  <c r="O222"/>
  <c r="O224"/>
  <c r="O225"/>
  <c r="O227"/>
  <c r="O228"/>
  <c r="O229"/>
  <c r="O230"/>
  <c r="O231"/>
  <c r="O232"/>
  <c r="O233"/>
  <c r="O234"/>
  <c r="O235"/>
  <c r="O236"/>
  <c r="O237"/>
  <c r="O238"/>
  <c r="O239"/>
  <c r="O240"/>
  <c r="O241"/>
  <c r="O242"/>
  <c r="O243"/>
  <c r="O245"/>
  <c r="O244" s="1"/>
  <c r="O246"/>
  <c r="O247"/>
  <c r="O248"/>
  <c r="O249"/>
  <c r="O250"/>
  <c r="O251"/>
  <c r="O252"/>
  <c r="O253"/>
  <c r="O255"/>
  <c r="O256"/>
  <c r="O257"/>
  <c r="O258"/>
  <c r="O259"/>
  <c r="O260"/>
  <c r="O261"/>
  <c r="O262"/>
  <c r="O263"/>
  <c r="O264"/>
  <c r="O265"/>
  <c r="O266"/>
  <c r="O267"/>
  <c r="O268"/>
  <c r="O269"/>
  <c r="O270"/>
  <c r="O271"/>
  <c r="O272"/>
  <c r="O273"/>
  <c r="O274"/>
  <c r="O275"/>
  <c r="O276"/>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8"/>
  <c r="O339"/>
  <c r="O340"/>
  <c r="O341"/>
  <c r="O342"/>
  <c r="O343"/>
  <c r="O344"/>
  <c r="O345"/>
  <c r="O346"/>
  <c r="O347"/>
  <c r="O348"/>
  <c r="O349"/>
  <c r="O350"/>
  <c r="O351"/>
  <c r="O352"/>
  <c r="O353"/>
  <c r="O354"/>
  <c r="O355"/>
  <c r="O356"/>
  <c r="O357"/>
  <c r="O360"/>
  <c r="O361"/>
  <c r="O362"/>
  <c r="O363"/>
  <c r="O364"/>
  <c r="O365"/>
  <c r="O366"/>
  <c r="O367"/>
  <c r="O368"/>
  <c r="O369"/>
  <c r="O370"/>
  <c r="O371"/>
  <c r="O378"/>
  <c r="O379"/>
  <c r="O380"/>
  <c r="O381"/>
  <c r="O382"/>
  <c r="O383"/>
  <c r="O384"/>
  <c r="O385"/>
  <c r="O386"/>
  <c r="O387"/>
  <c r="O388"/>
  <c r="O389"/>
  <c r="O390"/>
  <c r="O392"/>
  <c r="O393"/>
  <c r="O394"/>
  <c r="O395"/>
  <c r="O396"/>
  <c r="O397"/>
  <c r="O398"/>
  <c r="O399"/>
  <c r="O400"/>
  <c r="O401"/>
  <c r="O402"/>
  <c r="O403"/>
  <c r="O404"/>
  <c r="O405"/>
  <c r="O406"/>
  <c r="O407"/>
  <c r="O408"/>
  <c r="O409"/>
  <c r="O411"/>
  <c r="O412"/>
  <c r="O413"/>
  <c r="O414"/>
  <c r="O415"/>
  <c r="O416"/>
  <c r="O417"/>
  <c r="O418"/>
  <c r="O419"/>
  <c r="O420"/>
  <c r="O421"/>
  <c r="O422"/>
  <c r="O423"/>
  <c r="O424"/>
  <c r="O425"/>
  <c r="O426"/>
  <c r="O427"/>
  <c r="O428"/>
  <c r="O429"/>
  <c r="O430"/>
  <c r="O431"/>
  <c r="O432"/>
  <c r="O433"/>
  <c r="O436"/>
  <c r="O437"/>
  <c r="O438"/>
  <c r="O439"/>
  <c r="O440"/>
  <c r="O441"/>
  <c r="O442"/>
  <c r="O443"/>
  <c r="O444"/>
  <c r="O445"/>
  <c r="O447"/>
  <c r="O448"/>
  <c r="O449"/>
  <c r="O450"/>
  <c r="O451"/>
  <c r="O452"/>
  <c r="O453"/>
  <c r="O454"/>
  <c r="O455"/>
  <c r="O456"/>
  <c r="O457"/>
  <c r="O458"/>
  <c r="O459"/>
  <c r="O460"/>
  <c r="O461"/>
  <c r="O462"/>
  <c r="O463"/>
  <c r="O464"/>
  <c r="O465"/>
  <c r="O466"/>
  <c r="O467"/>
  <c r="O468"/>
  <c r="O469"/>
  <c r="O470"/>
  <c r="O471"/>
  <c r="O472"/>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5"/>
  <c r="O516"/>
  <c r="O518"/>
  <c r="O519"/>
  <c r="O520"/>
  <c r="O521"/>
  <c r="O522"/>
  <c r="O523"/>
  <c r="O524"/>
  <c r="O526"/>
  <c r="O527"/>
  <c r="O528"/>
  <c r="O529"/>
  <c r="O530"/>
  <c r="O531"/>
  <c r="O532"/>
  <c r="O534"/>
  <c r="O535"/>
  <c r="O536"/>
  <c r="O537"/>
  <c r="O538"/>
  <c r="O539"/>
  <c r="O540"/>
  <c r="O541"/>
  <c r="O542"/>
  <c r="O543"/>
  <c r="O544"/>
  <c r="O545"/>
  <c r="O546"/>
  <c r="O547"/>
  <c r="O548"/>
  <c r="O549"/>
  <c r="O550"/>
  <c r="O551"/>
  <c r="O552"/>
  <c r="O553"/>
  <c r="O554"/>
  <c r="O555"/>
  <c r="O556"/>
  <c r="O557"/>
  <c r="O558"/>
  <c r="O559"/>
  <c r="O561"/>
  <c r="O562"/>
  <c r="O563"/>
  <c r="O564"/>
  <c r="O565"/>
  <c r="O566"/>
  <c r="O567"/>
  <c r="O568"/>
  <c r="O569"/>
  <c r="O570"/>
  <c r="O571"/>
  <c r="O572"/>
  <c r="O573"/>
  <c r="O574"/>
  <c r="O575"/>
  <c r="O576"/>
  <c r="O577"/>
  <c r="O578"/>
  <c r="O579"/>
  <c r="O580"/>
  <c r="O581"/>
  <c r="O582"/>
  <c r="O583"/>
  <c r="O584"/>
  <c r="O585"/>
  <c r="O586"/>
  <c r="O587"/>
  <c r="O588"/>
  <c r="O589"/>
  <c r="O590"/>
  <c r="O591"/>
  <c r="O592"/>
  <c r="O593"/>
  <c r="O594"/>
  <c r="O595"/>
  <c r="O596"/>
  <c r="O597"/>
  <c r="O598"/>
  <c r="O599"/>
  <c r="O600"/>
  <c r="O601"/>
  <c r="O602"/>
  <c r="O603"/>
  <c r="O604"/>
  <c r="O605"/>
  <c r="O606"/>
  <c r="O607"/>
  <c r="O608"/>
  <c r="O609"/>
  <c r="O610"/>
  <c r="O611"/>
  <c r="O612"/>
  <c r="O613"/>
  <c r="O614"/>
  <c r="O615"/>
  <c r="O616"/>
  <c r="O617"/>
  <c r="O618"/>
  <c r="O619"/>
  <c r="O620"/>
  <c r="O621"/>
  <c r="O622"/>
  <c r="O623"/>
  <c r="O624"/>
  <c r="O625"/>
  <c r="O626"/>
  <c r="O627"/>
  <c r="O628"/>
  <c r="O629"/>
  <c r="O630"/>
  <c r="O631"/>
  <c r="O632"/>
  <c r="O633"/>
  <c r="O634"/>
  <c r="O635"/>
  <c r="O636"/>
  <c r="O637"/>
  <c r="O639"/>
  <c r="O641"/>
  <c r="O643"/>
  <c r="O644"/>
  <c r="O645"/>
  <c r="O646"/>
  <c r="O647"/>
  <c r="O648"/>
  <c r="O649"/>
  <c r="O650"/>
  <c r="O651"/>
  <c r="O652"/>
  <c r="O653"/>
  <c r="O654"/>
  <c r="O655"/>
  <c r="O656"/>
  <c r="O657"/>
  <c r="O658"/>
  <c r="O659"/>
  <c r="O660"/>
  <c r="O661"/>
  <c r="O662"/>
  <c r="O663"/>
  <c r="O664"/>
  <c r="O665"/>
  <c r="O666"/>
  <c r="O667"/>
  <c r="O668"/>
  <c r="O669"/>
  <c r="O670"/>
  <c r="O671"/>
  <c r="O672"/>
  <c r="O673"/>
  <c r="O674"/>
  <c r="O675"/>
  <c r="O676"/>
  <c r="O677"/>
  <c r="O678"/>
  <c r="O679"/>
  <c r="O680"/>
  <c r="O681"/>
  <c r="O682"/>
  <c r="O683"/>
  <c r="O684"/>
  <c r="O685"/>
  <c r="O686"/>
  <c r="O687"/>
  <c r="O688"/>
  <c r="O689"/>
  <c r="O690"/>
  <c r="O691"/>
  <c r="O692"/>
  <c r="O693"/>
  <c r="O694"/>
  <c r="O695"/>
  <c r="O697"/>
  <c r="O698"/>
  <c r="O699"/>
  <c r="O700"/>
  <c r="O701"/>
  <c r="O702"/>
  <c r="O703"/>
  <c r="O704"/>
  <c r="O705"/>
  <c r="O706"/>
  <c r="O707"/>
  <c r="O708"/>
  <c r="O709"/>
  <c r="O710"/>
  <c r="O711"/>
  <c r="O712"/>
  <c r="O713"/>
  <c r="O714"/>
  <c r="O715"/>
  <c r="O716"/>
  <c r="O717"/>
  <c r="O718"/>
  <c r="O719"/>
  <c r="O720"/>
  <c r="O721"/>
  <c r="O722"/>
  <c r="O723"/>
  <c r="O724"/>
  <c r="O725"/>
  <c r="O726"/>
  <c r="O727"/>
  <c r="O728"/>
  <c r="O729"/>
  <c r="O730"/>
  <c r="O731"/>
  <c r="O732"/>
  <c r="O733"/>
  <c r="O734"/>
  <c r="O735"/>
  <c r="O736"/>
  <c r="O737"/>
  <c r="O738"/>
  <c r="O739"/>
  <c r="O740"/>
  <c r="O741"/>
  <c r="O742"/>
  <c r="O743"/>
  <c r="O744"/>
  <c r="O745"/>
  <c r="O746"/>
  <c r="O747"/>
  <c r="O748"/>
  <c r="O749"/>
  <c r="O750"/>
  <c r="O65"/>
  <c r="H166" i="9"/>
  <c r="H122"/>
  <c r="H85"/>
  <c r="H198"/>
  <c r="H203"/>
  <c r="H97"/>
  <c r="Q684" i="7"/>
  <c r="Q670"/>
  <c r="Q686"/>
  <c r="S15" i="12"/>
  <c r="S14" s="1"/>
  <c r="K686" i="7"/>
  <c r="R35" i="12"/>
  <c r="O37" i="4"/>
  <c r="O41"/>
  <c r="O135"/>
  <c r="O31" s="1"/>
  <c r="F18" i="26"/>
  <c r="U18"/>
  <c r="Y18"/>
  <c r="W18"/>
  <c r="I18"/>
  <c r="I12" i="4" s="1"/>
  <c r="R93" i="12"/>
  <c r="S93" s="1"/>
  <c r="S160"/>
  <c r="H201" i="9"/>
  <c r="I80" i="22"/>
  <c r="I71"/>
  <c r="I72"/>
  <c r="I73"/>
  <c r="I74"/>
  <c r="I75"/>
  <c r="I76"/>
  <c r="E563" i="17"/>
  <c r="G563" s="1"/>
  <c r="G557" s="1"/>
  <c r="F567" s="1"/>
  <c r="G567" s="1"/>
  <c r="G566" s="1"/>
  <c r="G569"/>
  <c r="G531"/>
  <c r="AA218" i="10"/>
  <c r="Z218"/>
  <c r="Y218"/>
  <c r="X218"/>
  <c r="W218"/>
  <c r="V218"/>
  <c r="U218"/>
  <c r="T218"/>
  <c r="S218"/>
  <c r="AB95"/>
  <c r="AB218" s="1"/>
  <c r="M663" i="7"/>
  <c r="M686" s="1"/>
  <c r="M657"/>
  <c r="M656"/>
  <c r="M655"/>
  <c r="M654"/>
  <c r="M653"/>
  <c r="M652"/>
  <c r="M651"/>
  <c r="M650"/>
  <c r="M649"/>
  <c r="M648"/>
  <c r="M646"/>
  <c r="M645"/>
  <c r="M644"/>
  <c r="M643"/>
  <c r="M642"/>
  <c r="M641"/>
  <c r="M640"/>
  <c r="M639"/>
  <c r="M638"/>
  <c r="M637"/>
  <c r="M636"/>
  <c r="M635"/>
  <c r="M634"/>
  <c r="M633"/>
  <c r="M632"/>
  <c r="M631"/>
  <c r="M630"/>
  <c r="M629"/>
  <c r="M628"/>
  <c r="M627"/>
  <c r="M626"/>
  <c r="M625"/>
  <c r="M623"/>
  <c r="M622"/>
  <c r="M621"/>
  <c r="M620"/>
  <c r="M619"/>
  <c r="M618"/>
  <c r="M612"/>
  <c r="M611"/>
  <c r="M609"/>
  <c r="M608"/>
  <c r="M607"/>
  <c r="M606"/>
  <c r="M605"/>
  <c r="M604"/>
  <c r="M603"/>
  <c r="M602"/>
  <c r="M601"/>
  <c r="M600"/>
  <c r="M599"/>
  <c r="M598"/>
  <c r="M597"/>
  <c r="M596"/>
  <c r="M595"/>
  <c r="M594"/>
  <c r="M593"/>
  <c r="M592"/>
  <c r="M591"/>
  <c r="M590"/>
  <c r="M589"/>
  <c r="M588"/>
  <c r="M587"/>
  <c r="M586"/>
  <c r="M585"/>
  <c r="M584"/>
  <c r="M583"/>
  <c r="M582"/>
  <c r="M581"/>
  <c r="M580"/>
  <c r="M579"/>
  <c r="M578"/>
  <c r="M577"/>
  <c r="M576"/>
  <c r="M575"/>
  <c r="M574"/>
  <c r="M573"/>
  <c r="M572"/>
  <c r="M571"/>
  <c r="M570"/>
  <c r="M569"/>
  <c r="M568"/>
  <c r="M567"/>
  <c r="M566"/>
  <c r="M565"/>
  <c r="M564"/>
  <c r="M563"/>
  <c r="M562"/>
  <c r="M561"/>
  <c r="M560"/>
  <c r="M558"/>
  <c r="M557"/>
  <c r="M556"/>
  <c r="M555"/>
  <c r="M554"/>
  <c r="M553"/>
  <c r="M547"/>
  <c r="M546"/>
  <c r="M544"/>
  <c r="M543"/>
  <c r="M542"/>
  <c r="M541"/>
  <c r="M540"/>
  <c r="M539"/>
  <c r="M538"/>
  <c r="M537"/>
  <c r="M536"/>
  <c r="M535"/>
  <c r="M534"/>
  <c r="M533"/>
  <c r="M532"/>
  <c r="M531"/>
  <c r="M530"/>
  <c r="M529"/>
  <c r="M528"/>
  <c r="M527"/>
  <c r="M526"/>
  <c r="M525"/>
  <c r="M524"/>
  <c r="M523"/>
  <c r="M522"/>
  <c r="M521"/>
  <c r="M520"/>
  <c r="M519"/>
  <c r="M518"/>
  <c r="M517"/>
  <c r="M516"/>
  <c r="M515"/>
  <c r="M514"/>
  <c r="M513"/>
  <c r="M512"/>
  <c r="M511"/>
  <c r="M510"/>
  <c r="M509"/>
  <c r="M508"/>
  <c r="M507"/>
  <c r="M506"/>
  <c r="M505"/>
  <c r="M504"/>
  <c r="M503"/>
  <c r="M502"/>
  <c r="M501"/>
  <c r="M500"/>
  <c r="M499"/>
  <c r="M498"/>
  <c r="M497"/>
  <c r="M496"/>
  <c r="M495"/>
  <c r="M493"/>
  <c r="M492"/>
  <c r="M491"/>
  <c r="M490"/>
  <c r="M489"/>
  <c r="M488"/>
  <c r="M482"/>
  <c r="M481"/>
  <c r="M479"/>
  <c r="M478"/>
  <c r="M477"/>
  <c r="M476"/>
  <c r="M475"/>
  <c r="M474"/>
  <c r="M473"/>
  <c r="M472"/>
  <c r="M471"/>
  <c r="M470"/>
  <c r="M469"/>
  <c r="M468"/>
  <c r="M467"/>
  <c r="M466"/>
  <c r="M465"/>
  <c r="M464"/>
  <c r="M463"/>
  <c r="M462"/>
  <c r="M461"/>
  <c r="M460"/>
  <c r="M459"/>
  <c r="M458"/>
  <c r="M457"/>
  <c r="M456"/>
  <c r="M455"/>
  <c r="M454"/>
  <c r="M453"/>
  <c r="M452"/>
  <c r="M451"/>
  <c r="M450"/>
  <c r="M449"/>
  <c r="M448"/>
  <c r="M447"/>
  <c r="M446"/>
  <c r="M445"/>
  <c r="M444"/>
  <c r="M443"/>
  <c r="M442"/>
  <c r="M441"/>
  <c r="M440"/>
  <c r="M439"/>
  <c r="M438"/>
  <c r="M437"/>
  <c r="M436"/>
  <c r="M435"/>
  <c r="M434"/>
  <c r="M433"/>
  <c r="M432"/>
  <c r="M431"/>
  <c r="M430"/>
  <c r="M428"/>
  <c r="M427"/>
  <c r="M426"/>
  <c r="M425"/>
  <c r="M424"/>
  <c r="M423"/>
  <c r="M417"/>
  <c r="M416"/>
  <c r="M415"/>
  <c r="M414"/>
  <c r="M413"/>
  <c r="M412"/>
  <c r="M411"/>
  <c r="M410"/>
  <c r="M409"/>
  <c r="M408"/>
  <c r="M407"/>
  <c r="M406"/>
  <c r="M405"/>
  <c r="M404"/>
  <c r="M403"/>
  <c r="M402"/>
  <c r="M401"/>
  <c r="M400"/>
  <c r="M398"/>
  <c r="M397"/>
  <c r="M396"/>
  <c r="M395"/>
  <c r="M394"/>
  <c r="M393"/>
  <c r="M392"/>
  <c r="M391"/>
  <c r="M390"/>
  <c r="M389"/>
  <c r="M388"/>
  <c r="M387"/>
  <c r="M386"/>
  <c r="M385"/>
  <c r="M384"/>
  <c r="M383"/>
  <c r="M382"/>
  <c r="M381"/>
  <c r="M380"/>
  <c r="M379"/>
  <c r="M378"/>
  <c r="M377"/>
  <c r="M376"/>
  <c r="M375"/>
  <c r="M374"/>
  <c r="M373"/>
  <c r="M372"/>
  <c r="M371"/>
  <c r="M370"/>
  <c r="M369"/>
  <c r="M368"/>
  <c r="M367"/>
  <c r="M366"/>
  <c r="M365"/>
  <c r="M364"/>
  <c r="M363"/>
  <c r="M362"/>
  <c r="M361"/>
  <c r="M360"/>
  <c r="M359"/>
  <c r="M358"/>
  <c r="M357"/>
  <c r="M356"/>
  <c r="M354"/>
  <c r="M353"/>
  <c r="M352"/>
  <c r="M351"/>
  <c r="M350"/>
  <c r="M349"/>
  <c r="M343"/>
  <c r="M342"/>
  <c r="M341"/>
  <c r="M340"/>
  <c r="M339"/>
  <c r="M338"/>
  <c r="M337"/>
  <c r="M336"/>
  <c r="M335"/>
  <c r="M334"/>
  <c r="M333"/>
  <c r="M332"/>
  <c r="M331"/>
  <c r="M330"/>
  <c r="M328"/>
  <c r="M327"/>
  <c r="M326"/>
  <c r="M325"/>
  <c r="M324"/>
  <c r="M323"/>
  <c r="M322"/>
  <c r="M321"/>
  <c r="M320"/>
  <c r="M319"/>
  <c r="M318"/>
  <c r="M317"/>
  <c r="M316"/>
  <c r="M315"/>
  <c r="M314"/>
  <c r="M313"/>
  <c r="M312"/>
  <c r="M311"/>
  <c r="M310"/>
  <c r="M309"/>
  <c r="M307"/>
  <c r="M306"/>
  <c r="M305"/>
  <c r="M304"/>
  <c r="M303"/>
  <c r="M302"/>
  <c r="M301"/>
  <c r="F295"/>
  <c r="M295" s="1"/>
  <c r="O295"/>
  <c r="S295"/>
  <c r="U295"/>
  <c r="W295"/>
  <c r="Y295"/>
  <c r="AA295"/>
  <c r="G295"/>
  <c r="M294"/>
  <c r="M293"/>
  <c r="M292"/>
  <c r="M291"/>
  <c r="M290"/>
  <c r="M289"/>
  <c r="M288"/>
  <c r="M287"/>
  <c r="M286"/>
  <c r="M285"/>
  <c r="M284"/>
  <c r="M283"/>
  <c r="M282"/>
  <c r="M281"/>
  <c r="M280"/>
  <c r="M279"/>
  <c r="M278"/>
  <c r="M277"/>
  <c r="M276"/>
  <c r="M275"/>
  <c r="M274"/>
  <c r="M273"/>
  <c r="M272"/>
  <c r="M271"/>
  <c r="M270"/>
  <c r="M269"/>
  <c r="M268"/>
  <c r="M267"/>
  <c r="M266"/>
  <c r="M265"/>
  <c r="M264"/>
  <c r="M263"/>
  <c r="M262"/>
  <c r="M261"/>
  <c r="M260"/>
  <c r="M259"/>
  <c r="M258"/>
  <c r="M257"/>
  <c r="M256"/>
  <c r="M255"/>
  <c r="M254"/>
  <c r="M253"/>
  <c r="M252"/>
  <c r="M251"/>
  <c r="M250"/>
  <c r="M249"/>
  <c r="M248"/>
  <c r="M247"/>
  <c r="M246"/>
  <c r="M245"/>
  <c r="M244"/>
  <c r="M243"/>
  <c r="M241"/>
  <c r="M240"/>
  <c r="M239"/>
  <c r="M238"/>
  <c r="M237"/>
  <c r="M236"/>
  <c r="M235"/>
  <c r="M232"/>
  <c r="M228"/>
  <c r="M226"/>
  <c r="M225"/>
  <c r="M224"/>
  <c r="M223"/>
  <c r="M222"/>
  <c r="M221"/>
  <c r="M220"/>
  <c r="M219"/>
  <c r="M218"/>
  <c r="M217"/>
  <c r="M216"/>
  <c r="M215"/>
  <c r="M214"/>
  <c r="M213"/>
  <c r="M212"/>
  <c r="M211"/>
  <c r="M210"/>
  <c r="M209"/>
  <c r="M208"/>
  <c r="M207"/>
  <c r="M206"/>
  <c r="M205"/>
  <c r="M204"/>
  <c r="M203"/>
  <c r="M202"/>
  <c r="M201"/>
  <c r="M200"/>
  <c r="M199"/>
  <c r="M198"/>
  <c r="M197"/>
  <c r="M196"/>
  <c r="M195"/>
  <c r="M194"/>
  <c r="M193"/>
  <c r="M192"/>
  <c r="M191"/>
  <c r="M190"/>
  <c r="M189"/>
  <c r="M188"/>
  <c r="M187"/>
  <c r="M186"/>
  <c r="M185"/>
  <c r="M184"/>
  <c r="M183"/>
  <c r="M182"/>
  <c r="M181"/>
  <c r="M180"/>
  <c r="M179"/>
  <c r="M178"/>
  <c r="M177"/>
  <c r="M176"/>
  <c r="M175"/>
  <c r="M174"/>
  <c r="M173"/>
  <c r="M170"/>
  <c r="M168"/>
  <c r="M167"/>
  <c r="M166"/>
  <c r="M165"/>
  <c r="M81"/>
  <c r="M672" s="1"/>
  <c r="G507" i="17"/>
  <c r="G503"/>
  <c r="G492"/>
  <c r="F75" i="7"/>
  <c r="M75"/>
  <c r="O75"/>
  <c r="S75"/>
  <c r="U75"/>
  <c r="Y75"/>
  <c r="AA75"/>
  <c r="AC75"/>
  <c r="G75"/>
  <c r="F74"/>
  <c r="M74" s="1"/>
  <c r="O74"/>
  <c r="S74"/>
  <c r="U74"/>
  <c r="Y74"/>
  <c r="AA74"/>
  <c r="AC74"/>
  <c r="G74"/>
  <c r="F73"/>
  <c r="O73"/>
  <c r="S73"/>
  <c r="U73"/>
  <c r="Y73"/>
  <c r="AA73"/>
  <c r="AC73"/>
  <c r="G73"/>
  <c r="F72"/>
  <c r="O72"/>
  <c r="S72"/>
  <c r="U72"/>
  <c r="Y72"/>
  <c r="AA72"/>
  <c r="AC72"/>
  <c r="G72"/>
  <c r="M72"/>
  <c r="M73"/>
  <c r="M76"/>
  <c r="I72"/>
  <c r="I73"/>
  <c r="I75"/>
  <c r="I76"/>
  <c r="I77"/>
  <c r="M77"/>
  <c r="I229"/>
  <c r="M6"/>
  <c r="M7"/>
  <c r="M8"/>
  <c r="M9"/>
  <c r="M10"/>
  <c r="M11"/>
  <c r="M12"/>
  <c r="M14"/>
  <c r="M15"/>
  <c r="M16"/>
  <c r="M17"/>
  <c r="M18"/>
  <c r="M19"/>
  <c r="M20"/>
  <c r="M21"/>
  <c r="M5"/>
  <c r="M22"/>
  <c r="E468" i="17"/>
  <c r="G468" s="1"/>
  <c r="G465" s="1"/>
  <c r="E433"/>
  <c r="G433" s="1"/>
  <c r="G349"/>
  <c r="G344"/>
  <c r="G459"/>
  <c r="G435"/>
  <c r="G397"/>
  <c r="G392"/>
  <c r="G386"/>
  <c r="G334"/>
  <c r="P218" i="10"/>
  <c r="G218"/>
  <c r="G304" i="17"/>
  <c r="G309"/>
  <c r="AD99" i="10"/>
  <c r="AC6" i="7"/>
  <c r="AC7"/>
  <c r="AC8"/>
  <c r="AC9"/>
  <c r="AC10"/>
  <c r="AC11"/>
  <c r="AC12"/>
  <c r="AC14"/>
  <c r="AC15"/>
  <c r="AC16"/>
  <c r="AC17"/>
  <c r="AC18"/>
  <c r="AC19"/>
  <c r="AC20"/>
  <c r="AC21"/>
  <c r="AC22"/>
  <c r="AC23"/>
  <c r="AC24"/>
  <c r="AC25"/>
  <c r="AC26"/>
  <c r="AC27"/>
  <c r="AC28"/>
  <c r="AC29"/>
  <c r="AC30"/>
  <c r="AC31"/>
  <c r="AC32"/>
  <c r="AC33"/>
  <c r="AC34"/>
  <c r="AC35"/>
  <c r="AC36"/>
  <c r="AC37"/>
  <c r="AC38"/>
  <c r="AC41"/>
  <c r="AC42"/>
  <c r="AC43"/>
  <c r="AC44"/>
  <c r="AC45"/>
  <c r="AC46"/>
  <c r="AC47"/>
  <c r="AC48"/>
  <c r="AC49"/>
  <c r="AC50"/>
  <c r="AC51"/>
  <c r="AC52"/>
  <c r="AC53"/>
  <c r="AC54"/>
  <c r="AC55"/>
  <c r="AC56"/>
  <c r="AC57"/>
  <c r="AC58"/>
  <c r="AC59"/>
  <c r="AC60"/>
  <c r="AC61"/>
  <c r="AC62"/>
  <c r="AC63"/>
  <c r="AC64"/>
  <c r="AC65"/>
  <c r="AC66"/>
  <c r="AC67"/>
  <c r="AC68"/>
  <c r="AC69"/>
  <c r="AC70"/>
  <c r="AC71"/>
  <c r="AC77"/>
  <c r="AC78"/>
  <c r="AC79"/>
  <c r="AC81"/>
  <c r="AC82"/>
  <c r="AC83"/>
  <c r="AC84"/>
  <c r="AC85"/>
  <c r="AC86"/>
  <c r="AC87"/>
  <c r="AC88"/>
  <c r="AC89"/>
  <c r="AC90"/>
  <c r="AC91"/>
  <c r="AC92"/>
  <c r="AC93"/>
  <c r="AC94"/>
  <c r="AC95"/>
  <c r="AC96"/>
  <c r="AC97"/>
  <c r="AC98"/>
  <c r="AC99"/>
  <c r="AC100"/>
  <c r="AC101"/>
  <c r="AC102"/>
  <c r="AC103"/>
  <c r="AC104"/>
  <c r="AC105"/>
  <c r="AC106"/>
  <c r="AC107"/>
  <c r="AC108"/>
  <c r="AC675" s="1"/>
  <c r="AC109"/>
  <c r="AC110"/>
  <c r="AC111"/>
  <c r="AC112"/>
  <c r="AC113"/>
  <c r="AC114"/>
  <c r="AC115"/>
  <c r="AC116"/>
  <c r="AC117"/>
  <c r="AC118"/>
  <c r="AC119"/>
  <c r="AC120"/>
  <c r="AC121"/>
  <c r="AC122"/>
  <c r="AC123"/>
  <c r="AC124"/>
  <c r="AC125"/>
  <c r="AC126"/>
  <c r="AC127"/>
  <c r="AC128"/>
  <c r="AC129"/>
  <c r="AC130"/>
  <c r="AC131"/>
  <c r="AC132"/>
  <c r="AC133"/>
  <c r="AC134"/>
  <c r="AC135"/>
  <c r="AC136"/>
  <c r="AC137"/>
  <c r="AC138"/>
  <c r="AC139"/>
  <c r="AC140"/>
  <c r="AC141"/>
  <c r="AC142"/>
  <c r="AC143"/>
  <c r="AC144"/>
  <c r="AC145"/>
  <c r="AC146"/>
  <c r="AC147"/>
  <c r="AC148"/>
  <c r="AC149"/>
  <c r="AC150"/>
  <c r="AC151"/>
  <c r="AC152"/>
  <c r="AC153"/>
  <c r="AC154"/>
  <c r="AC155"/>
  <c r="AC156"/>
  <c r="AC157"/>
  <c r="AC158"/>
  <c r="AC163"/>
  <c r="AC165"/>
  <c r="AC166"/>
  <c r="AC167"/>
  <c r="AC168"/>
  <c r="AC169"/>
  <c r="AC170"/>
  <c r="AC171"/>
  <c r="AC172"/>
  <c r="AC173"/>
  <c r="AC174"/>
  <c r="AC175"/>
  <c r="AC176"/>
  <c r="AC177"/>
  <c r="AC178"/>
  <c r="AC179"/>
  <c r="AC180"/>
  <c r="AC181"/>
  <c r="AC182"/>
  <c r="AC183"/>
  <c r="AC184"/>
  <c r="AC185"/>
  <c r="AC186"/>
  <c r="AC187"/>
  <c r="AC188"/>
  <c r="AC189"/>
  <c r="AC190"/>
  <c r="AC191"/>
  <c r="AC192"/>
  <c r="AC193"/>
  <c r="AC194"/>
  <c r="AC195"/>
  <c r="AC196"/>
  <c r="AC197"/>
  <c r="AC198"/>
  <c r="AC199"/>
  <c r="AC200"/>
  <c r="AC201"/>
  <c r="AC202"/>
  <c r="AC203"/>
  <c r="AC204"/>
  <c r="AC205"/>
  <c r="AC206"/>
  <c r="AC207"/>
  <c r="AC208"/>
  <c r="AC209"/>
  <c r="AC210"/>
  <c r="AC211"/>
  <c r="AC212"/>
  <c r="AC213"/>
  <c r="AC214"/>
  <c r="AC215"/>
  <c r="AC216"/>
  <c r="AC217"/>
  <c r="AC218"/>
  <c r="AC219"/>
  <c r="AC220"/>
  <c r="AC221"/>
  <c r="AC222"/>
  <c r="AC223"/>
  <c r="AC224"/>
  <c r="AC225"/>
  <c r="AC226"/>
  <c r="AC227"/>
  <c r="AC228"/>
  <c r="AC233"/>
  <c r="AC235"/>
  <c r="AC236"/>
  <c r="AC237"/>
  <c r="AC238"/>
  <c r="AC239"/>
  <c r="AC240"/>
  <c r="AC241"/>
  <c r="AC242"/>
  <c r="AC243"/>
  <c r="AC244"/>
  <c r="AC245"/>
  <c r="AC246"/>
  <c r="AC247"/>
  <c r="AC248"/>
  <c r="AC249"/>
  <c r="AC250"/>
  <c r="AC251"/>
  <c r="AC252"/>
  <c r="AC253"/>
  <c r="AC254"/>
  <c r="AC255"/>
  <c r="AC256"/>
  <c r="AC257"/>
  <c r="AC258"/>
  <c r="AC259"/>
  <c r="AC260"/>
  <c r="AC261"/>
  <c r="AC262"/>
  <c r="AC263"/>
  <c r="AC264"/>
  <c r="AC265"/>
  <c r="AC266"/>
  <c r="AC267"/>
  <c r="AC268"/>
  <c r="AC269"/>
  <c r="AC270"/>
  <c r="AC271"/>
  <c r="AC272"/>
  <c r="AC273"/>
  <c r="AC274"/>
  <c r="AC275"/>
  <c r="AC276"/>
  <c r="AC277"/>
  <c r="AC278"/>
  <c r="AC279"/>
  <c r="AC280"/>
  <c r="AC281"/>
  <c r="AC282"/>
  <c r="AC283"/>
  <c r="AC284"/>
  <c r="AC285"/>
  <c r="AC286"/>
  <c r="AC287"/>
  <c r="AC288"/>
  <c r="AC289"/>
  <c r="AC290"/>
  <c r="AC291"/>
  <c r="AC292"/>
  <c r="AC293"/>
  <c r="AC299"/>
  <c r="AC301"/>
  <c r="AC302"/>
  <c r="AC303"/>
  <c r="AC304"/>
  <c r="AC305"/>
  <c r="AC306"/>
  <c r="AC307"/>
  <c r="AC308"/>
  <c r="AC309"/>
  <c r="AC310"/>
  <c r="AC311"/>
  <c r="AC312"/>
  <c r="AC313"/>
  <c r="AC314"/>
  <c r="AC315"/>
  <c r="AC316"/>
  <c r="AC317"/>
  <c r="AC318"/>
  <c r="AC319"/>
  <c r="AC320"/>
  <c r="AC321"/>
  <c r="AC322"/>
  <c r="AC323"/>
  <c r="AC324"/>
  <c r="AC325"/>
  <c r="AC326"/>
  <c r="AC327"/>
  <c r="AC328"/>
  <c r="AC329"/>
  <c r="AC330"/>
  <c r="AC331"/>
  <c r="AC332"/>
  <c r="AC333"/>
  <c r="AC334"/>
  <c r="AC335"/>
  <c r="AC336"/>
  <c r="AC337"/>
  <c r="AC338"/>
  <c r="AC339"/>
  <c r="AC340"/>
  <c r="AC341"/>
  <c r="AC342"/>
  <c r="AC343"/>
  <c r="AC347"/>
  <c r="AC349"/>
  <c r="AC350"/>
  <c r="AC351"/>
  <c r="AC352"/>
  <c r="AC353"/>
  <c r="AC354"/>
  <c r="AC355"/>
  <c r="AC356"/>
  <c r="AC357"/>
  <c r="AC358"/>
  <c r="AC359"/>
  <c r="AC360"/>
  <c r="AC361"/>
  <c r="AC362"/>
  <c r="AC363"/>
  <c r="AC364"/>
  <c r="AC365"/>
  <c r="AC366"/>
  <c r="AC367"/>
  <c r="AC368"/>
  <c r="AC369"/>
  <c r="AC370"/>
  <c r="AC371"/>
  <c r="AC372"/>
  <c r="AC373"/>
  <c r="AC374"/>
  <c r="AC375"/>
  <c r="AC376"/>
  <c r="AC377"/>
  <c r="AC378"/>
  <c r="AC379"/>
  <c r="AC380"/>
  <c r="AC381"/>
  <c r="AC382"/>
  <c r="AC383"/>
  <c r="AC384"/>
  <c r="AC385"/>
  <c r="AC386"/>
  <c r="AC387"/>
  <c r="AC388"/>
  <c r="AC389"/>
  <c r="AC390"/>
  <c r="AC391"/>
  <c r="AC392"/>
  <c r="AC393"/>
  <c r="AC394"/>
  <c r="AC395"/>
  <c r="AC396"/>
  <c r="AC397"/>
  <c r="AC398"/>
  <c r="AC399"/>
  <c r="AC400"/>
  <c r="AC401"/>
  <c r="AC402"/>
  <c r="AC403"/>
  <c r="AC404"/>
  <c r="AC405"/>
  <c r="AC406"/>
  <c r="AC407"/>
  <c r="AC408"/>
  <c r="AC409"/>
  <c r="AC410"/>
  <c r="AC411"/>
  <c r="AC412"/>
  <c r="AC413"/>
  <c r="AC414"/>
  <c r="AC415"/>
  <c r="AC416"/>
  <c r="AC417"/>
  <c r="AC421"/>
  <c r="AC423"/>
  <c r="AC424"/>
  <c r="AC425"/>
  <c r="AC426"/>
  <c r="AC427"/>
  <c r="AC428"/>
  <c r="AC429"/>
  <c r="AC430"/>
  <c r="AC431"/>
  <c r="AC432"/>
  <c r="AC433"/>
  <c r="AC434"/>
  <c r="AC435"/>
  <c r="AC436"/>
  <c r="AC437"/>
  <c r="AC438"/>
  <c r="AC439"/>
  <c r="AC440"/>
  <c r="AC441"/>
  <c r="AC442"/>
  <c r="AC443"/>
  <c r="AC444"/>
  <c r="AC445"/>
  <c r="AC446"/>
  <c r="AC447"/>
  <c r="AC448"/>
  <c r="AC449"/>
  <c r="AC450"/>
  <c r="AC451"/>
  <c r="AC452"/>
  <c r="AC453"/>
  <c r="AC454"/>
  <c r="AC455"/>
  <c r="AC456"/>
  <c r="AC457"/>
  <c r="AC458"/>
  <c r="AC459"/>
  <c r="AC460"/>
  <c r="AC461"/>
  <c r="AC462"/>
  <c r="AC463"/>
  <c r="AC464"/>
  <c r="AC465"/>
  <c r="AC466"/>
  <c r="AC467"/>
  <c r="AC468"/>
  <c r="AC469"/>
  <c r="AC470"/>
  <c r="AC471"/>
  <c r="AC472"/>
  <c r="AC473"/>
  <c r="AC474"/>
  <c r="AC475"/>
  <c r="AC476"/>
  <c r="AC477"/>
  <c r="AC478"/>
  <c r="AC479"/>
  <c r="AC480"/>
  <c r="AC481"/>
  <c r="AC482"/>
  <c r="AC486"/>
  <c r="AC488"/>
  <c r="AC489"/>
  <c r="AC490"/>
  <c r="AC491"/>
  <c r="AC492"/>
  <c r="AC493"/>
  <c r="AC494"/>
  <c r="AC495"/>
  <c r="AC496"/>
  <c r="AC497"/>
  <c r="AC498"/>
  <c r="AC499"/>
  <c r="AC500"/>
  <c r="AC501"/>
  <c r="AC502"/>
  <c r="AC503"/>
  <c r="AC504"/>
  <c r="AC505"/>
  <c r="AC506"/>
  <c r="AC507"/>
  <c r="AC508"/>
  <c r="AC509"/>
  <c r="AC510"/>
  <c r="AC511"/>
  <c r="AC512"/>
  <c r="AC513"/>
  <c r="AC514"/>
  <c r="AC515"/>
  <c r="AC516"/>
  <c r="AC517"/>
  <c r="AC518"/>
  <c r="AC519"/>
  <c r="AC520"/>
  <c r="AC521"/>
  <c r="AC522"/>
  <c r="AC523"/>
  <c r="AC524"/>
  <c r="AC525"/>
  <c r="AC526"/>
  <c r="AC527"/>
  <c r="AC528"/>
  <c r="AC529"/>
  <c r="AC530"/>
  <c r="AC531"/>
  <c r="AC532"/>
  <c r="AC533"/>
  <c r="AC534"/>
  <c r="AC535"/>
  <c r="AC536"/>
  <c r="AC537"/>
  <c r="AC538"/>
  <c r="AC539"/>
  <c r="AC540"/>
  <c r="AC541"/>
  <c r="AC542"/>
  <c r="AC543"/>
  <c r="AC544"/>
  <c r="AC545"/>
  <c r="AC546"/>
  <c r="AC547"/>
  <c r="AC551"/>
  <c r="AC553"/>
  <c r="AC554"/>
  <c r="AC555"/>
  <c r="AC556"/>
  <c r="AC557"/>
  <c r="AC558"/>
  <c r="AC559"/>
  <c r="AC560"/>
  <c r="AC561"/>
  <c r="AC562"/>
  <c r="AC563"/>
  <c r="AC564"/>
  <c r="AC565"/>
  <c r="AC566"/>
  <c r="AC567"/>
  <c r="AC568"/>
  <c r="AC569"/>
  <c r="AC570"/>
  <c r="AC571"/>
  <c r="AC572"/>
  <c r="AC573"/>
  <c r="AC574"/>
  <c r="AC575"/>
  <c r="AC576"/>
  <c r="AC577"/>
  <c r="AC578"/>
  <c r="AC579"/>
  <c r="AC580"/>
  <c r="AC581"/>
  <c r="AC582"/>
  <c r="AC583"/>
  <c r="AC584"/>
  <c r="AC585"/>
  <c r="AC586"/>
  <c r="AC587"/>
  <c r="AC588"/>
  <c r="AC589"/>
  <c r="AC590"/>
  <c r="AC591"/>
  <c r="AC592"/>
  <c r="AC593"/>
  <c r="AC594"/>
  <c r="AC595"/>
  <c r="AC596"/>
  <c r="AC597"/>
  <c r="AC598"/>
  <c r="AC599"/>
  <c r="AC600"/>
  <c r="AC601"/>
  <c r="AC602"/>
  <c r="AC603"/>
  <c r="AC604"/>
  <c r="AC605"/>
  <c r="AC606"/>
  <c r="AC607"/>
  <c r="AC608"/>
  <c r="AC609"/>
  <c r="AC610"/>
  <c r="AC611"/>
  <c r="AC612"/>
  <c r="AC616"/>
  <c r="AC618"/>
  <c r="AC619"/>
  <c r="AC620"/>
  <c r="AC621"/>
  <c r="AC622"/>
  <c r="AC623"/>
  <c r="AC624"/>
  <c r="AC625"/>
  <c r="AC626"/>
  <c r="AC627"/>
  <c r="AC628"/>
  <c r="AC629"/>
  <c r="AC630"/>
  <c r="AC631"/>
  <c r="AC632"/>
  <c r="AC633"/>
  <c r="AC634"/>
  <c r="AC635"/>
  <c r="AC636"/>
  <c r="AC637"/>
  <c r="AC638"/>
  <c r="AC639"/>
  <c r="AC640"/>
  <c r="AC641"/>
  <c r="AC642"/>
  <c r="AC643"/>
  <c r="AC644"/>
  <c r="AC645"/>
  <c r="AC646"/>
  <c r="AC647"/>
  <c r="AC648"/>
  <c r="AC649"/>
  <c r="AC650"/>
  <c r="AC651"/>
  <c r="AC652"/>
  <c r="AC653"/>
  <c r="AC654"/>
  <c r="AC655"/>
  <c r="AC656"/>
  <c r="AC661"/>
  <c r="AC663"/>
  <c r="AC664"/>
  <c r="AC5"/>
  <c r="AA5"/>
  <c r="AA6"/>
  <c r="AA7"/>
  <c r="AA8"/>
  <c r="AA9"/>
  <c r="AA10"/>
  <c r="AA11"/>
  <c r="AA12"/>
  <c r="AA13"/>
  <c r="AA14"/>
  <c r="AA15"/>
  <c r="AA16"/>
  <c r="AA17"/>
  <c r="AA18"/>
  <c r="AA19"/>
  <c r="AA20"/>
  <c r="AA21"/>
  <c r="AA22"/>
  <c r="AA23"/>
  <c r="AA24"/>
  <c r="AA25"/>
  <c r="AA26"/>
  <c r="AA27"/>
  <c r="AA28"/>
  <c r="AA29"/>
  <c r="AA30"/>
  <c r="AA31"/>
  <c r="AA32"/>
  <c r="AA33"/>
  <c r="AA34"/>
  <c r="AA35"/>
  <c r="AA36"/>
  <c r="AA37"/>
  <c r="AA38"/>
  <c r="AA39"/>
  <c r="AA40"/>
  <c r="AA41"/>
  <c r="AA42"/>
  <c r="AA43"/>
  <c r="AA44"/>
  <c r="AA45"/>
  <c r="AA46"/>
  <c r="AA47"/>
  <c r="AA48"/>
  <c r="AA49"/>
  <c r="AA50"/>
  <c r="AA51"/>
  <c r="AA52"/>
  <c r="AA53"/>
  <c r="AA54"/>
  <c r="AA55"/>
  <c r="AA56"/>
  <c r="AA57"/>
  <c r="AA58"/>
  <c r="AA59"/>
  <c r="AA61"/>
  <c r="AA62"/>
  <c r="AA63"/>
  <c r="AA64"/>
  <c r="AA65"/>
  <c r="AA66"/>
  <c r="AA67"/>
  <c r="AA68"/>
  <c r="AA69"/>
  <c r="AA70"/>
  <c r="AA71"/>
  <c r="AA77"/>
  <c r="AA78"/>
  <c r="AA79"/>
  <c r="AA80"/>
  <c r="AA81"/>
  <c r="AA82"/>
  <c r="AA83"/>
  <c r="AA84"/>
  <c r="AA85"/>
  <c r="AA86"/>
  <c r="AA87"/>
  <c r="AA88"/>
  <c r="AA89"/>
  <c r="AA90"/>
  <c r="AA91"/>
  <c r="AA92"/>
  <c r="AA93"/>
  <c r="AA94"/>
  <c r="AA95"/>
  <c r="AA96"/>
  <c r="AA97"/>
  <c r="AA98"/>
  <c r="AA99"/>
  <c r="AA100"/>
  <c r="AA101"/>
  <c r="AA102"/>
  <c r="AA103"/>
  <c r="AA104"/>
  <c r="AA105"/>
  <c r="AA106"/>
  <c r="AA107"/>
  <c r="AA108"/>
  <c r="AA109"/>
  <c r="AA110"/>
  <c r="AA111"/>
  <c r="AA112"/>
  <c r="AA113"/>
  <c r="AA114"/>
  <c r="AA115"/>
  <c r="AA116"/>
  <c r="AA117"/>
  <c r="AA118"/>
  <c r="AA119"/>
  <c r="AA120"/>
  <c r="AA121"/>
  <c r="AA122"/>
  <c r="AA123"/>
  <c r="AA124"/>
  <c r="AA125"/>
  <c r="AA126"/>
  <c r="AA127"/>
  <c r="AA128"/>
  <c r="AA129"/>
  <c r="AA130"/>
  <c r="AA131"/>
  <c r="AA132"/>
  <c r="AA133"/>
  <c r="AA135"/>
  <c r="AA136"/>
  <c r="AA137"/>
  <c r="AA138"/>
  <c r="AA139"/>
  <c r="AA140"/>
  <c r="AA141"/>
  <c r="AA142"/>
  <c r="AA143"/>
  <c r="AA144"/>
  <c r="AA145"/>
  <c r="AA146"/>
  <c r="AA147"/>
  <c r="AA150"/>
  <c r="AA152"/>
  <c r="AA153"/>
  <c r="AA154"/>
  <c r="AA155"/>
  <c r="AA156"/>
  <c r="AA157"/>
  <c r="AA158"/>
  <c r="AA159"/>
  <c r="AA160"/>
  <c r="AA161"/>
  <c r="AA162"/>
  <c r="AA163"/>
  <c r="AA164"/>
  <c r="AA165"/>
  <c r="AA168"/>
  <c r="AA169"/>
  <c r="AA170"/>
  <c r="AA171"/>
  <c r="AA172"/>
  <c r="AA173"/>
  <c r="AA174"/>
  <c r="AA175"/>
  <c r="AA176"/>
  <c r="AA177"/>
  <c r="AA178"/>
  <c r="AA179"/>
  <c r="AA180"/>
  <c r="AA181"/>
  <c r="AA182"/>
  <c r="AA183"/>
  <c r="AA184"/>
  <c r="AA185"/>
  <c r="AA186"/>
  <c r="AA187"/>
  <c r="AA188"/>
  <c r="AA189"/>
  <c r="AA190"/>
  <c r="AA191"/>
  <c r="AA192"/>
  <c r="AA193"/>
  <c r="AA194"/>
  <c r="AA195"/>
  <c r="AA196"/>
  <c r="AA197"/>
  <c r="AA198"/>
  <c r="AA199"/>
  <c r="AA200"/>
  <c r="AA201"/>
  <c r="AA202"/>
  <c r="AA203"/>
  <c r="AA204"/>
  <c r="AA205"/>
  <c r="AA206"/>
  <c r="AA207"/>
  <c r="AA208"/>
  <c r="AA209"/>
  <c r="AA210"/>
  <c r="AA211"/>
  <c r="AA212"/>
  <c r="AA213"/>
  <c r="AA214"/>
  <c r="AA215"/>
  <c r="AA216"/>
  <c r="AA217"/>
  <c r="AA218"/>
  <c r="AA219"/>
  <c r="AA220"/>
  <c r="AA221"/>
  <c r="AA222"/>
  <c r="AA225"/>
  <c r="AA226"/>
  <c r="AA227"/>
  <c r="AA228"/>
  <c r="AA229"/>
  <c r="AA230"/>
  <c r="AA231"/>
  <c r="AA233"/>
  <c r="AA234"/>
  <c r="AA235"/>
  <c r="AA236"/>
  <c r="AA237"/>
  <c r="AA238"/>
  <c r="AA239"/>
  <c r="AA240"/>
  <c r="AA241"/>
  <c r="AA242"/>
  <c r="AA243"/>
  <c r="AA244"/>
  <c r="AA245"/>
  <c r="AA246"/>
  <c r="AA247"/>
  <c r="AA248"/>
  <c r="AA249"/>
  <c r="AA250"/>
  <c r="AA251"/>
  <c r="AA252"/>
  <c r="AA253"/>
  <c r="AA254"/>
  <c r="AA255"/>
  <c r="AA256"/>
  <c r="AA257"/>
  <c r="AA258"/>
  <c r="AA259"/>
  <c r="AA260"/>
  <c r="AA261"/>
  <c r="AA262"/>
  <c r="AA263"/>
  <c r="AA264"/>
  <c r="AA265"/>
  <c r="AA266"/>
  <c r="AA267"/>
  <c r="AA268"/>
  <c r="AA269"/>
  <c r="AA270"/>
  <c r="AA271"/>
  <c r="AA272"/>
  <c r="AA273"/>
  <c r="AA274"/>
  <c r="AA275"/>
  <c r="AA276"/>
  <c r="AA277"/>
  <c r="AA278"/>
  <c r="AA279"/>
  <c r="AA280"/>
  <c r="AA281"/>
  <c r="AA282"/>
  <c r="AA283"/>
  <c r="AA284"/>
  <c r="AA285"/>
  <c r="AA286"/>
  <c r="AA287"/>
  <c r="AA288"/>
  <c r="AA289"/>
  <c r="AA290"/>
  <c r="AA291"/>
  <c r="AA292"/>
  <c r="AA293"/>
  <c r="AA294"/>
  <c r="AA296"/>
  <c r="AA297"/>
  <c r="AA299"/>
  <c r="AA300"/>
  <c r="AA301"/>
  <c r="AA302"/>
  <c r="AA303"/>
  <c r="AA304"/>
  <c r="AA305"/>
  <c r="AA306"/>
  <c r="AA307"/>
  <c r="AA308"/>
  <c r="AA309"/>
  <c r="AA310"/>
  <c r="AA311"/>
  <c r="AA312"/>
  <c r="AA313"/>
  <c r="AA314"/>
  <c r="AA315"/>
  <c r="AA316"/>
  <c r="AA317"/>
  <c r="AA318"/>
  <c r="AA319"/>
  <c r="AA320"/>
  <c r="AA321"/>
  <c r="AA322"/>
  <c r="AA323"/>
  <c r="AA324"/>
  <c r="AA325"/>
  <c r="AA326"/>
  <c r="AA327"/>
  <c r="AA328"/>
  <c r="AA329"/>
  <c r="AA330"/>
  <c r="AA331"/>
  <c r="AA332"/>
  <c r="AA333"/>
  <c r="AA334"/>
  <c r="AA335"/>
  <c r="AA336"/>
  <c r="AA337"/>
  <c r="AA338"/>
  <c r="AA339"/>
  <c r="AA340"/>
  <c r="AA341"/>
  <c r="AA342"/>
  <c r="AA343"/>
  <c r="AA344"/>
  <c r="AA345"/>
  <c r="AA346"/>
  <c r="AA347"/>
  <c r="AA348"/>
  <c r="AA349"/>
  <c r="AA350"/>
  <c r="AA351"/>
  <c r="AA352"/>
  <c r="AA353"/>
  <c r="AA354"/>
  <c r="AA355"/>
  <c r="AA356"/>
  <c r="AA357"/>
  <c r="AA358"/>
  <c r="AA359"/>
  <c r="AA360"/>
  <c r="AA361"/>
  <c r="AA362"/>
  <c r="AA363"/>
  <c r="AA364"/>
  <c r="AA365"/>
  <c r="AA366"/>
  <c r="AA367"/>
  <c r="AA368"/>
  <c r="AA369"/>
  <c r="AA370"/>
  <c r="AA371"/>
  <c r="AA372"/>
  <c r="AA373"/>
  <c r="AA374"/>
  <c r="AA375"/>
  <c r="AA376"/>
  <c r="AA377"/>
  <c r="AA378"/>
  <c r="AA379"/>
  <c r="AA380"/>
  <c r="AA381"/>
  <c r="AA382"/>
  <c r="AA383"/>
  <c r="AA384"/>
  <c r="AA385"/>
  <c r="AA386"/>
  <c r="AA387"/>
  <c r="AA388"/>
  <c r="AA389"/>
  <c r="AA390"/>
  <c r="AA391"/>
  <c r="AA392"/>
  <c r="AA394"/>
  <c r="AA395"/>
  <c r="AA396"/>
  <c r="AA397"/>
  <c r="AA398"/>
  <c r="AA399"/>
  <c r="AA400"/>
  <c r="AA401"/>
  <c r="AA402"/>
  <c r="AA403"/>
  <c r="AA404"/>
  <c r="AA405"/>
  <c r="AA406"/>
  <c r="AA407"/>
  <c r="AA408"/>
  <c r="AA409"/>
  <c r="AA410"/>
  <c r="AA411"/>
  <c r="AA412"/>
  <c r="AA413"/>
  <c r="AA414"/>
  <c r="AA415"/>
  <c r="AA416"/>
  <c r="AA417"/>
  <c r="AA418"/>
  <c r="AA419"/>
  <c r="AA420"/>
  <c r="AA421"/>
  <c r="AA422"/>
  <c r="AA423"/>
  <c r="AA424"/>
  <c r="AA425"/>
  <c r="AA426"/>
  <c r="AA427"/>
  <c r="AA428"/>
  <c r="AA429"/>
  <c r="AA430"/>
  <c r="AA431"/>
  <c r="AA432"/>
  <c r="AA433"/>
  <c r="AA434"/>
  <c r="AA435"/>
  <c r="AA436"/>
  <c r="AA437"/>
  <c r="AA438"/>
  <c r="AA439"/>
  <c r="AA440"/>
  <c r="AA441"/>
  <c r="AA442"/>
  <c r="AA443"/>
  <c r="AA444"/>
  <c r="AA445"/>
  <c r="AA446"/>
  <c r="AA447"/>
  <c r="AA448"/>
  <c r="AA449"/>
  <c r="AA450"/>
  <c r="AA451"/>
  <c r="AA452"/>
  <c r="AA453"/>
  <c r="AA454"/>
  <c r="AA455"/>
  <c r="AA456"/>
  <c r="AA457"/>
  <c r="AA458"/>
  <c r="AA459"/>
  <c r="AA460"/>
  <c r="AA461"/>
  <c r="AA462"/>
  <c r="AA463"/>
  <c r="AA464"/>
  <c r="AA465"/>
  <c r="AA466"/>
  <c r="AA467"/>
  <c r="AA468"/>
  <c r="AA469"/>
  <c r="AA470"/>
  <c r="AA471"/>
  <c r="AA472"/>
  <c r="AA473"/>
  <c r="AA474"/>
  <c r="AA475"/>
  <c r="AA476"/>
  <c r="AA477"/>
  <c r="AA478"/>
  <c r="AA479"/>
  <c r="AA480"/>
  <c r="AA481"/>
  <c r="AA482"/>
  <c r="AA483"/>
  <c r="AA484"/>
  <c r="AA485"/>
  <c r="AA486"/>
  <c r="AA487"/>
  <c r="AA488"/>
  <c r="AA489"/>
  <c r="AA490"/>
  <c r="AA683" s="1"/>
  <c r="AA491"/>
  <c r="AA492"/>
  <c r="AA493"/>
  <c r="AA494"/>
  <c r="AA495"/>
  <c r="AA496"/>
  <c r="AA497"/>
  <c r="AA498"/>
  <c r="AA499"/>
  <c r="AA500"/>
  <c r="AA501"/>
  <c r="AA502"/>
  <c r="AA503"/>
  <c r="AA504"/>
  <c r="AA505"/>
  <c r="AA506"/>
  <c r="AA507"/>
  <c r="AA508"/>
  <c r="AA509"/>
  <c r="AA510"/>
  <c r="AA511"/>
  <c r="AA512"/>
  <c r="AA513"/>
  <c r="AA514"/>
  <c r="AA515"/>
  <c r="AA516"/>
  <c r="AA517"/>
  <c r="AA518"/>
  <c r="AA519"/>
  <c r="AA520"/>
  <c r="AA521"/>
  <c r="AA522"/>
  <c r="AA523"/>
  <c r="AA524"/>
  <c r="AA525"/>
  <c r="AA526"/>
  <c r="AA527"/>
  <c r="AA528"/>
  <c r="AA529"/>
  <c r="AA530"/>
  <c r="AA531"/>
  <c r="AA532"/>
  <c r="AA533"/>
  <c r="AA534"/>
  <c r="AA535"/>
  <c r="AA536"/>
  <c r="AA537"/>
  <c r="AA538"/>
  <c r="AA539"/>
  <c r="AA540"/>
  <c r="AA541"/>
  <c r="AA542"/>
  <c r="AA543"/>
  <c r="AA544"/>
  <c r="AA545"/>
  <c r="AA546"/>
  <c r="AA547"/>
  <c r="AA548"/>
  <c r="AA549"/>
  <c r="AA550"/>
  <c r="AA551"/>
  <c r="AA552"/>
  <c r="AA553"/>
  <c r="AA554"/>
  <c r="AA555"/>
  <c r="AA556"/>
  <c r="AA557"/>
  <c r="AA558"/>
  <c r="AA559"/>
  <c r="AA560"/>
  <c r="AA561"/>
  <c r="AA562"/>
  <c r="AA563"/>
  <c r="AA564"/>
  <c r="AA565"/>
  <c r="AA566"/>
  <c r="AA567"/>
  <c r="AA568"/>
  <c r="AA569"/>
  <c r="AA570"/>
  <c r="AA571"/>
  <c r="AA572"/>
  <c r="AA573"/>
  <c r="AA574"/>
  <c r="AA575"/>
  <c r="AA576"/>
  <c r="AA577"/>
  <c r="AA578"/>
  <c r="AA579"/>
  <c r="AA580"/>
  <c r="AA581"/>
  <c r="AA582"/>
  <c r="AA583"/>
  <c r="AA584"/>
  <c r="AA585"/>
  <c r="AA586"/>
  <c r="AA587"/>
  <c r="AA588"/>
  <c r="AA589"/>
  <c r="AA590"/>
  <c r="AA591"/>
  <c r="AA592"/>
  <c r="AA593"/>
  <c r="AA594"/>
  <c r="AA595"/>
  <c r="AA596"/>
  <c r="AA597"/>
  <c r="AA598"/>
  <c r="AA599"/>
  <c r="AA600"/>
  <c r="AA601"/>
  <c r="AA602"/>
  <c r="AA603"/>
  <c r="AA604"/>
  <c r="AA605"/>
  <c r="AA606"/>
  <c r="AA607"/>
  <c r="AA608"/>
  <c r="AA609"/>
  <c r="AA610"/>
  <c r="AA611"/>
  <c r="AA612"/>
  <c r="AA613"/>
  <c r="AA614"/>
  <c r="AA615"/>
  <c r="AA616"/>
  <c r="AA617"/>
  <c r="AA618"/>
  <c r="AA619"/>
  <c r="AA620"/>
  <c r="AA621"/>
  <c r="AA622"/>
  <c r="AA623"/>
  <c r="AA624"/>
  <c r="AA625"/>
  <c r="AA626"/>
  <c r="AA627"/>
  <c r="AA629"/>
  <c r="AA630"/>
  <c r="AA634"/>
  <c r="AA635"/>
  <c r="AA636"/>
  <c r="AA637"/>
  <c r="AA638"/>
  <c r="AA639"/>
  <c r="AA640"/>
  <c r="AA641"/>
  <c r="AA642"/>
  <c r="AA643"/>
  <c r="AA644"/>
  <c r="AA645"/>
  <c r="AA646"/>
  <c r="AA647"/>
  <c r="AA648"/>
  <c r="AA649"/>
  <c r="AA650"/>
  <c r="AA652"/>
  <c r="AA653"/>
  <c r="AA654"/>
  <c r="AA655"/>
  <c r="AA656"/>
  <c r="AA657"/>
  <c r="AA658"/>
  <c r="AA659"/>
  <c r="AA660"/>
  <c r="AA661"/>
  <c r="AA662"/>
  <c r="AA663"/>
  <c r="AA686" s="1"/>
  <c r="AA664"/>
  <c r="Y664"/>
  <c r="Y663"/>
  <c r="Y662"/>
  <c r="Y686" s="1"/>
  <c r="Y661"/>
  <c r="Y660"/>
  <c r="Y659"/>
  <c r="Y658"/>
  <c r="Y657"/>
  <c r="Y656"/>
  <c r="Y655"/>
  <c r="Y654"/>
  <c r="Y653"/>
  <c r="Y652"/>
  <c r="Y651"/>
  <c r="Y650"/>
  <c r="Y649"/>
  <c r="Y648"/>
  <c r="Y647"/>
  <c r="Y646"/>
  <c r="Y645"/>
  <c r="Y644"/>
  <c r="Y643"/>
  <c r="Y642"/>
  <c r="Y641"/>
  <c r="Y640"/>
  <c r="Y639"/>
  <c r="Y638"/>
  <c r="Y637"/>
  <c r="Y636"/>
  <c r="Y635"/>
  <c r="Y634"/>
  <c r="Y633"/>
  <c r="Y632"/>
  <c r="Y631"/>
  <c r="Y630"/>
  <c r="Y629"/>
  <c r="Y628"/>
  <c r="Y627"/>
  <c r="Y626"/>
  <c r="Y625"/>
  <c r="Y624"/>
  <c r="Y623"/>
  <c r="Y622"/>
  <c r="Y621"/>
  <c r="Y619"/>
  <c r="Y618"/>
  <c r="Y617"/>
  <c r="Y616"/>
  <c r="Y615"/>
  <c r="Y614"/>
  <c r="Y613"/>
  <c r="Y610"/>
  <c r="Y609"/>
  <c r="Y608"/>
  <c r="Y607"/>
  <c r="Y606"/>
  <c r="Y605"/>
  <c r="Y604"/>
  <c r="Y603"/>
  <c r="Y602"/>
  <c r="Y601"/>
  <c r="Y600"/>
  <c r="Y599"/>
  <c r="Y598"/>
  <c r="Y597"/>
  <c r="Y596"/>
  <c r="Y595"/>
  <c r="Y594"/>
  <c r="Y593"/>
  <c r="Y592"/>
  <c r="Y591"/>
  <c r="Y590"/>
  <c r="Y589"/>
  <c r="Y588"/>
  <c r="Y587"/>
  <c r="Y586"/>
  <c r="Y585"/>
  <c r="Y584"/>
  <c r="Y583"/>
  <c r="Y582"/>
  <c r="Y581"/>
  <c r="Y580"/>
  <c r="Y579"/>
  <c r="Y578"/>
  <c r="Y577"/>
  <c r="Y576"/>
  <c r="Y575"/>
  <c r="Y574"/>
  <c r="Y573"/>
  <c r="Y572"/>
  <c r="Y571"/>
  <c r="Y570"/>
  <c r="Y569"/>
  <c r="Y568"/>
  <c r="Y567"/>
  <c r="Y566"/>
  <c r="Y565"/>
  <c r="Y564"/>
  <c r="Y563"/>
  <c r="Y562"/>
  <c r="Y561"/>
  <c r="Y560"/>
  <c r="Y559"/>
  <c r="Y558"/>
  <c r="Y557"/>
  <c r="Y556"/>
  <c r="Y554"/>
  <c r="Y553"/>
  <c r="Y552"/>
  <c r="Y551"/>
  <c r="Y550"/>
  <c r="Y549"/>
  <c r="Y548"/>
  <c r="Y545"/>
  <c r="Y544"/>
  <c r="Y543"/>
  <c r="Y542"/>
  <c r="Y541"/>
  <c r="Y540"/>
  <c r="Y539"/>
  <c r="Y538"/>
  <c r="Y537"/>
  <c r="Y536"/>
  <c r="Y535"/>
  <c r="Y534"/>
  <c r="Y533"/>
  <c r="Y532"/>
  <c r="Y531"/>
  <c r="Y530"/>
  <c r="Y529"/>
  <c r="Y528"/>
  <c r="Y527"/>
  <c r="Y526"/>
  <c r="Y525"/>
  <c r="Y524"/>
  <c r="Y523"/>
  <c r="Y522"/>
  <c r="Y521"/>
  <c r="Y520"/>
  <c r="Y519"/>
  <c r="Y518"/>
  <c r="Y517"/>
  <c r="Y516"/>
  <c r="Y515"/>
  <c r="Y514"/>
  <c r="Y513"/>
  <c r="Y512"/>
  <c r="Y511"/>
  <c r="Y510"/>
  <c r="Y509"/>
  <c r="Y508"/>
  <c r="Y507"/>
  <c r="Y506"/>
  <c r="Y505"/>
  <c r="Y504"/>
  <c r="Y503"/>
  <c r="Y502"/>
  <c r="Y501"/>
  <c r="Y500"/>
  <c r="Y499"/>
  <c r="Y498"/>
  <c r="Y497"/>
  <c r="Y496"/>
  <c r="Y495"/>
  <c r="Y494"/>
  <c r="Y493"/>
  <c r="Y492"/>
  <c r="Y491"/>
  <c r="Y489"/>
  <c r="Y488"/>
  <c r="Y487"/>
  <c r="Y486"/>
  <c r="Y485"/>
  <c r="Y484"/>
  <c r="Y483"/>
  <c r="Y480"/>
  <c r="Y479"/>
  <c r="Y478"/>
  <c r="Y477"/>
  <c r="Y476"/>
  <c r="Y475"/>
  <c r="Y474"/>
  <c r="Y473"/>
  <c r="Y472"/>
  <c r="Y471"/>
  <c r="Y470"/>
  <c r="Y469"/>
  <c r="Y468"/>
  <c r="Y467"/>
  <c r="Y466"/>
  <c r="Y465"/>
  <c r="Y464"/>
  <c r="Y463"/>
  <c r="Y462"/>
  <c r="Y461"/>
  <c r="Y460"/>
  <c r="Y459"/>
  <c r="Y458"/>
  <c r="Y457"/>
  <c r="Y456"/>
  <c r="Y455"/>
  <c r="Y454"/>
  <c r="Y453"/>
  <c r="Y452"/>
  <c r="Y451"/>
  <c r="Y450"/>
  <c r="Y449"/>
  <c r="Y448"/>
  <c r="Y447"/>
  <c r="Y446"/>
  <c r="Y445"/>
  <c r="Y444"/>
  <c r="Y443"/>
  <c r="Y442"/>
  <c r="Y441"/>
  <c r="Y440"/>
  <c r="Y439"/>
  <c r="Y438"/>
  <c r="Y437"/>
  <c r="Y436"/>
  <c r="Y435"/>
  <c r="Y434"/>
  <c r="Y433"/>
  <c r="Y432"/>
  <c r="Y431"/>
  <c r="Y430"/>
  <c r="Y429"/>
  <c r="Y428"/>
  <c r="Y427"/>
  <c r="Y426"/>
  <c r="Y424"/>
  <c r="Y423"/>
  <c r="Y422"/>
  <c r="Y421"/>
  <c r="Y420"/>
  <c r="Y419"/>
  <c r="Y418"/>
  <c r="Y416"/>
  <c r="Y415"/>
  <c r="Y414"/>
  <c r="Y413"/>
  <c r="Y412"/>
  <c r="Y411"/>
  <c r="Y410"/>
  <c r="Y409"/>
  <c r="Y408"/>
  <c r="Y407"/>
  <c r="Y406"/>
  <c r="Y405"/>
  <c r="Y404"/>
  <c r="Y403"/>
  <c r="Y402"/>
  <c r="Y401"/>
  <c r="Y400"/>
  <c r="Y399"/>
  <c r="Y398"/>
  <c r="Y397"/>
  <c r="Y396"/>
  <c r="Y395"/>
  <c r="Y394"/>
  <c r="Y393"/>
  <c r="Y392"/>
  <c r="Y391"/>
  <c r="Y390"/>
  <c r="Y389"/>
  <c r="Y388"/>
  <c r="Y387"/>
  <c r="Y386"/>
  <c r="Y385"/>
  <c r="Y384"/>
  <c r="Y383"/>
  <c r="Y382"/>
  <c r="Y381"/>
  <c r="Y380"/>
  <c r="Y379"/>
  <c r="Y378"/>
  <c r="Y377"/>
  <c r="Y376"/>
  <c r="Y375"/>
  <c r="Y374"/>
  <c r="Y373"/>
  <c r="Y372"/>
  <c r="Y371"/>
  <c r="Y370"/>
  <c r="Y369"/>
  <c r="Y368"/>
  <c r="Y367"/>
  <c r="Y366"/>
  <c r="Y365"/>
  <c r="Y364"/>
  <c r="Y363"/>
  <c r="Y362"/>
  <c r="Y361"/>
  <c r="Y360"/>
  <c r="Y359"/>
  <c r="Y358"/>
  <c r="Y357"/>
  <c r="Y356"/>
  <c r="Y355"/>
  <c r="Y353"/>
  <c r="Y352"/>
  <c r="Y351"/>
  <c r="Y350"/>
  <c r="Y349"/>
  <c r="Y348"/>
  <c r="Y347"/>
  <c r="Y346"/>
  <c r="Y345"/>
  <c r="Y344"/>
  <c r="Y342"/>
  <c r="Y341"/>
  <c r="Y340"/>
  <c r="Y339"/>
  <c r="Y338"/>
  <c r="Y337"/>
  <c r="Y336"/>
  <c r="Y335"/>
  <c r="Y334"/>
  <c r="Y333"/>
  <c r="Y332"/>
  <c r="Y331"/>
  <c r="Y330"/>
  <c r="Y329"/>
  <c r="Y328"/>
  <c r="Y327"/>
  <c r="Y326"/>
  <c r="Y325"/>
  <c r="Y324"/>
  <c r="Y323"/>
  <c r="Y322"/>
  <c r="Y321"/>
  <c r="Y320"/>
  <c r="Y319"/>
  <c r="Y318"/>
  <c r="Y317"/>
  <c r="Y316"/>
  <c r="Y315"/>
  <c r="Y314"/>
  <c r="Y313"/>
  <c r="Y312"/>
  <c r="Y311"/>
  <c r="Y310"/>
  <c r="Y309"/>
  <c r="Y308"/>
  <c r="Y307"/>
  <c r="Y305"/>
  <c r="Y304"/>
  <c r="Y303"/>
  <c r="Y302"/>
  <c r="Y301"/>
  <c r="Y300"/>
  <c r="Y299"/>
  <c r="Y297"/>
  <c r="Y296"/>
  <c r="Y294"/>
  <c r="Y292"/>
  <c r="Y291"/>
  <c r="Y290"/>
  <c r="Y289"/>
  <c r="Y288"/>
  <c r="Y287"/>
  <c r="Y286"/>
  <c r="Y285"/>
  <c r="Y284"/>
  <c r="Y283"/>
  <c r="Y282"/>
  <c r="Y281"/>
  <c r="Y280"/>
  <c r="Y279"/>
  <c r="Y277"/>
  <c r="Y276"/>
  <c r="Y275"/>
  <c r="Y274"/>
  <c r="Y273"/>
  <c r="Y272"/>
  <c r="Y271"/>
  <c r="Y270"/>
  <c r="Y269"/>
  <c r="Y268"/>
  <c r="Y267"/>
  <c r="Y266"/>
  <c r="Y265"/>
  <c r="Y264"/>
  <c r="Y263"/>
  <c r="Y262"/>
  <c r="Y261"/>
  <c r="Y260"/>
  <c r="Y259"/>
  <c r="Y258"/>
  <c r="Y257"/>
  <c r="Y256"/>
  <c r="Y255"/>
  <c r="Y254"/>
  <c r="Y253"/>
  <c r="Y252"/>
  <c r="Y251"/>
  <c r="Y250"/>
  <c r="Y249"/>
  <c r="Y248"/>
  <c r="Y247"/>
  <c r="Y246"/>
  <c r="Y244"/>
  <c r="Y243"/>
  <c r="Y242"/>
  <c r="Y241"/>
  <c r="Y240"/>
  <c r="Y239"/>
  <c r="Y238"/>
  <c r="Y237"/>
  <c r="Y236"/>
  <c r="Y235"/>
  <c r="Y234"/>
  <c r="Y233"/>
  <c r="Y231"/>
  <c r="Y230"/>
  <c r="Y229"/>
  <c r="Y228"/>
  <c r="Y227"/>
  <c r="Y226"/>
  <c r="Y225"/>
  <c r="Y224"/>
  <c r="Y223"/>
  <c r="Y222"/>
  <c r="Y221"/>
  <c r="Y220"/>
  <c r="Y219"/>
  <c r="Y218"/>
  <c r="Y217"/>
  <c r="Y216"/>
  <c r="Y215"/>
  <c r="Y214"/>
  <c r="Y213"/>
  <c r="Y212"/>
  <c r="Y211"/>
  <c r="Y210"/>
  <c r="Y209"/>
  <c r="Y208"/>
  <c r="Y207"/>
  <c r="Y206"/>
  <c r="Y205"/>
  <c r="Y204"/>
  <c r="Y203"/>
  <c r="Y202"/>
  <c r="Y201"/>
  <c r="Y200"/>
  <c r="Y199"/>
  <c r="Y198"/>
  <c r="Y197"/>
  <c r="Y196"/>
  <c r="Y195"/>
  <c r="Y194"/>
  <c r="Y193"/>
  <c r="Y192"/>
  <c r="Y191"/>
  <c r="Y190"/>
  <c r="Y189"/>
  <c r="Y188"/>
  <c r="Y187"/>
  <c r="Y186"/>
  <c r="Y185"/>
  <c r="Y184"/>
  <c r="Y183"/>
  <c r="Y182"/>
  <c r="Y181"/>
  <c r="Y180"/>
  <c r="Y179"/>
  <c r="Y178"/>
  <c r="Y177"/>
  <c r="Y176"/>
  <c r="Y175"/>
  <c r="Y174"/>
  <c r="Y173"/>
  <c r="Y172"/>
  <c r="Y171"/>
  <c r="Y170"/>
  <c r="Y169"/>
  <c r="Y168"/>
  <c r="Y167"/>
  <c r="Y166"/>
  <c r="Y678" s="1"/>
  <c r="Y165"/>
  <c r="Y164"/>
  <c r="Y163"/>
  <c r="Y162"/>
  <c r="Y161"/>
  <c r="Y160"/>
  <c r="Y159"/>
  <c r="Y158"/>
  <c r="Y677" s="1"/>
  <c r="Y157"/>
  <c r="Y156"/>
  <c r="Y155"/>
  <c r="Y154"/>
  <c r="Y153"/>
  <c r="Y152"/>
  <c r="Y151"/>
  <c r="Y149"/>
  <c r="Y148"/>
  <c r="Y147"/>
  <c r="Y146"/>
  <c r="Y145"/>
  <c r="Y144"/>
  <c r="Y143"/>
  <c r="Y142"/>
  <c r="Y141"/>
  <c r="Y140"/>
  <c r="Y137"/>
  <c r="Y136"/>
  <c r="Y135"/>
  <c r="Y134"/>
  <c r="Y133"/>
  <c r="Y132"/>
  <c r="Y131"/>
  <c r="Y130"/>
  <c r="Y129"/>
  <c r="Y128"/>
  <c r="Y127"/>
  <c r="Y126"/>
  <c r="Y125"/>
  <c r="Y124"/>
  <c r="Y123"/>
  <c r="Y122"/>
  <c r="Y121"/>
  <c r="Y120"/>
  <c r="Y119"/>
  <c r="Y118"/>
  <c r="Y117"/>
  <c r="Y116"/>
  <c r="Y115"/>
  <c r="Y114"/>
  <c r="Y113"/>
  <c r="Y112"/>
  <c r="Y111"/>
  <c r="Y110"/>
  <c r="Y109"/>
  <c r="Y108"/>
  <c r="Y107"/>
  <c r="Y106"/>
  <c r="Y105"/>
  <c r="Y104"/>
  <c r="Y103"/>
  <c r="Y102"/>
  <c r="Y101"/>
  <c r="Y100"/>
  <c r="Y99"/>
  <c r="Y98"/>
  <c r="Y97"/>
  <c r="Y96"/>
  <c r="Y95"/>
  <c r="Y94"/>
  <c r="Y93"/>
  <c r="Y92"/>
  <c r="Y91"/>
  <c r="Y674" s="1"/>
  <c r="Y90"/>
  <c r="Y89"/>
  <c r="Y88"/>
  <c r="Y87"/>
  <c r="Y86"/>
  <c r="Y85"/>
  <c r="Y84"/>
  <c r="Y83"/>
  <c r="Y82"/>
  <c r="Y81"/>
  <c r="Y80"/>
  <c r="Y6"/>
  <c r="Y7"/>
  <c r="Y8"/>
  <c r="Y9"/>
  <c r="Y10"/>
  <c r="Y11"/>
  <c r="Y12"/>
  <c r="Y13"/>
  <c r="Y14"/>
  <c r="Y16"/>
  <c r="Y17"/>
  <c r="Y18"/>
  <c r="Y19"/>
  <c r="Y20"/>
  <c r="Y21"/>
  <c r="Y23"/>
  <c r="Y24"/>
  <c r="Y25"/>
  <c r="Y26"/>
  <c r="Y27"/>
  <c r="Y28"/>
  <c r="Y29"/>
  <c r="Y30"/>
  <c r="Y31"/>
  <c r="Y32"/>
  <c r="Y33"/>
  <c r="Y34"/>
  <c r="Y35"/>
  <c r="Y36"/>
  <c r="Y37"/>
  <c r="Y38"/>
  <c r="Y39"/>
  <c r="Y40"/>
  <c r="Y41"/>
  <c r="Y42"/>
  <c r="Y43"/>
  <c r="Y44"/>
  <c r="Y45"/>
  <c r="Y46"/>
  <c r="Y47"/>
  <c r="Y48"/>
  <c r="Y49"/>
  <c r="Y50"/>
  <c r="Y51"/>
  <c r="Y52"/>
  <c r="Y53"/>
  <c r="Y54"/>
  <c r="Y55"/>
  <c r="Y56"/>
  <c r="Y57"/>
  <c r="Y58"/>
  <c r="Y59"/>
  <c r="Y60"/>
  <c r="Y61"/>
  <c r="Y62"/>
  <c r="Y63"/>
  <c r="Y64"/>
  <c r="Y65"/>
  <c r="Y66"/>
  <c r="Y67"/>
  <c r="Y68"/>
  <c r="Y69"/>
  <c r="Y70"/>
  <c r="Y71"/>
  <c r="Y77"/>
  <c r="Y5"/>
  <c r="AA672"/>
  <c r="Y673"/>
  <c r="Y672"/>
  <c r="AC673"/>
  <c r="G259" i="17"/>
  <c r="G282"/>
  <c r="G266"/>
  <c r="G254"/>
  <c r="G215"/>
  <c r="G229"/>
  <c r="K749" i="4"/>
  <c r="G192" i="17"/>
  <c r="G180"/>
  <c r="F189" s="1"/>
  <c r="G189" s="1"/>
  <c r="G183" s="1"/>
  <c r="G171"/>
  <c r="G161"/>
  <c r="F169" s="1"/>
  <c r="G169" s="1"/>
  <c r="G168" s="1"/>
  <c r="G134"/>
  <c r="J112"/>
  <c r="P128" i="16"/>
  <c r="P130"/>
  <c r="P132"/>
  <c r="L131"/>
  <c r="F131"/>
  <c r="P131" s="1"/>
  <c r="F133" s="1"/>
  <c r="P133" s="1"/>
  <c r="P129"/>
  <c r="G108" i="17"/>
  <c r="P116" i="16"/>
  <c r="H114" s="1"/>
  <c r="P119"/>
  <c r="F114" s="1"/>
  <c r="P117"/>
  <c r="P113"/>
  <c r="D114"/>
  <c r="P114" s="1"/>
  <c r="P99"/>
  <c r="P98"/>
  <c r="G37" i="23"/>
  <c r="G48"/>
  <c r="G49"/>
  <c r="G34"/>
  <c r="G33"/>
  <c r="G47"/>
  <c r="G41"/>
  <c r="G51"/>
  <c r="G50"/>
  <c r="G45"/>
  <c r="G44"/>
  <c r="G43"/>
  <c r="G42"/>
  <c r="G26"/>
  <c r="G24"/>
  <c r="G22"/>
  <c r="G21"/>
  <c r="G20"/>
  <c r="G19"/>
  <c r="G18"/>
  <c r="G16"/>
  <c r="G15"/>
  <c r="G14"/>
  <c r="G13"/>
  <c r="G12"/>
  <c r="G7"/>
  <c r="G8"/>
  <c r="G9"/>
  <c r="G10"/>
  <c r="G6"/>
  <c r="G27" s="1"/>
  <c r="P61" i="16"/>
  <c r="G96" i="17"/>
  <c r="G63"/>
  <c r="G80"/>
  <c r="G74"/>
  <c r="P66" i="16"/>
  <c r="D67" s="1"/>
  <c r="P67" s="1"/>
  <c r="G51" i="17"/>
  <c r="H89" i="2"/>
  <c r="H90"/>
  <c r="H92"/>
  <c r="H93"/>
  <c r="H94"/>
  <c r="H95"/>
  <c r="H96"/>
  <c r="H97"/>
  <c r="H98"/>
  <c r="H99"/>
  <c r="H100"/>
  <c r="H101"/>
  <c r="H102"/>
  <c r="H103"/>
  <c r="H104"/>
  <c r="H105"/>
  <c r="H106"/>
  <c r="H107"/>
  <c r="H108"/>
  <c r="H109"/>
  <c r="H110"/>
  <c r="H111"/>
  <c r="H112"/>
  <c r="H113"/>
  <c r="H114"/>
  <c r="H115"/>
  <c r="H116"/>
  <c r="H118"/>
  <c r="H119"/>
  <c r="H120"/>
  <c r="H121"/>
  <c r="H122"/>
  <c r="H123"/>
  <c r="H124"/>
  <c r="H125"/>
  <c r="H126"/>
  <c r="H127"/>
  <c r="H128"/>
  <c r="H129"/>
  <c r="H130"/>
  <c r="H131"/>
  <c r="H132"/>
  <c r="H133"/>
  <c r="H134"/>
  <c r="H135"/>
  <c r="H136"/>
  <c r="H137"/>
  <c r="H138"/>
  <c r="H139"/>
  <c r="H140"/>
  <c r="H141"/>
  <c r="H142"/>
  <c r="H143"/>
  <c r="H144"/>
  <c r="H145"/>
  <c r="H146"/>
  <c r="H147"/>
  <c r="H148"/>
  <c r="H149"/>
  <c r="H150"/>
  <c r="H151"/>
  <c r="H152"/>
  <c r="H153"/>
  <c r="H154"/>
  <c r="H155"/>
  <c r="H156"/>
  <c r="H157"/>
  <c r="H159"/>
  <c r="H160"/>
  <c r="H161"/>
  <c r="H162"/>
  <c r="H163"/>
  <c r="H164"/>
  <c r="H165"/>
  <c r="H166"/>
  <c r="H170"/>
  <c r="H171"/>
  <c r="H172"/>
  <c r="H173"/>
  <c r="H174"/>
  <c r="H175"/>
  <c r="H176"/>
  <c r="H177"/>
  <c r="H178"/>
  <c r="H182"/>
  <c r="H183"/>
  <c r="H184"/>
  <c r="H185"/>
  <c r="H186"/>
  <c r="H187"/>
  <c r="H188"/>
  <c r="H189"/>
  <c r="H190"/>
  <c r="H191"/>
  <c r="H192"/>
  <c r="H196"/>
  <c r="H197"/>
  <c r="H198"/>
  <c r="H199"/>
  <c r="H200"/>
  <c r="H201"/>
  <c r="H202"/>
  <c r="H203"/>
  <c r="H204"/>
  <c r="H205"/>
  <c r="H206"/>
  <c r="H207"/>
  <c r="H208"/>
  <c r="H209"/>
  <c r="H210"/>
  <c r="H211"/>
  <c r="H212"/>
  <c r="H213"/>
  <c r="H214"/>
  <c r="H215"/>
  <c r="H216"/>
  <c r="H217"/>
  <c r="H218"/>
  <c r="H219"/>
  <c r="H223"/>
  <c r="H224"/>
  <c r="H225"/>
  <c r="H226"/>
  <c r="H227"/>
  <c r="H228"/>
  <c r="H229"/>
  <c r="H230"/>
  <c r="H231"/>
  <c r="H232"/>
  <c r="H233"/>
  <c r="H234"/>
  <c r="H235"/>
  <c r="H236"/>
  <c r="H237"/>
  <c r="H238"/>
  <c r="H239"/>
  <c r="H240"/>
  <c r="H241"/>
  <c r="H242"/>
  <c r="H243"/>
  <c r="H244"/>
  <c r="H245"/>
  <c r="H246"/>
  <c r="H247"/>
  <c r="H248"/>
  <c r="H249"/>
  <c r="H250"/>
  <c r="H251"/>
  <c r="H254"/>
  <c r="H255"/>
  <c r="H256"/>
  <c r="H257"/>
  <c r="H258"/>
  <c r="H262"/>
  <c r="H263"/>
  <c r="H264"/>
  <c r="H265"/>
  <c r="H266"/>
  <c r="H267"/>
  <c r="H268"/>
  <c r="H269"/>
  <c r="H270"/>
  <c r="H271"/>
  <c r="H272"/>
  <c r="H273"/>
  <c r="H274"/>
  <c r="H275"/>
  <c r="H276"/>
  <c r="H277"/>
  <c r="H279"/>
  <c r="H280"/>
  <c r="H281"/>
  <c r="H282"/>
  <c r="H283"/>
  <c r="H284"/>
  <c r="H285"/>
  <c r="H286"/>
  <c r="H287"/>
  <c r="H288"/>
  <c r="H289"/>
  <c r="H290"/>
  <c r="H291"/>
  <c r="H292"/>
  <c r="H293"/>
  <c r="H294"/>
  <c r="H295"/>
  <c r="H296"/>
  <c r="H297"/>
  <c r="H298"/>
  <c r="H299"/>
  <c r="H300"/>
  <c r="H301"/>
  <c r="H302"/>
  <c r="H303"/>
  <c r="H304"/>
  <c r="H305"/>
  <c r="H306"/>
  <c r="H307"/>
  <c r="H308"/>
  <c r="H309"/>
  <c r="H310"/>
  <c r="H311"/>
  <c r="H312"/>
  <c r="H313"/>
  <c r="H314"/>
  <c r="H315"/>
  <c r="H316"/>
  <c r="H317"/>
  <c r="H318"/>
  <c r="H319"/>
  <c r="H320"/>
  <c r="H321"/>
  <c r="H323"/>
  <c r="H324"/>
  <c r="H325"/>
  <c r="H326"/>
  <c r="H327"/>
  <c r="H328"/>
  <c r="H332"/>
  <c r="H333"/>
  <c r="H334"/>
  <c r="H335"/>
  <c r="H336"/>
  <c r="H337"/>
  <c r="H338"/>
  <c r="H339"/>
  <c r="H340"/>
  <c r="H341"/>
  <c r="H342"/>
  <c r="H343"/>
  <c r="H344"/>
  <c r="H345"/>
  <c r="H346"/>
  <c r="H347"/>
  <c r="H349"/>
  <c r="H350"/>
  <c r="H351"/>
  <c r="H352"/>
  <c r="H353"/>
  <c r="H354"/>
  <c r="H355"/>
  <c r="H356"/>
  <c r="H357"/>
  <c r="H358"/>
  <c r="H359"/>
  <c r="H360"/>
  <c r="H361"/>
  <c r="H362"/>
  <c r="H363"/>
  <c r="H364"/>
  <c r="H365"/>
  <c r="H366"/>
  <c r="H367"/>
  <c r="H368"/>
  <c r="H369"/>
  <c r="H370"/>
  <c r="H371"/>
  <c r="H372"/>
  <c r="H373"/>
  <c r="H374"/>
  <c r="H375"/>
  <c r="H376"/>
  <c r="H377"/>
  <c r="H378"/>
  <c r="H380"/>
  <c r="H381"/>
  <c r="H382"/>
  <c r="H383"/>
  <c r="H384"/>
  <c r="H385"/>
  <c r="H389"/>
  <c r="H390"/>
  <c r="H391"/>
  <c r="H392"/>
  <c r="H393"/>
  <c r="H394"/>
  <c r="H395"/>
  <c r="H396"/>
  <c r="H397"/>
  <c r="H398"/>
  <c r="H399"/>
  <c r="H400"/>
  <c r="H401"/>
  <c r="H402"/>
  <c r="H403"/>
  <c r="H404"/>
  <c r="H406"/>
  <c r="H407"/>
  <c r="H408"/>
  <c r="H409"/>
  <c r="H410"/>
  <c r="H411"/>
  <c r="H412"/>
  <c r="H413"/>
  <c r="H414"/>
  <c r="H415"/>
  <c r="H416"/>
  <c r="H417"/>
  <c r="H418"/>
  <c r="H419"/>
  <c r="H420"/>
  <c r="H421"/>
  <c r="H422"/>
  <c r="H423"/>
  <c r="H424"/>
  <c r="H425"/>
  <c r="H426"/>
  <c r="H427"/>
  <c r="H428"/>
  <c r="H429"/>
  <c r="H430"/>
  <c r="H431"/>
  <c r="H432"/>
  <c r="H433"/>
  <c r="H434"/>
  <c r="H435"/>
  <c r="H436"/>
  <c r="H437"/>
  <c r="H438"/>
  <c r="H439"/>
  <c r="H440"/>
  <c r="H441"/>
  <c r="H443"/>
  <c r="H444"/>
  <c r="H445"/>
  <c r="H446"/>
  <c r="H447"/>
  <c r="H448"/>
  <c r="H452"/>
  <c r="H453"/>
  <c r="H454"/>
  <c r="H455"/>
  <c r="H456"/>
  <c r="H457"/>
  <c r="H458"/>
  <c r="H459"/>
  <c r="H460"/>
  <c r="H461"/>
  <c r="H462"/>
  <c r="H463"/>
  <c r="H464"/>
  <c r="H465"/>
  <c r="H466"/>
  <c r="H467"/>
  <c r="H469"/>
  <c r="H470"/>
  <c r="H471"/>
  <c r="H472"/>
  <c r="H473"/>
  <c r="H474"/>
  <c r="H475"/>
  <c r="H476"/>
  <c r="H477"/>
  <c r="H478"/>
  <c r="H479"/>
  <c r="H480"/>
  <c r="H481"/>
  <c r="H482"/>
  <c r="H483"/>
  <c r="H484"/>
  <c r="H485"/>
  <c r="H486"/>
  <c r="H487"/>
  <c r="H488"/>
  <c r="H489"/>
  <c r="H490"/>
  <c r="H491"/>
  <c r="H492"/>
  <c r="H493"/>
  <c r="H494"/>
  <c r="H495"/>
  <c r="H496"/>
  <c r="H497"/>
  <c r="H498"/>
  <c r="H499"/>
  <c r="H500"/>
  <c r="H501"/>
  <c r="H502"/>
  <c r="H503"/>
  <c r="H504"/>
  <c r="H505"/>
  <c r="H506"/>
  <c r="H507"/>
  <c r="H508"/>
  <c r="H510"/>
  <c r="H511"/>
  <c r="H512"/>
  <c r="H513"/>
  <c r="H514"/>
  <c r="H515"/>
  <c r="H519"/>
  <c r="H520"/>
  <c r="H521"/>
  <c r="H522"/>
  <c r="H523"/>
  <c r="H524"/>
  <c r="H525"/>
  <c r="H526"/>
  <c r="H527"/>
  <c r="H528"/>
  <c r="H529"/>
  <c r="H530"/>
  <c r="H531"/>
  <c r="H532"/>
  <c r="H533"/>
  <c r="H534"/>
  <c r="H536"/>
  <c r="H537"/>
  <c r="H538"/>
  <c r="H539"/>
  <c r="H540"/>
  <c r="H541"/>
  <c r="H542"/>
  <c r="H543"/>
  <c r="H544"/>
  <c r="H545"/>
  <c r="H546"/>
  <c r="H547"/>
  <c r="H548"/>
  <c r="H549"/>
  <c r="H550"/>
  <c r="H551"/>
  <c r="H552"/>
  <c r="H553"/>
  <c r="H554"/>
  <c r="H555"/>
  <c r="H557"/>
  <c r="H558"/>
  <c r="H559"/>
  <c r="H560"/>
  <c r="H561"/>
  <c r="H562"/>
  <c r="H574"/>
  <c r="H575"/>
  <c r="H576"/>
  <c r="H577"/>
  <c r="H578"/>
  <c r="H579"/>
  <c r="H580"/>
  <c r="H581"/>
  <c r="H582"/>
  <c r="H583"/>
  <c r="H584"/>
  <c r="H585"/>
  <c r="H586"/>
  <c r="H587"/>
  <c r="H588"/>
  <c r="H589"/>
  <c r="H591"/>
  <c r="H592"/>
  <c r="H593"/>
  <c r="H594"/>
  <c r="H595"/>
  <c r="H596"/>
  <c r="H597"/>
  <c r="H598"/>
  <c r="H599"/>
  <c r="H600"/>
  <c r="H601"/>
  <c r="H602"/>
  <c r="H603"/>
  <c r="H604"/>
  <c r="H605"/>
  <c r="H606"/>
  <c r="H607"/>
  <c r="H608"/>
  <c r="H609"/>
  <c r="H610"/>
  <c r="H612"/>
  <c r="H613"/>
  <c r="H614"/>
  <c r="H615"/>
  <c r="H616"/>
  <c r="H617"/>
  <c r="H622"/>
  <c r="H623"/>
  <c r="H628"/>
  <c r="H629"/>
  <c r="H630"/>
  <c r="H631"/>
  <c r="H566"/>
  <c r="H570" s="1"/>
  <c r="I93" i="22"/>
  <c r="I92"/>
  <c r="D88"/>
  <c r="I88" s="1"/>
  <c r="I87" s="1"/>
  <c r="I24" s="1"/>
  <c r="I81"/>
  <c r="D79"/>
  <c r="I79" s="1"/>
  <c r="D70"/>
  <c r="I70"/>
  <c r="I69" s="1"/>
  <c r="I67"/>
  <c r="I66"/>
  <c r="I65"/>
  <c r="I64"/>
  <c r="I63"/>
  <c r="I62"/>
  <c r="I61"/>
  <c r="D60"/>
  <c r="I60" s="1"/>
  <c r="I59" s="1"/>
  <c r="I14" s="1"/>
  <c r="I57"/>
  <c r="I56"/>
  <c r="I55"/>
  <c r="I54"/>
  <c r="I51" s="1"/>
  <c r="I53"/>
  <c r="I52"/>
  <c r="I49"/>
  <c r="I48"/>
  <c r="I47"/>
  <c r="I46"/>
  <c r="I45"/>
  <c r="D44"/>
  <c r="I44" s="1"/>
  <c r="I43" s="1"/>
  <c r="I41"/>
  <c r="I40"/>
  <c r="I37"/>
  <c r="I36"/>
  <c r="I33"/>
  <c r="D32"/>
  <c r="I32" s="1"/>
  <c r="I31" s="1"/>
  <c r="I10" s="1"/>
  <c r="C26"/>
  <c r="C24"/>
  <c r="C22"/>
  <c r="C20"/>
  <c r="C18"/>
  <c r="C16"/>
  <c r="C14"/>
  <c r="C12"/>
  <c r="C10"/>
  <c r="AG218" i="10"/>
  <c r="AD127"/>
  <c r="AD113"/>
  <c r="AD112"/>
  <c r="AD132"/>
  <c r="AD104"/>
  <c r="AD103"/>
  <c r="AD106"/>
  <c r="AD83"/>
  <c r="AD81"/>
  <c r="AD82"/>
  <c r="AD42"/>
  <c r="AD35"/>
  <c r="AD34"/>
  <c r="AD14"/>
  <c r="AD13"/>
  <c r="AD22"/>
  <c r="AD17"/>
  <c r="AD15"/>
  <c r="AD16"/>
  <c r="AD12"/>
  <c r="AD23"/>
  <c r="AD21"/>
  <c r="AD20"/>
  <c r="AD19"/>
  <c r="AD18"/>
  <c r="AD11"/>
  <c r="AD218" s="1"/>
  <c r="M66" i="4"/>
  <c r="M67"/>
  <c r="M68"/>
  <c r="M69"/>
  <c r="M70"/>
  <c r="M71"/>
  <c r="M72"/>
  <c r="M74"/>
  <c r="M76"/>
  <c r="M77"/>
  <c r="M78"/>
  <c r="M79"/>
  <c r="M80"/>
  <c r="M81"/>
  <c r="M82"/>
  <c r="M83"/>
  <c r="M85"/>
  <c r="M86"/>
  <c r="M87"/>
  <c r="M88"/>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7"/>
  <c r="M128"/>
  <c r="M129"/>
  <c r="M130"/>
  <c r="M132"/>
  <c r="M134"/>
  <c r="M136"/>
  <c r="M137"/>
  <c r="M138"/>
  <c r="M139"/>
  <c r="M140"/>
  <c r="M141"/>
  <c r="M142"/>
  <c r="M143"/>
  <c r="M144"/>
  <c r="M146"/>
  <c r="M147"/>
  <c r="M148"/>
  <c r="M149"/>
  <c r="M150"/>
  <c r="M151"/>
  <c r="M152"/>
  <c r="M155"/>
  <c r="M156"/>
  <c r="M185"/>
  <c r="M187"/>
  <c r="M188"/>
  <c r="M189"/>
  <c r="M190"/>
  <c r="M191"/>
  <c r="M192"/>
  <c r="M193"/>
  <c r="M195"/>
  <c r="M197"/>
  <c r="M198"/>
  <c r="M199"/>
  <c r="M200"/>
  <c r="M201"/>
  <c r="M203"/>
  <c r="M205"/>
  <c r="M206"/>
  <c r="M207"/>
  <c r="M208"/>
  <c r="M210"/>
  <c r="M211"/>
  <c r="M213"/>
  <c r="M214"/>
  <c r="M215"/>
  <c r="M216"/>
  <c r="M217"/>
  <c r="M222"/>
  <c r="M224"/>
  <c r="M225"/>
  <c r="M226"/>
  <c r="M227"/>
  <c r="M228"/>
  <c r="M229"/>
  <c r="M230"/>
  <c r="M231"/>
  <c r="M232"/>
  <c r="M233"/>
  <c r="M234"/>
  <c r="M235"/>
  <c r="M236"/>
  <c r="M237"/>
  <c r="M238"/>
  <c r="M239"/>
  <c r="M243"/>
  <c r="M245"/>
  <c r="M246"/>
  <c r="M247"/>
  <c r="M248"/>
  <c r="M249"/>
  <c r="M251"/>
  <c r="M252"/>
  <c r="M253"/>
  <c r="M256"/>
  <c r="M257"/>
  <c r="M258"/>
  <c r="M259"/>
  <c r="M260"/>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28"/>
  <c r="M329"/>
  <c r="M330"/>
  <c r="M331"/>
  <c r="M332"/>
  <c r="M333"/>
  <c r="M334"/>
  <c r="M335"/>
  <c r="M336"/>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401"/>
  <c r="M402"/>
  <c r="M403"/>
  <c r="M404"/>
  <c r="M405"/>
  <c r="M406"/>
  <c r="M407"/>
  <c r="M408"/>
  <c r="M409"/>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8"/>
  <c r="M449"/>
  <c r="M450"/>
  <c r="M451"/>
  <c r="M452"/>
  <c r="M454"/>
  <c r="M464"/>
  <c r="M465"/>
  <c r="M466"/>
  <c r="M467"/>
  <c r="M468"/>
  <c r="M469"/>
  <c r="M470"/>
  <c r="M471"/>
  <c r="M472"/>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M528"/>
  <c r="M529"/>
  <c r="M530"/>
  <c r="M531"/>
  <c r="M532"/>
  <c r="M533"/>
  <c r="M535"/>
  <c r="M536"/>
  <c r="M537"/>
  <c r="M538"/>
  <c r="M539"/>
  <c r="M541"/>
  <c r="M551"/>
  <c r="M552"/>
  <c r="M553"/>
  <c r="M554"/>
  <c r="M555"/>
  <c r="M556"/>
  <c r="M557"/>
  <c r="M558"/>
  <c r="M559"/>
  <c r="M561"/>
  <c r="M562"/>
  <c r="M563"/>
  <c r="M564"/>
  <c r="M565"/>
  <c r="M566"/>
  <c r="M567"/>
  <c r="M568"/>
  <c r="M569"/>
  <c r="M570"/>
  <c r="M571"/>
  <c r="M572"/>
  <c r="M573"/>
  <c r="M574"/>
  <c r="M575"/>
  <c r="M576"/>
  <c r="M577"/>
  <c r="M578"/>
  <c r="M579"/>
  <c r="M580"/>
  <c r="M581"/>
  <c r="M582"/>
  <c r="M583"/>
  <c r="M584"/>
  <c r="M585"/>
  <c r="M586"/>
  <c r="M587"/>
  <c r="M588"/>
  <c r="M589"/>
  <c r="M590"/>
  <c r="M591"/>
  <c r="M592"/>
  <c r="M593"/>
  <c r="M594"/>
  <c r="M595"/>
  <c r="M596"/>
  <c r="M597"/>
  <c r="M598"/>
  <c r="M599"/>
  <c r="M600"/>
  <c r="M601"/>
  <c r="M602"/>
  <c r="M603"/>
  <c r="M604"/>
  <c r="M605"/>
  <c r="M606"/>
  <c r="M607"/>
  <c r="M608"/>
  <c r="M609"/>
  <c r="M610"/>
  <c r="M611"/>
  <c r="M613"/>
  <c r="M614"/>
  <c r="M615"/>
  <c r="M616"/>
  <c r="M617"/>
  <c r="M619"/>
  <c r="M629"/>
  <c r="M630"/>
  <c r="M631"/>
  <c r="M632"/>
  <c r="M633"/>
  <c r="M634"/>
  <c r="M635"/>
  <c r="M636"/>
  <c r="M637"/>
  <c r="M639"/>
  <c r="M641"/>
  <c r="M643"/>
  <c r="M644"/>
  <c r="M645"/>
  <c r="M646"/>
  <c r="M647"/>
  <c r="M648"/>
  <c r="M649"/>
  <c r="M650"/>
  <c r="M651"/>
  <c r="M652"/>
  <c r="M653"/>
  <c r="M654"/>
  <c r="M655"/>
  <c r="M656"/>
  <c r="M657"/>
  <c r="M658"/>
  <c r="M659"/>
  <c r="M660"/>
  <c r="M661"/>
  <c r="M662"/>
  <c r="M663"/>
  <c r="M664"/>
  <c r="M665"/>
  <c r="M666"/>
  <c r="M667"/>
  <c r="M668"/>
  <c r="M669"/>
  <c r="M671"/>
  <c r="M672"/>
  <c r="M673"/>
  <c r="M674"/>
  <c r="M675"/>
  <c r="M677"/>
  <c r="M687"/>
  <c r="M688"/>
  <c r="M689"/>
  <c r="M690"/>
  <c r="M691"/>
  <c r="M692"/>
  <c r="M693"/>
  <c r="M694"/>
  <c r="M695"/>
  <c r="M697"/>
  <c r="M698"/>
  <c r="M704"/>
  <c r="M705"/>
  <c r="M706"/>
  <c r="M707"/>
  <c r="M708"/>
  <c r="M709"/>
  <c r="M710"/>
  <c r="M711"/>
  <c r="M712"/>
  <c r="M713"/>
  <c r="M714"/>
  <c r="M715"/>
  <c r="M716"/>
  <c r="M717"/>
  <c r="M718"/>
  <c r="M719"/>
  <c r="M720"/>
  <c r="M721"/>
  <c r="M722"/>
  <c r="M723"/>
  <c r="M724"/>
  <c r="M725"/>
  <c r="M726"/>
  <c r="M727"/>
  <c r="M728"/>
  <c r="M729"/>
  <c r="M730"/>
  <c r="M731"/>
  <c r="M732"/>
  <c r="M733"/>
  <c r="M734"/>
  <c r="M735"/>
  <c r="M736"/>
  <c r="M737"/>
  <c r="M738"/>
  <c r="M739"/>
  <c r="M740"/>
  <c r="M741"/>
  <c r="M742"/>
  <c r="M743"/>
  <c r="M744"/>
  <c r="M745"/>
  <c r="M746"/>
  <c r="M747"/>
  <c r="M748"/>
  <c r="M749"/>
  <c r="M750"/>
  <c r="M65"/>
  <c r="M135"/>
  <c r="M31" s="1"/>
  <c r="I16" i="22"/>
  <c r="G47" i="17"/>
  <c r="I91" i="22"/>
  <c r="I26"/>
  <c r="I78"/>
  <c r="I39"/>
  <c r="I35"/>
  <c r="I12" s="1"/>
  <c r="G41" i="17"/>
  <c r="G34"/>
  <c r="G22"/>
  <c r="G28"/>
  <c r="P106" i="16"/>
  <c r="P74"/>
  <c r="P73"/>
  <c r="P72"/>
  <c r="P71"/>
  <c r="G5" i="17"/>
  <c r="S664" i="7"/>
  <c r="O664"/>
  <c r="S663"/>
  <c r="O663"/>
  <c r="S662"/>
  <c r="O662"/>
  <c r="S660"/>
  <c r="O660"/>
  <c r="S659"/>
  <c r="O659"/>
  <c r="S658"/>
  <c r="O658"/>
  <c r="S657"/>
  <c r="O657"/>
  <c r="S656"/>
  <c r="O656"/>
  <c r="S655"/>
  <c r="O655"/>
  <c r="S654"/>
  <c r="O654"/>
  <c r="S653"/>
  <c r="O653"/>
  <c r="S652"/>
  <c r="O652"/>
  <c r="S651"/>
  <c r="O651"/>
  <c r="S650"/>
  <c r="O650"/>
  <c r="S649"/>
  <c r="O649"/>
  <c r="S648"/>
  <c r="O648"/>
  <c r="S647"/>
  <c r="O647"/>
  <c r="S646"/>
  <c r="O646"/>
  <c r="S645"/>
  <c r="O645"/>
  <c r="S644"/>
  <c r="O644"/>
  <c r="S643"/>
  <c r="O643"/>
  <c r="S642"/>
  <c r="O642"/>
  <c r="S641"/>
  <c r="O641"/>
  <c r="S640"/>
  <c r="O640"/>
  <c r="S639"/>
  <c r="O639"/>
  <c r="S638"/>
  <c r="O638"/>
  <c r="S637"/>
  <c r="O637"/>
  <c r="S636"/>
  <c r="O636"/>
  <c r="S635"/>
  <c r="O635"/>
  <c r="S634"/>
  <c r="O634"/>
  <c r="S633"/>
  <c r="O633"/>
  <c r="S632"/>
  <c r="O632"/>
  <c r="S631"/>
  <c r="O631"/>
  <c r="S630"/>
  <c r="O630"/>
  <c r="S629"/>
  <c r="O629"/>
  <c r="S628"/>
  <c r="O628"/>
  <c r="S627"/>
  <c r="O627"/>
  <c r="S626"/>
  <c r="O626"/>
  <c r="S625"/>
  <c r="O625"/>
  <c r="S624"/>
  <c r="O624"/>
  <c r="S623"/>
  <c r="O623"/>
  <c r="S622"/>
  <c r="O622"/>
  <c r="S621"/>
  <c r="O621"/>
  <c r="S620"/>
  <c r="O620"/>
  <c r="S619"/>
  <c r="O619"/>
  <c r="S618"/>
  <c r="O618"/>
  <c r="O685" s="1"/>
  <c r="S617"/>
  <c r="O617"/>
  <c r="S615"/>
  <c r="O615"/>
  <c r="S614"/>
  <c r="O614"/>
  <c r="S613"/>
  <c r="O613"/>
  <c r="S612"/>
  <c r="O612"/>
  <c r="S611"/>
  <c r="O611"/>
  <c r="S610"/>
  <c r="O610"/>
  <c r="S609"/>
  <c r="O609"/>
  <c r="S608"/>
  <c r="O608"/>
  <c r="S607"/>
  <c r="O607"/>
  <c r="S606"/>
  <c r="O606"/>
  <c r="S605"/>
  <c r="O605"/>
  <c r="S604"/>
  <c r="O604"/>
  <c r="S603"/>
  <c r="O603"/>
  <c r="S602"/>
  <c r="O602"/>
  <c r="S601"/>
  <c r="O601"/>
  <c r="S600"/>
  <c r="O600"/>
  <c r="S599"/>
  <c r="O599"/>
  <c r="S598"/>
  <c r="O598"/>
  <c r="S597"/>
  <c r="O597"/>
  <c r="S596"/>
  <c r="O596"/>
  <c r="S595"/>
  <c r="O595"/>
  <c r="S594"/>
  <c r="O594"/>
  <c r="S593"/>
  <c r="O593"/>
  <c r="S592"/>
  <c r="O592"/>
  <c r="S591"/>
  <c r="O591"/>
  <c r="S590"/>
  <c r="O590"/>
  <c r="S589"/>
  <c r="O589"/>
  <c r="S588"/>
  <c r="O588"/>
  <c r="S587"/>
  <c r="O587"/>
  <c r="S586"/>
  <c r="O586"/>
  <c r="S585"/>
  <c r="O585"/>
  <c r="S584"/>
  <c r="O584"/>
  <c r="S583"/>
  <c r="O583"/>
  <c r="S582"/>
  <c r="O582"/>
  <c r="S581"/>
  <c r="O581"/>
  <c r="S580"/>
  <c r="O580"/>
  <c r="S579"/>
  <c r="O579"/>
  <c r="S578"/>
  <c r="O578"/>
  <c r="S577"/>
  <c r="O577"/>
  <c r="S576"/>
  <c r="O576"/>
  <c r="S575"/>
  <c r="O575"/>
  <c r="S574"/>
  <c r="O574"/>
  <c r="S573"/>
  <c r="O573"/>
  <c r="S572"/>
  <c r="O572"/>
  <c r="S571"/>
  <c r="O571"/>
  <c r="S570"/>
  <c r="O570"/>
  <c r="S569"/>
  <c r="O569"/>
  <c r="S568"/>
  <c r="O568"/>
  <c r="S567"/>
  <c r="O567"/>
  <c r="S566"/>
  <c r="O566"/>
  <c r="S565"/>
  <c r="O565"/>
  <c r="S564"/>
  <c r="O564"/>
  <c r="S563"/>
  <c r="O563"/>
  <c r="S562"/>
  <c r="O562"/>
  <c r="S561"/>
  <c r="O561"/>
  <c r="S560"/>
  <c r="O560"/>
  <c r="S559"/>
  <c r="O559"/>
  <c r="S558"/>
  <c r="O558"/>
  <c r="S557"/>
  <c r="O557"/>
  <c r="S556"/>
  <c r="O556"/>
  <c r="S555"/>
  <c r="O555"/>
  <c r="S554"/>
  <c r="O554"/>
  <c r="S553"/>
  <c r="O553"/>
  <c r="O684" s="1"/>
  <c r="S552"/>
  <c r="O552"/>
  <c r="S550"/>
  <c r="O550"/>
  <c r="S549"/>
  <c r="O549"/>
  <c r="S548"/>
  <c r="O548"/>
  <c r="S547"/>
  <c r="O547"/>
  <c r="S546"/>
  <c r="O546"/>
  <c r="S545"/>
  <c r="O545"/>
  <c r="S544"/>
  <c r="O544"/>
  <c r="S543"/>
  <c r="O543"/>
  <c r="S542"/>
  <c r="O542"/>
  <c r="S541"/>
  <c r="O541"/>
  <c r="S540"/>
  <c r="O540"/>
  <c r="S539"/>
  <c r="O539"/>
  <c r="S538"/>
  <c r="O538"/>
  <c r="S537"/>
  <c r="O537"/>
  <c r="S536"/>
  <c r="O536"/>
  <c r="S535"/>
  <c r="O535"/>
  <c r="S534"/>
  <c r="O534"/>
  <c r="S533"/>
  <c r="O533"/>
  <c r="S532"/>
  <c r="O532"/>
  <c r="S531"/>
  <c r="O531"/>
  <c r="S530"/>
  <c r="O530"/>
  <c r="S529"/>
  <c r="O529"/>
  <c r="S528"/>
  <c r="O528"/>
  <c r="S527"/>
  <c r="O527"/>
  <c r="S526"/>
  <c r="O526"/>
  <c r="S525"/>
  <c r="O525"/>
  <c r="S524"/>
  <c r="O524"/>
  <c r="S523"/>
  <c r="O523"/>
  <c r="S522"/>
  <c r="O522"/>
  <c r="S521"/>
  <c r="O521"/>
  <c r="S520"/>
  <c r="O520"/>
  <c r="S519"/>
  <c r="O519"/>
  <c r="S518"/>
  <c r="O518"/>
  <c r="S517"/>
  <c r="O517"/>
  <c r="S516"/>
  <c r="O516"/>
  <c r="S515"/>
  <c r="O515"/>
  <c r="S514"/>
  <c r="O514"/>
  <c r="S513"/>
  <c r="O513"/>
  <c r="S512"/>
  <c r="O512"/>
  <c r="S511"/>
  <c r="O511"/>
  <c r="S510"/>
  <c r="O510"/>
  <c r="S509"/>
  <c r="O509"/>
  <c r="S508"/>
  <c r="O508"/>
  <c r="S507"/>
  <c r="O507"/>
  <c r="S506"/>
  <c r="O506"/>
  <c r="S505"/>
  <c r="O505"/>
  <c r="S504"/>
  <c r="O504"/>
  <c r="S503"/>
  <c r="O503"/>
  <c r="S502"/>
  <c r="O502"/>
  <c r="S501"/>
  <c r="O501"/>
  <c r="S500"/>
  <c r="O500"/>
  <c r="S499"/>
  <c r="O499"/>
  <c r="S498"/>
  <c r="O498"/>
  <c r="S497"/>
  <c r="O497"/>
  <c r="S496"/>
  <c r="O496"/>
  <c r="S495"/>
  <c r="O495"/>
  <c r="S494"/>
  <c r="O494"/>
  <c r="S493"/>
  <c r="O493"/>
  <c r="S492"/>
  <c r="O492"/>
  <c r="S491"/>
  <c r="O491"/>
  <c r="S490"/>
  <c r="O490"/>
  <c r="S489"/>
  <c r="O489"/>
  <c r="S488"/>
  <c r="O488"/>
  <c r="S487"/>
  <c r="S683" s="1"/>
  <c r="O487"/>
  <c r="S485"/>
  <c r="O485"/>
  <c r="S484"/>
  <c r="O484"/>
  <c r="S483"/>
  <c r="O483"/>
  <c r="S482"/>
  <c r="O482"/>
  <c r="S481"/>
  <c r="O481"/>
  <c r="S480"/>
  <c r="O480"/>
  <c r="S479"/>
  <c r="O479"/>
  <c r="S478"/>
  <c r="O478"/>
  <c r="S477"/>
  <c r="O477"/>
  <c r="S476"/>
  <c r="O476"/>
  <c r="S475"/>
  <c r="O475"/>
  <c r="S474"/>
  <c r="O474"/>
  <c r="S473"/>
  <c r="O473"/>
  <c r="S472"/>
  <c r="O472"/>
  <c r="S471"/>
  <c r="O471"/>
  <c r="S470"/>
  <c r="O470"/>
  <c r="S469"/>
  <c r="O469"/>
  <c r="S468"/>
  <c r="O468"/>
  <c r="S467"/>
  <c r="O467"/>
  <c r="S466"/>
  <c r="O466"/>
  <c r="S465"/>
  <c r="O465"/>
  <c r="S464"/>
  <c r="O464"/>
  <c r="S463"/>
  <c r="O463"/>
  <c r="S462"/>
  <c r="O462"/>
  <c r="S461"/>
  <c r="O461"/>
  <c r="S460"/>
  <c r="O460"/>
  <c r="S459"/>
  <c r="O459"/>
  <c r="S458"/>
  <c r="O458"/>
  <c r="S457"/>
  <c r="O457"/>
  <c r="S456"/>
  <c r="O456"/>
  <c r="S455"/>
  <c r="O455"/>
  <c r="S454"/>
  <c r="O454"/>
  <c r="S453"/>
  <c r="O453"/>
  <c r="S452"/>
  <c r="O452"/>
  <c r="S451"/>
  <c r="O451"/>
  <c r="S450"/>
  <c r="O450"/>
  <c r="S449"/>
  <c r="O449"/>
  <c r="S448"/>
  <c r="O448"/>
  <c r="S447"/>
  <c r="O447"/>
  <c r="S446"/>
  <c r="O446"/>
  <c r="S445"/>
  <c r="O445"/>
  <c r="S444"/>
  <c r="O444"/>
  <c r="S443"/>
  <c r="O443"/>
  <c r="S442"/>
  <c r="O442"/>
  <c r="S441"/>
  <c r="O441"/>
  <c r="S440"/>
  <c r="O440"/>
  <c r="S439"/>
  <c r="O439"/>
  <c r="S438"/>
  <c r="O438"/>
  <c r="S437"/>
  <c r="O437"/>
  <c r="S436"/>
  <c r="O436"/>
  <c r="S435"/>
  <c r="O435"/>
  <c r="S434"/>
  <c r="O434"/>
  <c r="S433"/>
  <c r="O433"/>
  <c r="S432"/>
  <c r="O432"/>
  <c r="S431"/>
  <c r="O431"/>
  <c r="S430"/>
  <c r="O430"/>
  <c r="S429"/>
  <c r="O429"/>
  <c r="S428"/>
  <c r="O428"/>
  <c r="S427"/>
  <c r="O427"/>
  <c r="S426"/>
  <c r="O426"/>
  <c r="S425"/>
  <c r="O425"/>
  <c r="S424"/>
  <c r="O424"/>
  <c r="S423"/>
  <c r="O423"/>
  <c r="S422"/>
  <c r="S682" s="1"/>
  <c r="O422"/>
  <c r="S420"/>
  <c r="O420"/>
  <c r="S419"/>
  <c r="O419"/>
  <c r="S418"/>
  <c r="O418"/>
  <c r="S417"/>
  <c r="O417"/>
  <c r="S416"/>
  <c r="S415"/>
  <c r="O415"/>
  <c r="S414"/>
  <c r="S413"/>
  <c r="S412"/>
  <c r="O412"/>
  <c r="S411"/>
  <c r="S410"/>
  <c r="O410"/>
  <c r="S409"/>
  <c r="S408"/>
  <c r="O408"/>
  <c r="S407"/>
  <c r="S681" s="1"/>
  <c r="S406"/>
  <c r="O406"/>
  <c r="S405"/>
  <c r="O405"/>
  <c r="S404"/>
  <c r="O404"/>
  <c r="S403"/>
  <c r="O403"/>
  <c r="S402"/>
  <c r="O402"/>
  <c r="S401"/>
  <c r="O401"/>
  <c r="S400"/>
  <c r="O400"/>
  <c r="S399"/>
  <c r="O399"/>
  <c r="S398"/>
  <c r="O398"/>
  <c r="S397"/>
  <c r="O397"/>
  <c r="S396"/>
  <c r="O396"/>
  <c r="S395"/>
  <c r="O395"/>
  <c r="S394"/>
  <c r="O394"/>
  <c r="S393"/>
  <c r="O393"/>
  <c r="S392"/>
  <c r="O392"/>
  <c r="S391"/>
  <c r="O391"/>
  <c r="S390"/>
  <c r="O390"/>
  <c r="S389"/>
  <c r="O389"/>
  <c r="S388"/>
  <c r="O388"/>
  <c r="S387"/>
  <c r="O387"/>
  <c r="S386"/>
  <c r="O386"/>
  <c r="S385"/>
  <c r="O385"/>
  <c r="S384"/>
  <c r="O384"/>
  <c r="S383"/>
  <c r="O383"/>
  <c r="S382"/>
  <c r="O382"/>
  <c r="S381"/>
  <c r="O381"/>
  <c r="S380"/>
  <c r="O380"/>
  <c r="S379"/>
  <c r="O379"/>
  <c r="S378"/>
  <c r="O378"/>
  <c r="S377"/>
  <c r="O377"/>
  <c r="S376"/>
  <c r="O376"/>
  <c r="S375"/>
  <c r="O375"/>
  <c r="S374"/>
  <c r="O374"/>
  <c r="S373"/>
  <c r="O373"/>
  <c r="S372"/>
  <c r="O372"/>
  <c r="S371"/>
  <c r="O371"/>
  <c r="S370"/>
  <c r="O370"/>
  <c r="S369"/>
  <c r="O369"/>
  <c r="S368"/>
  <c r="O368"/>
  <c r="S367"/>
  <c r="O367"/>
  <c r="S366"/>
  <c r="O366"/>
  <c r="S365"/>
  <c r="O365"/>
  <c r="S364"/>
  <c r="O364"/>
  <c r="S363"/>
  <c r="O363"/>
  <c r="S362"/>
  <c r="O362"/>
  <c r="S361"/>
  <c r="O361"/>
  <c r="S360"/>
  <c r="O360"/>
  <c r="S359"/>
  <c r="O359"/>
  <c r="S358"/>
  <c r="O358"/>
  <c r="S357"/>
  <c r="O357"/>
  <c r="S356"/>
  <c r="O356"/>
  <c r="S355"/>
  <c r="O355"/>
  <c r="S354"/>
  <c r="O354"/>
  <c r="S353"/>
  <c r="O353"/>
  <c r="S352"/>
  <c r="O352"/>
  <c r="S351"/>
  <c r="O351"/>
  <c r="S350"/>
  <c r="O350"/>
  <c r="S349"/>
  <c r="O349"/>
  <c r="S348"/>
  <c r="O348"/>
  <c r="S346"/>
  <c r="O346"/>
  <c r="S345"/>
  <c r="O345"/>
  <c r="S344"/>
  <c r="O344"/>
  <c r="S343"/>
  <c r="O343"/>
  <c r="S342"/>
  <c r="S341"/>
  <c r="O341"/>
  <c r="S340"/>
  <c r="S339"/>
  <c r="S338"/>
  <c r="O338"/>
  <c r="S337"/>
  <c r="O337"/>
  <c r="S336"/>
  <c r="O336"/>
  <c r="S335"/>
  <c r="S334"/>
  <c r="O334"/>
  <c r="S333"/>
  <c r="O333"/>
  <c r="S332"/>
  <c r="S331"/>
  <c r="S330"/>
  <c r="O330"/>
  <c r="S329"/>
  <c r="O329"/>
  <c r="S328"/>
  <c r="O328"/>
  <c r="S327"/>
  <c r="O327"/>
  <c r="S326"/>
  <c r="O326"/>
  <c r="S325"/>
  <c r="O325"/>
  <c r="S324"/>
  <c r="O324"/>
  <c r="S323"/>
  <c r="O323"/>
  <c r="S322"/>
  <c r="O322"/>
  <c r="S321"/>
  <c r="O321"/>
  <c r="S320"/>
  <c r="O320"/>
  <c r="S319"/>
  <c r="O319"/>
  <c r="S318"/>
  <c r="O318"/>
  <c r="S317"/>
  <c r="O317"/>
  <c r="S316"/>
  <c r="O316"/>
  <c r="S315"/>
  <c r="O315"/>
  <c r="S314"/>
  <c r="O314"/>
  <c r="S313"/>
  <c r="O313"/>
  <c r="S312"/>
  <c r="S311"/>
  <c r="O311"/>
  <c r="S310"/>
  <c r="O310"/>
  <c r="S309"/>
  <c r="O309"/>
  <c r="S308"/>
  <c r="O308"/>
  <c r="S307"/>
  <c r="O307"/>
  <c r="S306"/>
  <c r="O306"/>
  <c r="S305"/>
  <c r="O305"/>
  <c r="S304"/>
  <c r="O304"/>
  <c r="S303"/>
  <c r="O303"/>
  <c r="S302"/>
  <c r="O302"/>
  <c r="S301"/>
  <c r="O301"/>
  <c r="S300"/>
  <c r="O300"/>
  <c r="S297"/>
  <c r="O297"/>
  <c r="S296"/>
  <c r="O296"/>
  <c r="S294"/>
  <c r="O294"/>
  <c r="S293"/>
  <c r="O293"/>
  <c r="S292"/>
  <c r="O292"/>
  <c r="S291"/>
  <c r="S290"/>
  <c r="S289"/>
  <c r="S288"/>
  <c r="O288"/>
  <c r="S287"/>
  <c r="O287"/>
  <c r="S286"/>
  <c r="O286"/>
  <c r="S285"/>
  <c r="O285"/>
  <c r="S284"/>
  <c r="O284"/>
  <c r="S283"/>
  <c r="O283"/>
  <c r="S282"/>
  <c r="O282"/>
  <c r="S281"/>
  <c r="O281"/>
  <c r="S280"/>
  <c r="S279"/>
  <c r="S278"/>
  <c r="S277"/>
  <c r="O277"/>
  <c r="S276"/>
  <c r="O276"/>
  <c r="S275"/>
  <c r="O275"/>
  <c r="S274"/>
  <c r="O274"/>
  <c r="S273"/>
  <c r="O273"/>
  <c r="S271"/>
  <c r="O271"/>
  <c r="S270"/>
  <c r="O270"/>
  <c r="S269"/>
  <c r="O269"/>
  <c r="S268"/>
  <c r="O268"/>
  <c r="S267"/>
  <c r="O267"/>
  <c r="S266"/>
  <c r="O266"/>
  <c r="S265"/>
  <c r="O265"/>
  <c r="S264"/>
  <c r="O264"/>
  <c r="S263"/>
  <c r="S262"/>
  <c r="O262"/>
  <c r="S261"/>
  <c r="O261"/>
  <c r="S260"/>
  <c r="O260"/>
  <c r="S259"/>
  <c r="S258"/>
  <c r="S257"/>
  <c r="O257"/>
  <c r="S256"/>
  <c r="S255"/>
  <c r="O255"/>
  <c r="S254"/>
  <c r="S253"/>
  <c r="O253"/>
  <c r="S252"/>
  <c r="O252"/>
  <c r="S251"/>
  <c r="O251"/>
  <c r="S250"/>
  <c r="S249"/>
  <c r="S248"/>
  <c r="S247"/>
  <c r="O247"/>
  <c r="S246"/>
  <c r="O246"/>
  <c r="S245"/>
  <c r="O245"/>
  <c r="S244"/>
  <c r="O244"/>
  <c r="S243"/>
  <c r="O243"/>
  <c r="S242"/>
  <c r="O242"/>
  <c r="S241"/>
  <c r="O241"/>
  <c r="S240"/>
  <c r="O240"/>
  <c r="S239"/>
  <c r="O239"/>
  <c r="S238"/>
  <c r="O238"/>
  <c r="S237"/>
  <c r="O237"/>
  <c r="S236"/>
  <c r="O236"/>
  <c r="S235"/>
  <c r="O235"/>
  <c r="S234"/>
  <c r="O234"/>
  <c r="S231"/>
  <c r="O231"/>
  <c r="S230"/>
  <c r="O230"/>
  <c r="S229"/>
  <c r="O229"/>
  <c r="S228"/>
  <c r="O228"/>
  <c r="S227"/>
  <c r="O227"/>
  <c r="S226"/>
  <c r="O226"/>
  <c r="S225"/>
  <c r="O225"/>
  <c r="S224"/>
  <c r="O224"/>
  <c r="S223"/>
  <c r="O223"/>
  <c r="S222"/>
  <c r="O222"/>
  <c r="S221"/>
  <c r="O221"/>
  <c r="S220"/>
  <c r="O220"/>
  <c r="S219"/>
  <c r="O219"/>
  <c r="S218"/>
  <c r="O218"/>
  <c r="S217"/>
  <c r="O217"/>
  <c r="S216"/>
  <c r="O216"/>
  <c r="S215"/>
  <c r="O215"/>
  <c r="S214"/>
  <c r="O214"/>
  <c r="S213"/>
  <c r="O213"/>
  <c r="S212"/>
  <c r="O212"/>
  <c r="S211"/>
  <c r="O211"/>
  <c r="S210"/>
  <c r="O210"/>
  <c r="S209"/>
  <c r="O209"/>
  <c r="S208"/>
  <c r="O208"/>
  <c r="S207"/>
  <c r="O207"/>
  <c r="S206"/>
  <c r="O206"/>
  <c r="S205"/>
  <c r="O205"/>
  <c r="S204"/>
  <c r="O204"/>
  <c r="S203"/>
  <c r="O203"/>
  <c r="S202"/>
  <c r="O202"/>
  <c r="S201"/>
  <c r="O201"/>
  <c r="S200"/>
  <c r="O200"/>
  <c r="S199"/>
  <c r="O199"/>
  <c r="S198"/>
  <c r="O198"/>
  <c r="S197"/>
  <c r="O197"/>
  <c r="S196"/>
  <c r="O196"/>
  <c r="S195"/>
  <c r="O195"/>
  <c r="S194"/>
  <c r="O194"/>
  <c r="S193"/>
  <c r="O193"/>
  <c r="S192"/>
  <c r="O192"/>
  <c r="S191"/>
  <c r="O191"/>
  <c r="S190"/>
  <c r="O190"/>
  <c r="S189"/>
  <c r="O189"/>
  <c r="S188"/>
  <c r="O188"/>
  <c r="S187"/>
  <c r="O187"/>
  <c r="S186"/>
  <c r="O186"/>
  <c r="S185"/>
  <c r="O185"/>
  <c r="S184"/>
  <c r="O184"/>
  <c r="S183"/>
  <c r="O183"/>
  <c r="S182"/>
  <c r="O182"/>
  <c r="S181"/>
  <c r="O181"/>
  <c r="S180"/>
  <c r="O180"/>
  <c r="S179"/>
  <c r="O179"/>
  <c r="S178"/>
  <c r="O178"/>
  <c r="S177"/>
  <c r="O177"/>
  <c r="S176"/>
  <c r="O176"/>
  <c r="S175"/>
  <c r="O175"/>
  <c r="S174"/>
  <c r="O174"/>
  <c r="S173"/>
  <c r="O173"/>
  <c r="S172"/>
  <c r="O172"/>
  <c r="S171"/>
  <c r="O171"/>
  <c r="S170"/>
  <c r="O170"/>
  <c r="S169"/>
  <c r="O169"/>
  <c r="S168"/>
  <c r="O168"/>
  <c r="S167"/>
  <c r="O167"/>
  <c r="S166"/>
  <c r="O166"/>
  <c r="S165"/>
  <c r="O165"/>
  <c r="S164"/>
  <c r="O164"/>
  <c r="S162"/>
  <c r="O162"/>
  <c r="S161"/>
  <c r="O161"/>
  <c r="S160"/>
  <c r="O160"/>
  <c r="S159"/>
  <c r="O159"/>
  <c r="S158"/>
  <c r="S677" s="1"/>
  <c r="O158"/>
  <c r="S156"/>
  <c r="O156"/>
  <c r="S155"/>
  <c r="O155"/>
  <c r="S154"/>
  <c r="O154"/>
  <c r="S153"/>
  <c r="O153"/>
  <c r="S152"/>
  <c r="O152"/>
  <c r="S151"/>
  <c r="O151"/>
  <c r="S150"/>
  <c r="O150"/>
  <c r="S149"/>
  <c r="O149"/>
  <c r="S148"/>
  <c r="O148"/>
  <c r="S147"/>
  <c r="O147"/>
  <c r="S146"/>
  <c r="O146"/>
  <c r="S145"/>
  <c r="O145"/>
  <c r="S144"/>
  <c r="O144"/>
  <c r="S143"/>
  <c r="O143"/>
  <c r="S142"/>
  <c r="O142"/>
  <c r="S141"/>
  <c r="S676" s="1"/>
  <c r="O141"/>
  <c r="S139"/>
  <c r="O139"/>
  <c r="S138"/>
  <c r="O138"/>
  <c r="S137"/>
  <c r="O137"/>
  <c r="S136"/>
  <c r="O136"/>
  <c r="S135"/>
  <c r="O135"/>
  <c r="S134"/>
  <c r="O134"/>
  <c r="S133"/>
  <c r="O133"/>
  <c r="S132"/>
  <c r="O132"/>
  <c r="S131"/>
  <c r="O131"/>
  <c r="S130"/>
  <c r="O130"/>
  <c r="S129"/>
  <c r="O129"/>
  <c r="S128"/>
  <c r="O128"/>
  <c r="S127"/>
  <c r="O127"/>
  <c r="S126"/>
  <c r="O126"/>
  <c r="S125"/>
  <c r="O125"/>
  <c r="S124"/>
  <c r="O124"/>
  <c r="S123"/>
  <c r="O123"/>
  <c r="S122"/>
  <c r="O122"/>
  <c r="S121"/>
  <c r="O121"/>
  <c r="S120"/>
  <c r="O120"/>
  <c r="S119"/>
  <c r="O119"/>
  <c r="S118"/>
  <c r="O118"/>
  <c r="S117"/>
  <c r="O117"/>
  <c r="S116"/>
  <c r="O116"/>
  <c r="S115"/>
  <c r="O115"/>
  <c r="S114"/>
  <c r="O114"/>
  <c r="S113"/>
  <c r="O113"/>
  <c r="S112"/>
  <c r="O112"/>
  <c r="S111"/>
  <c r="O111"/>
  <c r="S110"/>
  <c r="O110"/>
  <c r="S109"/>
  <c r="O109"/>
  <c r="S108"/>
  <c r="S675" s="1"/>
  <c r="O108"/>
  <c r="O675" s="1"/>
  <c r="S106"/>
  <c r="O106"/>
  <c r="S105"/>
  <c r="O105"/>
  <c r="S104"/>
  <c r="O104"/>
  <c r="S103"/>
  <c r="O103"/>
  <c r="S102"/>
  <c r="O102"/>
  <c r="S101"/>
  <c r="O101"/>
  <c r="S100"/>
  <c r="O100"/>
  <c r="S99"/>
  <c r="O99"/>
  <c r="S98"/>
  <c r="O98"/>
  <c r="S97"/>
  <c r="O97"/>
  <c r="S96"/>
  <c r="O96"/>
  <c r="S95"/>
  <c r="O95"/>
  <c r="S94"/>
  <c r="O94"/>
  <c r="S93"/>
  <c r="O93"/>
  <c r="S92"/>
  <c r="O92"/>
  <c r="S91"/>
  <c r="O91"/>
  <c r="O674" s="1"/>
  <c r="S89"/>
  <c r="O89"/>
  <c r="S88"/>
  <c r="O88"/>
  <c r="S87"/>
  <c r="O87"/>
  <c r="S86"/>
  <c r="O86"/>
  <c r="S85"/>
  <c r="O85"/>
  <c r="S84"/>
  <c r="O84"/>
  <c r="S83"/>
  <c r="O83"/>
  <c r="S81"/>
  <c r="O81"/>
  <c r="S80"/>
  <c r="S672" s="1"/>
  <c r="O80"/>
  <c r="S79"/>
  <c r="O79"/>
  <c r="S77"/>
  <c r="O77"/>
  <c r="S71"/>
  <c r="O71"/>
  <c r="S70"/>
  <c r="O70"/>
  <c r="S69"/>
  <c r="O69"/>
  <c r="S68"/>
  <c r="O68"/>
  <c r="S67"/>
  <c r="O67"/>
  <c r="S66"/>
  <c r="O66"/>
  <c r="S65"/>
  <c r="O65"/>
  <c r="S64"/>
  <c r="O64"/>
  <c r="S63"/>
  <c r="O63"/>
  <c r="S62"/>
  <c r="O62"/>
  <c r="S61"/>
  <c r="O61"/>
  <c r="S60"/>
  <c r="O60"/>
  <c r="S59"/>
  <c r="O59"/>
  <c r="S58"/>
  <c r="O58"/>
  <c r="S57"/>
  <c r="O57"/>
  <c r="S56"/>
  <c r="O56"/>
  <c r="S55"/>
  <c r="O55"/>
  <c r="S54"/>
  <c r="O54"/>
  <c r="S53"/>
  <c r="O53"/>
  <c r="S52"/>
  <c r="O52"/>
  <c r="S51"/>
  <c r="O51"/>
  <c r="S50"/>
  <c r="O50"/>
  <c r="S49"/>
  <c r="O49"/>
  <c r="S48"/>
  <c r="O48"/>
  <c r="S47"/>
  <c r="O47"/>
  <c r="S46"/>
  <c r="O46"/>
  <c r="S45"/>
  <c r="O45"/>
  <c r="S44"/>
  <c r="O44"/>
  <c r="S43"/>
  <c r="O43"/>
  <c r="S42"/>
  <c r="O42"/>
  <c r="S41"/>
  <c r="O41"/>
  <c r="S40"/>
  <c r="O40"/>
  <c r="S39"/>
  <c r="O39"/>
  <c r="S38"/>
  <c r="O38"/>
  <c r="S37"/>
  <c r="O37"/>
  <c r="S36"/>
  <c r="O36"/>
  <c r="S35"/>
  <c r="O35"/>
  <c r="S34"/>
  <c r="O34"/>
  <c r="S33"/>
  <c r="O33"/>
  <c r="S32"/>
  <c r="O32"/>
  <c r="S31"/>
  <c r="O31"/>
  <c r="S30"/>
  <c r="O30"/>
  <c r="S29"/>
  <c r="O29"/>
  <c r="S28"/>
  <c r="O28"/>
  <c r="S27"/>
  <c r="O27"/>
  <c r="S26"/>
  <c r="O26"/>
  <c r="S25"/>
  <c r="O25"/>
  <c r="S24"/>
  <c r="O24"/>
  <c r="S23"/>
  <c r="O23"/>
  <c r="S22"/>
  <c r="O22"/>
  <c r="S21"/>
  <c r="O21"/>
  <c r="S20"/>
  <c r="O20"/>
  <c r="S19"/>
  <c r="O19"/>
  <c r="S18"/>
  <c r="O18"/>
  <c r="S17"/>
  <c r="O17"/>
  <c r="S16"/>
  <c r="O16"/>
  <c r="S15"/>
  <c r="O15"/>
  <c r="S14"/>
  <c r="O14"/>
  <c r="S13"/>
  <c r="O13"/>
  <c r="S12"/>
  <c r="O12"/>
  <c r="S11"/>
  <c r="O11"/>
  <c r="S10"/>
  <c r="O10"/>
  <c r="S9"/>
  <c r="O9"/>
  <c r="S8"/>
  <c r="O8"/>
  <c r="S7"/>
  <c r="O7"/>
  <c r="S6"/>
  <c r="O6"/>
  <c r="S5"/>
  <c r="O5"/>
  <c r="S272"/>
  <c r="O272"/>
  <c r="I272"/>
  <c r="O686"/>
  <c r="O676"/>
  <c r="S684"/>
  <c r="S686"/>
  <c r="S685"/>
  <c r="O683"/>
  <c r="O678"/>
  <c r="O670"/>
  <c r="O677"/>
  <c r="S670"/>
  <c r="S680"/>
  <c r="G13" i="17"/>
  <c r="G4"/>
  <c r="G121"/>
  <c r="I66" i="14"/>
  <c r="I65"/>
  <c r="D63"/>
  <c r="I63" s="1"/>
  <c r="D62"/>
  <c r="I62"/>
  <c r="I47"/>
  <c r="I14" s="1"/>
  <c r="I51"/>
  <c r="I58"/>
  <c r="I57"/>
  <c r="I56"/>
  <c r="D7" i="15"/>
  <c r="D20" s="1"/>
  <c r="C17"/>
  <c r="C16"/>
  <c r="C13"/>
  <c r="C12"/>
  <c r="I16" i="14"/>
  <c r="I43"/>
  <c r="I41"/>
  <c r="I40" s="1"/>
  <c r="I10" s="1"/>
  <c r="I38"/>
  <c r="I37"/>
  <c r="I8" s="1"/>
  <c r="I35"/>
  <c r="I34"/>
  <c r="I33"/>
  <c r="I32"/>
  <c r="D29"/>
  <c r="I29" s="1"/>
  <c r="D28"/>
  <c r="I28"/>
  <c r="D27"/>
  <c r="I27" s="1"/>
  <c r="D26"/>
  <c r="I26"/>
  <c r="D25"/>
  <c r="I25" s="1"/>
  <c r="I24"/>
  <c r="C16"/>
  <c r="I12"/>
  <c r="C12"/>
  <c r="C10"/>
  <c r="C8"/>
  <c r="C6"/>
  <c r="C4"/>
  <c r="F69" i="9"/>
  <c r="D61" i="14"/>
  <c r="I61" s="1"/>
  <c r="O218" i="10"/>
  <c r="AH217"/>
  <c r="AH216"/>
  <c r="AH215"/>
  <c r="AH214"/>
  <c r="AH213"/>
  <c r="AH212"/>
  <c r="AH211"/>
  <c r="AH210"/>
  <c r="AH209"/>
  <c r="AH208"/>
  <c r="AH207"/>
  <c r="AH206"/>
  <c r="AH205"/>
  <c r="AH204"/>
  <c r="AH203"/>
  <c r="AH202"/>
  <c r="AH201"/>
  <c r="AH200"/>
  <c r="AH199"/>
  <c r="AH198"/>
  <c r="AH197"/>
  <c r="AH196"/>
  <c r="AH195"/>
  <c r="AH194"/>
  <c r="AH193"/>
  <c r="AH192"/>
  <c r="AH191"/>
  <c r="AH190"/>
  <c r="AH189"/>
  <c r="AH188"/>
  <c r="AH187"/>
  <c r="AH186"/>
  <c r="AH185"/>
  <c r="AH184"/>
  <c r="AH183"/>
  <c r="AH182"/>
  <c r="AH181"/>
  <c r="AH180"/>
  <c r="AH179"/>
  <c r="AH148"/>
  <c r="AH147"/>
  <c r="AH146"/>
  <c r="AH145"/>
  <c r="AH144"/>
  <c r="AH143"/>
  <c r="AH142"/>
  <c r="AH141"/>
  <c r="AH140"/>
  <c r="AH139"/>
  <c r="AH138"/>
  <c r="AH137"/>
  <c r="AH136"/>
  <c r="AH135"/>
  <c r="AH134"/>
  <c r="AH133"/>
  <c r="AH132"/>
  <c r="AH131"/>
  <c r="AH130"/>
  <c r="AH129"/>
  <c r="AH128"/>
  <c r="AH127"/>
  <c r="AH126"/>
  <c r="AH125"/>
  <c r="AH124"/>
  <c r="AH123"/>
  <c r="AH122"/>
  <c r="AH121"/>
  <c r="AH120"/>
  <c r="AH119"/>
  <c r="AH118"/>
  <c r="AH117"/>
  <c r="AH116"/>
  <c r="AH115"/>
  <c r="AH114"/>
  <c r="AH112"/>
  <c r="AH111"/>
  <c r="AH110"/>
  <c r="AH109"/>
  <c r="AH108"/>
  <c r="AH107"/>
  <c r="AH106"/>
  <c r="AH105"/>
  <c r="AH104"/>
  <c r="AH103"/>
  <c r="AH102"/>
  <c r="AH99"/>
  <c r="AH98"/>
  <c r="AH97"/>
  <c r="AH96"/>
  <c r="AH95"/>
  <c r="AH94"/>
  <c r="AH93"/>
  <c r="AH92"/>
  <c r="AH91"/>
  <c r="AH90"/>
  <c r="AH89"/>
  <c r="AH88"/>
  <c r="AH87"/>
  <c r="AH86"/>
  <c r="AH85"/>
  <c r="AH84"/>
  <c r="AH83"/>
  <c r="AH82"/>
  <c r="AH81"/>
  <c r="AH80"/>
  <c r="AH79"/>
  <c r="AH78"/>
  <c r="AH77"/>
  <c r="AH76"/>
  <c r="AH75"/>
  <c r="AH74"/>
  <c r="AH73"/>
  <c r="AH72"/>
  <c r="AH71"/>
  <c r="AH70"/>
  <c r="AH69"/>
  <c r="AH68"/>
  <c r="AH60"/>
  <c r="AH59"/>
  <c r="AH58"/>
  <c r="AH57"/>
  <c r="AH56"/>
  <c r="AH55"/>
  <c r="AH54"/>
  <c r="AH53"/>
  <c r="AH52"/>
  <c r="AH51"/>
  <c r="AH50"/>
  <c r="AH49"/>
  <c r="AH48"/>
  <c r="AH47"/>
  <c r="AH46"/>
  <c r="AH45"/>
  <c r="AH44"/>
  <c r="AH43"/>
  <c r="AH41"/>
  <c r="AH40"/>
  <c r="AH39"/>
  <c r="AH38"/>
  <c r="AH37"/>
  <c r="AH36"/>
  <c r="AH35"/>
  <c r="AH34"/>
  <c r="AH33"/>
  <c r="AH32"/>
  <c r="AH31"/>
  <c r="AH30"/>
  <c r="AH29"/>
  <c r="AH28"/>
  <c r="AH27"/>
  <c r="AH26"/>
  <c r="AH25"/>
  <c r="AH24"/>
  <c r="AH23"/>
  <c r="AH22"/>
  <c r="AH21"/>
  <c r="AH20"/>
  <c r="AH19"/>
  <c r="AH18"/>
  <c r="AH17"/>
  <c r="AH16"/>
  <c r="AH15"/>
  <c r="AH13"/>
  <c r="AH12"/>
  <c r="AH11"/>
  <c r="AH10"/>
  <c r="AH9"/>
  <c r="AH8"/>
  <c r="AH7"/>
  <c r="AH6"/>
  <c r="AH5"/>
  <c r="F218"/>
  <c r="B228"/>
  <c r="AF218"/>
  <c r="M218"/>
  <c r="L218"/>
  <c r="K218"/>
  <c r="N218"/>
  <c r="J218"/>
  <c r="Q218"/>
  <c r="I218"/>
  <c r="H218"/>
  <c r="E218"/>
  <c r="D218"/>
  <c r="AC216"/>
  <c r="AC215"/>
  <c r="AC213"/>
  <c r="AC212"/>
  <c r="AC211"/>
  <c r="AC207"/>
  <c r="AC205"/>
  <c r="AC198"/>
  <c r="AC194"/>
  <c r="AC193"/>
  <c r="AC192"/>
  <c r="AC191"/>
  <c r="AC133"/>
  <c r="AC131"/>
  <c r="AC130"/>
  <c r="AC129"/>
  <c r="AC128"/>
  <c r="AC126"/>
  <c r="AC125"/>
  <c r="AC124"/>
  <c r="AC123"/>
  <c r="AC122"/>
  <c r="AC121"/>
  <c r="AC120"/>
  <c r="AC119"/>
  <c r="AC118"/>
  <c r="AC117"/>
  <c r="AC116"/>
  <c r="AC115"/>
  <c r="AC114"/>
  <c r="AC111"/>
  <c r="AC110"/>
  <c r="AC109"/>
  <c r="AC108"/>
  <c r="AC105"/>
  <c r="AC97"/>
  <c r="AC96"/>
  <c r="AC95"/>
  <c r="AC94"/>
  <c r="AC93"/>
  <c r="AC92"/>
  <c r="AC91"/>
  <c r="AC87"/>
  <c r="AC86"/>
  <c r="AC85"/>
  <c r="AE85"/>
  <c r="AC84"/>
  <c r="AE84"/>
  <c r="AC80"/>
  <c r="AC79"/>
  <c r="AC78"/>
  <c r="AC77"/>
  <c r="AC76"/>
  <c r="AC75"/>
  <c r="AC74"/>
  <c r="AC73"/>
  <c r="AC72"/>
  <c r="AC71"/>
  <c r="AC70"/>
  <c r="AC69"/>
  <c r="AC60"/>
  <c r="AC58"/>
  <c r="AC57"/>
  <c r="AC56"/>
  <c r="AC55"/>
  <c r="AE55"/>
  <c r="AC54"/>
  <c r="AE54"/>
  <c r="AC53"/>
  <c r="AC52"/>
  <c r="AC51"/>
  <c r="AC50"/>
  <c r="AC49"/>
  <c r="AC48"/>
  <c r="AC47"/>
  <c r="AC46"/>
  <c r="AC45"/>
  <c r="AC44"/>
  <c r="AC43"/>
  <c r="AC41"/>
  <c r="AC40"/>
  <c r="AC39"/>
  <c r="AC38"/>
  <c r="AC37"/>
  <c r="AC36"/>
  <c r="AC33"/>
  <c r="AC32"/>
  <c r="AC31"/>
  <c r="AC10"/>
  <c r="AC9"/>
  <c r="AC8"/>
  <c r="AC7"/>
  <c r="AC6"/>
  <c r="AC218" s="1"/>
  <c r="AC223" s="1"/>
  <c r="AE6"/>
  <c r="AC5"/>
  <c r="AE5"/>
  <c r="AE218" s="1"/>
  <c r="AE222" s="1"/>
  <c r="B225"/>
  <c r="B226" s="1"/>
  <c r="B227" s="1"/>
  <c r="V5" i="13"/>
  <c r="V6"/>
  <c r="V7"/>
  <c r="V8"/>
  <c r="V9"/>
  <c r="V10"/>
  <c r="V11"/>
  <c r="V13"/>
  <c r="V14"/>
  <c r="V15"/>
  <c r="V16"/>
  <c r="V17"/>
  <c r="V18"/>
  <c r="V19"/>
  <c r="V20"/>
  <c r="V21"/>
  <c r="T5"/>
  <c r="T6"/>
  <c r="T7"/>
  <c r="T8"/>
  <c r="T9"/>
  <c r="T10"/>
  <c r="T11"/>
  <c r="T13"/>
  <c r="T14"/>
  <c r="T15"/>
  <c r="T16"/>
  <c r="T17"/>
  <c r="T18"/>
  <c r="T19"/>
  <c r="T20"/>
  <c r="T21"/>
  <c r="R5"/>
  <c r="R6"/>
  <c r="R7"/>
  <c r="R8"/>
  <c r="R9"/>
  <c r="R10"/>
  <c r="R11"/>
  <c r="R13"/>
  <c r="R14"/>
  <c r="R15"/>
  <c r="R16"/>
  <c r="R17"/>
  <c r="R18"/>
  <c r="R19"/>
  <c r="R20"/>
  <c r="R21"/>
  <c r="P5"/>
  <c r="P6"/>
  <c r="P7"/>
  <c r="P8"/>
  <c r="P9"/>
  <c r="P10"/>
  <c r="P11"/>
  <c r="P13"/>
  <c r="P14"/>
  <c r="P15"/>
  <c r="P16"/>
  <c r="P17"/>
  <c r="P18"/>
  <c r="P19"/>
  <c r="P20"/>
  <c r="P21"/>
  <c r="V4"/>
  <c r="T4"/>
  <c r="R4"/>
  <c r="P4"/>
  <c r="P22" s="1"/>
  <c r="N21"/>
  <c r="L21"/>
  <c r="J21"/>
  <c r="N20"/>
  <c r="L20"/>
  <c r="J20"/>
  <c r="N19"/>
  <c r="L19"/>
  <c r="J19"/>
  <c r="N18"/>
  <c r="L18"/>
  <c r="J18"/>
  <c r="N17"/>
  <c r="L17"/>
  <c r="J17"/>
  <c r="N16"/>
  <c r="L16"/>
  <c r="J16"/>
  <c r="N15"/>
  <c r="L15"/>
  <c r="J15"/>
  <c r="N14"/>
  <c r="L14"/>
  <c r="J14"/>
  <c r="N13"/>
  <c r="L13"/>
  <c r="J13"/>
  <c r="N11"/>
  <c r="L11"/>
  <c r="J11"/>
  <c r="N10"/>
  <c r="L10"/>
  <c r="J10"/>
  <c r="N9"/>
  <c r="L9"/>
  <c r="J9"/>
  <c r="N8"/>
  <c r="L8"/>
  <c r="J8"/>
  <c r="N7"/>
  <c r="L7"/>
  <c r="J7"/>
  <c r="N6"/>
  <c r="L6"/>
  <c r="J6"/>
  <c r="N5"/>
  <c r="L5"/>
  <c r="J5"/>
  <c r="N4"/>
  <c r="L4"/>
  <c r="J4"/>
  <c r="D22"/>
  <c r="D18" i="5"/>
  <c r="H30"/>
  <c r="H28"/>
  <c r="H35" s="1"/>
  <c r="I93" i="11"/>
  <c r="D92"/>
  <c r="I92" s="1"/>
  <c r="I91" s="1"/>
  <c r="I26" s="1"/>
  <c r="I89"/>
  <c r="D88"/>
  <c r="I88"/>
  <c r="D81"/>
  <c r="I81" s="1"/>
  <c r="I80"/>
  <c r="D79"/>
  <c r="I79"/>
  <c r="I76"/>
  <c r="I75"/>
  <c r="I74"/>
  <c r="I73"/>
  <c r="I72"/>
  <c r="I71"/>
  <c r="D70"/>
  <c r="I70"/>
  <c r="I67"/>
  <c r="I66"/>
  <c r="I65"/>
  <c r="I64"/>
  <c r="I63"/>
  <c r="I62"/>
  <c r="I61"/>
  <c r="D60"/>
  <c r="I60" s="1"/>
  <c r="I57"/>
  <c r="I56"/>
  <c r="I55"/>
  <c r="I54"/>
  <c r="I53"/>
  <c r="D52"/>
  <c r="I52" s="1"/>
  <c r="I51" s="1"/>
  <c r="D49"/>
  <c r="I49" s="1"/>
  <c r="I48"/>
  <c r="D47"/>
  <c r="I47" s="1"/>
  <c r="I46"/>
  <c r="I45"/>
  <c r="D44"/>
  <c r="I44" s="1"/>
  <c r="I41"/>
  <c r="D40"/>
  <c r="I40" s="1"/>
  <c r="I39" s="1"/>
  <c r="I37"/>
  <c r="I36"/>
  <c r="I33"/>
  <c r="D32"/>
  <c r="I32" s="1"/>
  <c r="C26"/>
  <c r="C24"/>
  <c r="C22"/>
  <c r="C20"/>
  <c r="C18"/>
  <c r="C16"/>
  <c r="C14"/>
  <c r="C12"/>
  <c r="C10"/>
  <c r="I35"/>
  <c r="I12" s="1"/>
  <c r="I420" i="3"/>
  <c r="G488"/>
  <c r="H488"/>
  <c r="G487"/>
  <c r="H487" s="1"/>
  <c r="G483"/>
  <c r="H483" s="1"/>
  <c r="G482"/>
  <c r="H482" s="1"/>
  <c r="G481"/>
  <c r="H481"/>
  <c r="G480"/>
  <c r="H480" s="1"/>
  <c r="G479"/>
  <c r="H479" s="1"/>
  <c r="G478"/>
  <c r="H478" s="1"/>
  <c r="G477"/>
  <c r="H477"/>
  <c r="G476"/>
  <c r="H476" s="1"/>
  <c r="G475"/>
  <c r="H475" s="1"/>
  <c r="G474"/>
  <c r="H474" s="1"/>
  <c r="G472"/>
  <c r="H472" s="1"/>
  <c r="G471"/>
  <c r="H471" s="1"/>
  <c r="G470"/>
  <c r="H470" s="1"/>
  <c r="G466"/>
  <c r="H466" s="1"/>
  <c r="G465"/>
  <c r="H465"/>
  <c r="G464"/>
  <c r="H464" s="1"/>
  <c r="G463"/>
  <c r="H463" s="1"/>
  <c r="G461"/>
  <c r="H461" s="1"/>
  <c r="G460"/>
  <c r="H460" s="1"/>
  <c r="G459"/>
  <c r="H459" s="1"/>
  <c r="G455"/>
  <c r="H455"/>
  <c r="G454"/>
  <c r="H454" s="1"/>
  <c r="G453"/>
  <c r="H453"/>
  <c r="G451"/>
  <c r="H451" s="1"/>
  <c r="G450"/>
  <c r="H450" s="1"/>
  <c r="G449"/>
  <c r="H449" s="1"/>
  <c r="G448"/>
  <c r="H448"/>
  <c r="G447"/>
  <c r="H447" s="1"/>
  <c r="G446"/>
  <c r="H446"/>
  <c r="G439"/>
  <c r="H439" s="1"/>
  <c r="G438"/>
  <c r="H438"/>
  <c r="G437"/>
  <c r="H437" s="1"/>
  <c r="G436"/>
  <c r="H436" s="1"/>
  <c r="G435"/>
  <c r="H435" s="1"/>
  <c r="G434"/>
  <c r="H434"/>
  <c r="G432"/>
  <c r="H432" s="1"/>
  <c r="G431"/>
  <c r="H431" s="1"/>
  <c r="G430"/>
  <c r="H430" s="1"/>
  <c r="G429"/>
  <c r="H429" s="1"/>
  <c r="G428"/>
  <c r="H428" s="1"/>
  <c r="G427"/>
  <c r="H427"/>
  <c r="G426"/>
  <c r="H426" s="1"/>
  <c r="G425"/>
  <c r="H425"/>
  <c r="G419"/>
  <c r="J419" s="1"/>
  <c r="J205" s="1"/>
  <c r="F417"/>
  <c r="G417" s="1"/>
  <c r="J417" s="1"/>
  <c r="J203" s="1"/>
  <c r="G413"/>
  <c r="J413"/>
  <c r="J195" s="1"/>
  <c r="G411"/>
  <c r="J411"/>
  <c r="G410"/>
  <c r="J410" s="1"/>
  <c r="G409"/>
  <c r="J409"/>
  <c r="G408"/>
  <c r="J408" s="1"/>
  <c r="G407"/>
  <c r="J407"/>
  <c r="G406"/>
  <c r="J406" s="1"/>
  <c r="J192" s="1"/>
  <c r="G404"/>
  <c r="J404" s="1"/>
  <c r="J190" s="1"/>
  <c r="F402"/>
  <c r="G402" s="1"/>
  <c r="J402" s="1"/>
  <c r="J188" s="1"/>
  <c r="F401"/>
  <c r="G401" s="1"/>
  <c r="J401" s="1"/>
  <c r="J186" s="1"/>
  <c r="F400"/>
  <c r="G400" s="1"/>
  <c r="J400" s="1"/>
  <c r="J187" s="1"/>
  <c r="F399"/>
  <c r="G399" s="1"/>
  <c r="J399" s="1"/>
  <c r="J185" s="1"/>
  <c r="G398"/>
  <c r="J398" s="1"/>
  <c r="J184" s="1"/>
  <c r="G394"/>
  <c r="J394" s="1"/>
  <c r="G393"/>
  <c r="J393" s="1"/>
  <c r="G392"/>
  <c r="J392"/>
  <c r="G391"/>
  <c r="J391" s="1"/>
  <c r="G390"/>
  <c r="J390"/>
  <c r="G389"/>
  <c r="J389" s="1"/>
  <c r="G388"/>
  <c r="J388" s="1"/>
  <c r="G387"/>
  <c r="J387" s="1"/>
  <c r="G386"/>
  <c r="J386" s="1"/>
  <c r="G385"/>
  <c r="J385" s="1"/>
  <c r="G384"/>
  <c r="J384"/>
  <c r="G383"/>
  <c r="J383" s="1"/>
  <c r="G382"/>
  <c r="J382"/>
  <c r="G381"/>
  <c r="J381" s="1"/>
  <c r="J157" s="1"/>
  <c r="G379"/>
  <c r="J379" s="1"/>
  <c r="F377"/>
  <c r="G377" s="1"/>
  <c r="J377" s="1"/>
  <c r="F376"/>
  <c r="G376" s="1"/>
  <c r="J376" s="1"/>
  <c r="F375"/>
  <c r="G375" s="1"/>
  <c r="J375" s="1"/>
  <c r="G374"/>
  <c r="J374"/>
  <c r="J167" s="1"/>
  <c r="G370"/>
  <c r="J370" s="1"/>
  <c r="G369"/>
  <c r="J369"/>
  <c r="G368"/>
  <c r="J368" s="1"/>
  <c r="G367"/>
  <c r="J367" s="1"/>
  <c r="G366"/>
  <c r="J366" s="1"/>
  <c r="G365"/>
  <c r="J365" s="1"/>
  <c r="G364"/>
  <c r="J364" s="1"/>
  <c r="G363"/>
  <c r="J363"/>
  <c r="G362"/>
  <c r="J362" s="1"/>
  <c r="G361"/>
  <c r="J361"/>
  <c r="G360"/>
  <c r="J360" s="1"/>
  <c r="G359"/>
  <c r="J359" s="1"/>
  <c r="J123" s="1"/>
  <c r="G358"/>
  <c r="J358" s="1"/>
  <c r="F356"/>
  <c r="G356" s="1"/>
  <c r="J356" s="1"/>
  <c r="J121" s="1"/>
  <c r="F355"/>
  <c r="G355"/>
  <c r="J355" s="1"/>
  <c r="J119" s="1"/>
  <c r="F354"/>
  <c r="G354"/>
  <c r="J354"/>
  <c r="J120" s="1"/>
  <c r="F353"/>
  <c r="G353" s="1"/>
  <c r="J353" s="1"/>
  <c r="J118" s="1"/>
  <c r="G352"/>
  <c r="J352" s="1"/>
  <c r="J117" s="1"/>
  <c r="G348"/>
  <c r="J348" s="1"/>
  <c r="J109" s="1"/>
  <c r="G346"/>
  <c r="J346" s="1"/>
  <c r="G345"/>
  <c r="J345" s="1"/>
  <c r="G344"/>
  <c r="J344" s="1"/>
  <c r="G343"/>
  <c r="J343" s="1"/>
  <c r="G342"/>
  <c r="J342" s="1"/>
  <c r="G341"/>
  <c r="J341"/>
  <c r="G340"/>
  <c r="J340" s="1"/>
  <c r="F338"/>
  <c r="G338"/>
  <c r="J338"/>
  <c r="J104" s="1"/>
  <c r="F337"/>
  <c r="G337" s="1"/>
  <c r="J337" s="1"/>
  <c r="J102" s="1"/>
  <c r="F336"/>
  <c r="G336" s="1"/>
  <c r="J336" s="1"/>
  <c r="J103" s="1"/>
  <c r="F335"/>
  <c r="G335"/>
  <c r="J335" s="1"/>
  <c r="J101" s="1"/>
  <c r="G334"/>
  <c r="J334"/>
  <c r="J100"/>
  <c r="G330"/>
  <c r="J330" s="1"/>
  <c r="G329"/>
  <c r="J329"/>
  <c r="G327"/>
  <c r="J327" s="1"/>
  <c r="G326"/>
  <c r="J326" s="1"/>
  <c r="G325"/>
  <c r="J325" s="1"/>
  <c r="G324"/>
  <c r="J324" s="1"/>
  <c r="G323"/>
  <c r="J323" s="1"/>
  <c r="G322"/>
  <c r="J322"/>
  <c r="G321"/>
  <c r="J321" s="1"/>
  <c r="G320"/>
  <c r="J320"/>
  <c r="G319"/>
  <c r="J319" s="1"/>
  <c r="G318"/>
  <c r="J318" s="1"/>
  <c r="G317"/>
  <c r="J317" s="1"/>
  <c r="G316"/>
  <c r="J316" s="1"/>
  <c r="G315"/>
  <c r="J315" s="1"/>
  <c r="G313"/>
  <c r="J313"/>
  <c r="J87" s="1"/>
  <c r="F311"/>
  <c r="G311" s="1"/>
  <c r="J311" s="1"/>
  <c r="J85" s="1"/>
  <c r="F310"/>
  <c r="G310" s="1"/>
  <c r="J310" s="1"/>
  <c r="J83" s="1"/>
  <c r="F309"/>
  <c r="G309" s="1"/>
  <c r="J309" s="1"/>
  <c r="J84" s="1"/>
  <c r="F308"/>
  <c r="G308"/>
  <c r="J308" s="1"/>
  <c r="J82" s="1"/>
  <c r="G307"/>
  <c r="J307" s="1"/>
  <c r="J81" s="1"/>
  <c r="G303"/>
  <c r="J303"/>
  <c r="G302"/>
  <c r="J302" s="1"/>
  <c r="G301"/>
  <c r="J301"/>
  <c r="G300"/>
  <c r="J300" s="1"/>
  <c r="G299"/>
  <c r="J299" s="1"/>
  <c r="G298"/>
  <c r="J298" s="1"/>
  <c r="G297"/>
  <c r="J297" s="1"/>
  <c r="G295"/>
  <c r="J295" s="1"/>
  <c r="J69" s="1"/>
  <c r="G294"/>
  <c r="J294"/>
  <c r="J68" s="1"/>
  <c r="F292"/>
  <c r="G292" s="1"/>
  <c r="J292" s="1"/>
  <c r="J66" s="1"/>
  <c r="F291"/>
  <c r="G291" s="1"/>
  <c r="J291" s="1"/>
  <c r="J64" s="1"/>
  <c r="I12" s="1"/>
  <c r="F290"/>
  <c r="G290" s="1"/>
  <c r="J290" s="1"/>
  <c r="J65" s="1"/>
  <c r="I13" s="1"/>
  <c r="F289"/>
  <c r="G289" s="1"/>
  <c r="J289" s="1"/>
  <c r="F288"/>
  <c r="G288"/>
  <c r="J288" s="1"/>
  <c r="J63" s="1"/>
  <c r="F287"/>
  <c r="G287" s="1"/>
  <c r="J287" s="1"/>
  <c r="J62" s="1"/>
  <c r="F286"/>
  <c r="G286" s="1"/>
  <c r="J286" s="1"/>
  <c r="J61" s="1"/>
  <c r="G285"/>
  <c r="J285"/>
  <c r="J60" s="1"/>
  <c r="I7" s="1"/>
  <c r="J280"/>
  <c r="J277"/>
  <c r="J274"/>
  <c r="J271"/>
  <c r="J268"/>
  <c r="G266"/>
  <c r="J266"/>
  <c r="G265"/>
  <c r="J265" s="1"/>
  <c r="G264"/>
  <c r="J264"/>
  <c r="G263"/>
  <c r="J263" s="1"/>
  <c r="G262"/>
  <c r="J262" s="1"/>
  <c r="G261"/>
  <c r="J261" s="1"/>
  <c r="G260"/>
  <c r="J260" s="1"/>
  <c r="G259"/>
  <c r="J259" s="1"/>
  <c r="G258"/>
  <c r="J258"/>
  <c r="G257"/>
  <c r="J257" s="1"/>
  <c r="G255"/>
  <c r="J255"/>
  <c r="G254"/>
  <c r="J254" s="1"/>
  <c r="G253"/>
  <c r="J253" s="1"/>
  <c r="G252"/>
  <c r="J252" s="1"/>
  <c r="G251"/>
  <c r="J251" s="1"/>
  <c r="G250"/>
  <c r="J250" s="1"/>
  <c r="G249"/>
  <c r="J249"/>
  <c r="G248"/>
  <c r="J248" s="1"/>
  <c r="G247"/>
  <c r="J247"/>
  <c r="G246"/>
  <c r="J246" s="1"/>
  <c r="G245"/>
  <c r="J245" s="1"/>
  <c r="G244"/>
  <c r="J244" s="1"/>
  <c r="G243"/>
  <c r="J243" s="1"/>
  <c r="G242"/>
  <c r="J242" s="1"/>
  <c r="G241"/>
  <c r="J241"/>
  <c r="G240"/>
  <c r="J240" s="1"/>
  <c r="G239"/>
  <c r="J239"/>
  <c r="G238"/>
  <c r="J238" s="1"/>
  <c r="G237"/>
  <c r="J237" s="1"/>
  <c r="G236"/>
  <c r="J236" s="1"/>
  <c r="G235"/>
  <c r="J235" s="1"/>
  <c r="G234"/>
  <c r="J234" s="1"/>
  <c r="G233"/>
  <c r="J233"/>
  <c r="G232"/>
  <c r="J232" s="1"/>
  <c r="G231"/>
  <c r="J231"/>
  <c r="G230"/>
  <c r="J230" s="1"/>
  <c r="G229"/>
  <c r="J229" s="1"/>
  <c r="J50" s="1"/>
  <c r="G228"/>
  <c r="J228" s="1"/>
  <c r="F226"/>
  <c r="F225"/>
  <c r="G224"/>
  <c r="J224" s="1"/>
  <c r="J46" s="1"/>
  <c r="F222"/>
  <c r="G222" s="1"/>
  <c r="J222" s="1"/>
  <c r="J44" s="1"/>
  <c r="F221"/>
  <c r="G221" s="1"/>
  <c r="J221" s="1"/>
  <c r="J43" s="1"/>
  <c r="F220"/>
  <c r="F219"/>
  <c r="F218"/>
  <c r="G218" s="1"/>
  <c r="J218" s="1"/>
  <c r="J41" s="1"/>
  <c r="F217"/>
  <c r="G217" s="1"/>
  <c r="J217" s="1"/>
  <c r="J40" s="1"/>
  <c r="G216"/>
  <c r="J216" s="1"/>
  <c r="J39" s="1"/>
  <c r="I203"/>
  <c r="J198"/>
  <c r="J196"/>
  <c r="J193"/>
  <c r="I190"/>
  <c r="I188"/>
  <c r="I187"/>
  <c r="I186"/>
  <c r="I185"/>
  <c r="I184"/>
  <c r="J179"/>
  <c r="J177"/>
  <c r="J175"/>
  <c r="I172"/>
  <c r="I170"/>
  <c r="I169"/>
  <c r="I168"/>
  <c r="I167"/>
  <c r="J162"/>
  <c r="J160"/>
  <c r="J158"/>
  <c r="I155"/>
  <c r="I153"/>
  <c r="I152"/>
  <c r="I151"/>
  <c r="I150"/>
  <c r="J145"/>
  <c r="J143"/>
  <c r="J141"/>
  <c r="I138"/>
  <c r="I136"/>
  <c r="I135"/>
  <c r="I134"/>
  <c r="I133"/>
  <c r="J128"/>
  <c r="J126"/>
  <c r="J124"/>
  <c r="I121"/>
  <c r="I120"/>
  <c r="I119"/>
  <c r="I118"/>
  <c r="I117"/>
  <c r="J112"/>
  <c r="J110"/>
  <c r="J107"/>
  <c r="I104"/>
  <c r="I103"/>
  <c r="I102"/>
  <c r="H10" s="1"/>
  <c r="I101"/>
  <c r="I100"/>
  <c r="J95"/>
  <c r="J93"/>
  <c r="J90"/>
  <c r="I87"/>
  <c r="I85"/>
  <c r="I84"/>
  <c r="I83"/>
  <c r="I82"/>
  <c r="I81"/>
  <c r="H8" s="1"/>
  <c r="J76"/>
  <c r="J74"/>
  <c r="J72"/>
  <c r="I69"/>
  <c r="H20" s="1"/>
  <c r="I68"/>
  <c r="I66"/>
  <c r="I65"/>
  <c r="H13" s="1"/>
  <c r="I64"/>
  <c r="H12" s="1"/>
  <c r="I63"/>
  <c r="I62"/>
  <c r="I61"/>
  <c r="I60"/>
  <c r="J55"/>
  <c r="J51"/>
  <c r="I48"/>
  <c r="H19" s="1"/>
  <c r="I47"/>
  <c r="H18"/>
  <c r="I46"/>
  <c r="H17" s="1"/>
  <c r="I44"/>
  <c r="H15" s="1"/>
  <c r="I43"/>
  <c r="I42"/>
  <c r="I41"/>
  <c r="I40"/>
  <c r="I39"/>
  <c r="H27"/>
  <c r="H23"/>
  <c r="G219"/>
  <c r="J219" s="1"/>
  <c r="J42" s="1"/>
  <c r="G220"/>
  <c r="J220" s="1"/>
  <c r="G225"/>
  <c r="J225" s="1"/>
  <c r="J47" s="1"/>
  <c r="G226"/>
  <c r="J226" s="1"/>
  <c r="J48" s="1"/>
  <c r="H489"/>
  <c r="J150"/>
  <c r="J169"/>
  <c r="J707" i="4"/>
  <c r="G707"/>
  <c r="K707" s="1"/>
  <c r="K706"/>
  <c r="K716" s="1"/>
  <c r="G706"/>
  <c r="J706" s="1"/>
  <c r="J705"/>
  <c r="G705"/>
  <c r="K705" s="1"/>
  <c r="K717" s="1"/>
  <c r="K704"/>
  <c r="G704"/>
  <c r="J704" s="1"/>
  <c r="J703"/>
  <c r="G703"/>
  <c r="J702"/>
  <c r="G702"/>
  <c r="J701"/>
  <c r="G701"/>
  <c r="J700"/>
  <c r="G700"/>
  <c r="J699"/>
  <c r="E699"/>
  <c r="G699"/>
  <c r="J698"/>
  <c r="G698"/>
  <c r="K698" s="1"/>
  <c r="J697"/>
  <c r="G697"/>
  <c r="K697" s="1"/>
  <c r="K694"/>
  <c r="F694"/>
  <c r="G694"/>
  <c r="J694" s="1"/>
  <c r="K693"/>
  <c r="G693"/>
  <c r="J693" s="1"/>
  <c r="K692"/>
  <c r="K745"/>
  <c r="F692"/>
  <c r="G692" s="1"/>
  <c r="J692" s="1"/>
  <c r="D745" s="1"/>
  <c r="K691"/>
  <c r="G691"/>
  <c r="J691" s="1"/>
  <c r="K690"/>
  <c r="F690"/>
  <c r="E690"/>
  <c r="K689"/>
  <c r="E689"/>
  <c r="G689"/>
  <c r="J689" s="1"/>
  <c r="K688"/>
  <c r="G688"/>
  <c r="J688"/>
  <c r="K687"/>
  <c r="G687"/>
  <c r="J687"/>
  <c r="J686"/>
  <c r="G686"/>
  <c r="J685"/>
  <c r="G685"/>
  <c r="J684"/>
  <c r="G684"/>
  <c r="J683"/>
  <c r="G683"/>
  <c r="K683" s="1"/>
  <c r="J682"/>
  <c r="G682"/>
  <c r="J681"/>
  <c r="J680"/>
  <c r="J679"/>
  <c r="J678"/>
  <c r="J677"/>
  <c r="J676"/>
  <c r="K675"/>
  <c r="K674"/>
  <c r="J673"/>
  <c r="J672"/>
  <c r="J671"/>
  <c r="J670"/>
  <c r="E670"/>
  <c r="J669"/>
  <c r="E669"/>
  <c r="J668"/>
  <c r="J667"/>
  <c r="K666"/>
  <c r="J665"/>
  <c r="J664"/>
  <c r="K663"/>
  <c r="J662"/>
  <c r="K661"/>
  <c r="K660"/>
  <c r="K659"/>
  <c r="K658"/>
  <c r="J657"/>
  <c r="J656"/>
  <c r="J655"/>
  <c r="J654"/>
  <c r="J653"/>
  <c r="J652"/>
  <c r="J651"/>
  <c r="J650"/>
  <c r="J649"/>
  <c r="J648"/>
  <c r="J647"/>
  <c r="J646"/>
  <c r="J645"/>
  <c r="J644"/>
  <c r="J643"/>
  <c r="F643"/>
  <c r="F669"/>
  <c r="K636"/>
  <c r="F636"/>
  <c r="G636"/>
  <c r="J636"/>
  <c r="K635"/>
  <c r="G635"/>
  <c r="J635"/>
  <c r="K634"/>
  <c r="K742" s="1"/>
  <c r="F634"/>
  <c r="G634"/>
  <c r="J634"/>
  <c r="D742" s="1"/>
  <c r="K633"/>
  <c r="G633"/>
  <c r="J633" s="1"/>
  <c r="K632"/>
  <c r="F632"/>
  <c r="E632"/>
  <c r="K631"/>
  <c r="E631"/>
  <c r="G631" s="1"/>
  <c r="J631" s="1"/>
  <c r="K630"/>
  <c r="G630"/>
  <c r="J630" s="1"/>
  <c r="K629"/>
  <c r="K741" s="1"/>
  <c r="G629"/>
  <c r="J629" s="1"/>
  <c r="J628"/>
  <c r="G628"/>
  <c r="J627"/>
  <c r="G627"/>
  <c r="J626"/>
  <c r="G626"/>
  <c r="J625"/>
  <c r="G625"/>
  <c r="J624"/>
  <c r="G624"/>
  <c r="J623"/>
  <c r="J622"/>
  <c r="J621"/>
  <c r="J620"/>
  <c r="J619"/>
  <c r="J618"/>
  <c r="K617"/>
  <c r="K616"/>
  <c r="J615"/>
  <c r="J614"/>
  <c r="J613"/>
  <c r="J612"/>
  <c r="E612"/>
  <c r="J611"/>
  <c r="E611"/>
  <c r="K610"/>
  <c r="J609"/>
  <c r="K608"/>
  <c r="J607"/>
  <c r="K606"/>
  <c r="J605"/>
  <c r="K604"/>
  <c r="J603"/>
  <c r="K602"/>
  <c r="J601"/>
  <c r="K600"/>
  <c r="J599"/>
  <c r="J598"/>
  <c r="K597"/>
  <c r="K596"/>
  <c r="K595"/>
  <c r="K594"/>
  <c r="K593"/>
  <c r="J592"/>
  <c r="J591"/>
  <c r="J590"/>
  <c r="J589"/>
  <c r="K588"/>
  <c r="K587"/>
  <c r="K586"/>
  <c r="J585"/>
  <c r="K584"/>
  <c r="J583"/>
  <c r="K582"/>
  <c r="J581"/>
  <c r="K580"/>
  <c r="J579"/>
  <c r="J578"/>
  <c r="J577"/>
  <c r="K576"/>
  <c r="J575"/>
  <c r="K574"/>
  <c r="J573"/>
  <c r="J572"/>
  <c r="J571"/>
  <c r="K570"/>
  <c r="J569"/>
  <c r="K568"/>
  <c r="J567"/>
  <c r="K566"/>
  <c r="J565"/>
  <c r="K564"/>
  <c r="J563"/>
  <c r="K562"/>
  <c r="J561"/>
  <c r="F561"/>
  <c r="G561" s="1"/>
  <c r="K561"/>
  <c r="K558"/>
  <c r="F558"/>
  <c r="G558" s="1"/>
  <c r="J558" s="1"/>
  <c r="D740" s="1"/>
  <c r="K557"/>
  <c r="G557"/>
  <c r="J557" s="1"/>
  <c r="K556"/>
  <c r="K737" s="1"/>
  <c r="F556"/>
  <c r="G556" s="1"/>
  <c r="J556" s="1"/>
  <c r="D737" s="1"/>
  <c r="K555"/>
  <c r="G555"/>
  <c r="J555" s="1"/>
  <c r="K554"/>
  <c r="F554"/>
  <c r="E554"/>
  <c r="K553"/>
  <c r="K738" s="1"/>
  <c r="E553"/>
  <c r="G553" s="1"/>
  <c r="J553" s="1"/>
  <c r="K552"/>
  <c r="G552"/>
  <c r="J552" s="1"/>
  <c r="K551"/>
  <c r="K739" s="1"/>
  <c r="G551"/>
  <c r="J551" s="1"/>
  <c r="D739" s="1"/>
  <c r="J550"/>
  <c r="G550"/>
  <c r="J549"/>
  <c r="G549"/>
  <c r="J548"/>
  <c r="G548"/>
  <c r="K548" s="1"/>
  <c r="J547"/>
  <c r="G547"/>
  <c r="J546"/>
  <c r="G546"/>
  <c r="J545"/>
  <c r="J544"/>
  <c r="J543"/>
  <c r="J542"/>
  <c r="J541"/>
  <c r="J540"/>
  <c r="K539"/>
  <c r="K538"/>
  <c r="J537"/>
  <c r="J536"/>
  <c r="J535"/>
  <c r="J534"/>
  <c r="E534"/>
  <c r="J533"/>
  <c r="K532"/>
  <c r="K531"/>
  <c r="J530"/>
  <c r="K529"/>
  <c r="J528"/>
  <c r="K527"/>
  <c r="J526"/>
  <c r="J525"/>
  <c r="K524"/>
  <c r="J523"/>
  <c r="J522"/>
  <c r="K521"/>
  <c r="K520"/>
  <c r="J519"/>
  <c r="K518"/>
  <c r="J517"/>
  <c r="J516"/>
  <c r="K515"/>
  <c r="J514"/>
  <c r="J513"/>
  <c r="J512"/>
  <c r="J511"/>
  <c r="J510"/>
  <c r="K509"/>
  <c r="J508"/>
  <c r="K507"/>
  <c r="J506"/>
  <c r="K505"/>
  <c r="J504"/>
  <c r="K503"/>
  <c r="J502"/>
  <c r="K501"/>
  <c r="J500"/>
  <c r="K499"/>
  <c r="J498"/>
  <c r="J497"/>
  <c r="K496"/>
  <c r="J495"/>
  <c r="K494"/>
  <c r="J493"/>
  <c r="K492"/>
  <c r="J491"/>
  <c r="K490"/>
  <c r="J489"/>
  <c r="J488"/>
  <c r="J487"/>
  <c r="K486"/>
  <c r="K485"/>
  <c r="J484"/>
  <c r="J483"/>
  <c r="J482"/>
  <c r="J481"/>
  <c r="J480"/>
  <c r="J479"/>
  <c r="J478"/>
  <c r="J477"/>
  <c r="K476"/>
  <c r="K475"/>
  <c r="K474"/>
  <c r="F474"/>
  <c r="G474" s="1"/>
  <c r="J474" s="1"/>
  <c r="K471"/>
  <c r="F471"/>
  <c r="G471"/>
  <c r="J471" s="1"/>
  <c r="K470"/>
  <c r="K736"/>
  <c r="G470"/>
  <c r="J470" s="1"/>
  <c r="K469"/>
  <c r="K733" s="1"/>
  <c r="F469"/>
  <c r="G469" s="1"/>
  <c r="J469" s="1"/>
  <c r="D733" s="1"/>
  <c r="K468"/>
  <c r="G468"/>
  <c r="J468" s="1"/>
  <c r="K467"/>
  <c r="F467"/>
  <c r="E467"/>
  <c r="K466"/>
  <c r="E466"/>
  <c r="G466"/>
  <c r="J466" s="1"/>
  <c r="K465"/>
  <c r="G465"/>
  <c r="J465" s="1"/>
  <c r="K464"/>
  <c r="G464"/>
  <c r="J464" s="1"/>
  <c r="D735" s="1"/>
  <c r="J463"/>
  <c r="G463"/>
  <c r="J462"/>
  <c r="G462"/>
  <c r="J461"/>
  <c r="G461"/>
  <c r="J460"/>
  <c r="G460"/>
  <c r="J459"/>
  <c r="G459"/>
  <c r="J458"/>
  <c r="J457"/>
  <c r="J456"/>
  <c r="J455"/>
  <c r="J454"/>
  <c r="J453"/>
  <c r="K452"/>
  <c r="K451"/>
  <c r="J450"/>
  <c r="J449"/>
  <c r="J448"/>
  <c r="J447"/>
  <c r="E447"/>
  <c r="J446"/>
  <c r="J445"/>
  <c r="J444"/>
  <c r="K443"/>
  <c r="J442"/>
  <c r="J441"/>
  <c r="K440"/>
  <c r="J439"/>
  <c r="J438"/>
  <c r="K437"/>
  <c r="J436"/>
  <c r="J435"/>
  <c r="J434"/>
  <c r="J433"/>
  <c r="J432"/>
  <c r="K431"/>
  <c r="J430"/>
  <c r="K429"/>
  <c r="J428"/>
  <c r="K427"/>
  <c r="J426"/>
  <c r="J425"/>
  <c r="J424"/>
  <c r="K423"/>
  <c r="K422"/>
  <c r="J421"/>
  <c r="J420"/>
  <c r="K419"/>
  <c r="J418"/>
  <c r="J417"/>
  <c r="J416"/>
  <c r="J415"/>
  <c r="K414"/>
  <c r="K413"/>
  <c r="K412"/>
  <c r="K411"/>
  <c r="F411"/>
  <c r="F458" s="1"/>
  <c r="G458" s="1"/>
  <c r="K408"/>
  <c r="K732" s="1"/>
  <c r="F408"/>
  <c r="G408" s="1"/>
  <c r="J408" s="1"/>
  <c r="D732" s="1"/>
  <c r="K407"/>
  <c r="G407"/>
  <c r="J407"/>
  <c r="K406"/>
  <c r="K729" s="1"/>
  <c r="F406"/>
  <c r="G406"/>
  <c r="J406" s="1"/>
  <c r="D729" s="1"/>
  <c r="K405"/>
  <c r="G405"/>
  <c r="J405" s="1"/>
  <c r="K404"/>
  <c r="F404"/>
  <c r="E404"/>
  <c r="K403"/>
  <c r="K730" s="1"/>
  <c r="E403"/>
  <c r="G403"/>
  <c r="J403"/>
  <c r="K402"/>
  <c r="G402"/>
  <c r="J402"/>
  <c r="K401"/>
  <c r="G401"/>
  <c r="J401" s="1"/>
  <c r="D731" s="1"/>
  <c r="J400"/>
  <c r="G400"/>
  <c r="J399"/>
  <c r="G399"/>
  <c r="K399" s="1"/>
  <c r="J398"/>
  <c r="G398"/>
  <c r="J397"/>
  <c r="G397"/>
  <c r="J396"/>
  <c r="J395"/>
  <c r="J394"/>
  <c r="J393"/>
  <c r="J392"/>
  <c r="G392"/>
  <c r="J391"/>
  <c r="J390"/>
  <c r="J389"/>
  <c r="J388"/>
  <c r="K387"/>
  <c r="J386"/>
  <c r="K385"/>
  <c r="J384"/>
  <c r="K383"/>
  <c r="J382"/>
  <c r="K381"/>
  <c r="J380"/>
  <c r="J379"/>
  <c r="J378"/>
  <c r="J377"/>
  <c r="J376"/>
  <c r="J375"/>
  <c r="J374"/>
  <c r="J373"/>
  <c r="J372"/>
  <c r="K371"/>
  <c r="J370"/>
  <c r="K369"/>
  <c r="J368"/>
  <c r="K367"/>
  <c r="J366"/>
  <c r="K365"/>
  <c r="J364"/>
  <c r="K363"/>
  <c r="J362"/>
  <c r="J361"/>
  <c r="K360"/>
  <c r="J359"/>
  <c r="J357"/>
  <c r="J356"/>
  <c r="J355"/>
  <c r="J354"/>
  <c r="J353"/>
  <c r="J352"/>
  <c r="J351"/>
  <c r="K350"/>
  <c r="K349"/>
  <c r="J348"/>
  <c r="J347"/>
  <c r="J346"/>
  <c r="K345"/>
  <c r="K344"/>
  <c r="J343"/>
  <c r="J342"/>
  <c r="K341"/>
  <c r="K340"/>
  <c r="J339"/>
  <c r="J338"/>
  <c r="F338"/>
  <c r="F377" s="1"/>
  <c r="G377" s="1"/>
  <c r="E338"/>
  <c r="K335"/>
  <c r="F335"/>
  <c r="G335"/>
  <c r="J335" s="1"/>
  <c r="K334"/>
  <c r="K728"/>
  <c r="G334"/>
  <c r="J334" s="1"/>
  <c r="K333"/>
  <c r="K725" s="1"/>
  <c r="F333"/>
  <c r="G333" s="1"/>
  <c r="J333" s="1"/>
  <c r="D725" s="1"/>
  <c r="K332"/>
  <c r="G332"/>
  <c r="J332" s="1"/>
  <c r="K331"/>
  <c r="F331"/>
  <c r="E331"/>
  <c r="K330"/>
  <c r="E330"/>
  <c r="G330" s="1"/>
  <c r="J330" s="1"/>
  <c r="K329"/>
  <c r="G329"/>
  <c r="J329" s="1"/>
  <c r="K328"/>
  <c r="G328"/>
  <c r="J328"/>
  <c r="J327"/>
  <c r="G327"/>
  <c r="J326"/>
  <c r="G326"/>
  <c r="J325"/>
  <c r="G325"/>
  <c r="J324"/>
  <c r="G324"/>
  <c r="J323"/>
  <c r="J322"/>
  <c r="J321"/>
  <c r="J320"/>
  <c r="G320"/>
  <c r="J319"/>
  <c r="J318"/>
  <c r="K317"/>
  <c r="K316"/>
  <c r="J315"/>
  <c r="J314"/>
  <c r="J313"/>
  <c r="K312"/>
  <c r="J311"/>
  <c r="K310"/>
  <c r="J309"/>
  <c r="J308"/>
  <c r="J307"/>
  <c r="K306"/>
  <c r="J305"/>
  <c r="K304"/>
  <c r="J303"/>
  <c r="K302"/>
  <c r="K301"/>
  <c r="K300"/>
  <c r="K299"/>
  <c r="K298"/>
  <c r="J297"/>
  <c r="K296"/>
  <c r="J295"/>
  <c r="K294"/>
  <c r="J293"/>
  <c r="K292"/>
  <c r="J291"/>
  <c r="K290"/>
  <c r="J289"/>
  <c r="J288"/>
  <c r="E288"/>
  <c r="J287"/>
  <c r="E287"/>
  <c r="J286"/>
  <c r="K285"/>
  <c r="J284"/>
  <c r="J283"/>
  <c r="J282"/>
  <c r="K281"/>
  <c r="K280"/>
  <c r="J279"/>
  <c r="K278"/>
  <c r="J277"/>
  <c r="K276"/>
  <c r="J275"/>
  <c r="K274"/>
  <c r="J273"/>
  <c r="K272"/>
  <c r="J271"/>
  <c r="J270"/>
  <c r="J269"/>
  <c r="J268"/>
  <c r="E268"/>
  <c r="J267"/>
  <c r="J266"/>
  <c r="J265"/>
  <c r="J264"/>
  <c r="E264"/>
  <c r="J263"/>
  <c r="J262"/>
  <c r="J261"/>
  <c r="J260"/>
  <c r="J259"/>
  <c r="J258"/>
  <c r="G258"/>
  <c r="K258" s="1"/>
  <c r="J257"/>
  <c r="J256"/>
  <c r="J255"/>
  <c r="F255"/>
  <c r="F286" s="1"/>
  <c r="G286" s="1"/>
  <c r="K286" s="1"/>
  <c r="E255"/>
  <c r="K252"/>
  <c r="K724" s="1"/>
  <c r="K251"/>
  <c r="G251"/>
  <c r="J251" s="1"/>
  <c r="J250"/>
  <c r="G250"/>
  <c r="K249"/>
  <c r="K248"/>
  <c r="K246"/>
  <c r="K245"/>
  <c r="F245"/>
  <c r="F249" s="1"/>
  <c r="G249" s="1"/>
  <c r="J249" s="1"/>
  <c r="K242"/>
  <c r="K723" s="1"/>
  <c r="K241"/>
  <c r="G241"/>
  <c r="J240"/>
  <c r="E240"/>
  <c r="G240" s="1"/>
  <c r="J239"/>
  <c r="J238"/>
  <c r="J237"/>
  <c r="K236"/>
  <c r="K235"/>
  <c r="J234"/>
  <c r="J233"/>
  <c r="J232"/>
  <c r="J231"/>
  <c r="K230"/>
  <c r="J229"/>
  <c r="K228"/>
  <c r="K227"/>
  <c r="J226"/>
  <c r="K225"/>
  <c r="K224"/>
  <c r="F224"/>
  <c r="G224" s="1"/>
  <c r="J224" s="1"/>
  <c r="K221"/>
  <c r="E221"/>
  <c r="G221" s="1"/>
  <c r="J221" s="1"/>
  <c r="K220"/>
  <c r="K722" s="1"/>
  <c r="K219"/>
  <c r="G219"/>
  <c r="J218"/>
  <c r="E218"/>
  <c r="G218" s="1"/>
  <c r="J217"/>
  <c r="K216"/>
  <c r="K215"/>
  <c r="J214"/>
  <c r="J213"/>
  <c r="J212"/>
  <c r="K211"/>
  <c r="J210"/>
  <c r="G210"/>
  <c r="K210" s="1"/>
  <c r="J209"/>
  <c r="K208"/>
  <c r="K207"/>
  <c r="J206"/>
  <c r="J205"/>
  <c r="J204"/>
  <c r="G204"/>
  <c r="J203"/>
  <c r="J202"/>
  <c r="G202"/>
  <c r="J201"/>
  <c r="K200"/>
  <c r="K199"/>
  <c r="K198"/>
  <c r="K197"/>
  <c r="J196"/>
  <c r="G196"/>
  <c r="J195"/>
  <c r="J194"/>
  <c r="G194"/>
  <c r="J193"/>
  <c r="J192"/>
  <c r="J191"/>
  <c r="K190"/>
  <c r="K189"/>
  <c r="K188"/>
  <c r="K187"/>
  <c r="F187"/>
  <c r="F203" s="1"/>
  <c r="G203" s="1"/>
  <c r="K203" s="1"/>
  <c r="K184"/>
  <c r="G184"/>
  <c r="K183"/>
  <c r="K721" s="1"/>
  <c r="K182"/>
  <c r="G182"/>
  <c r="J181"/>
  <c r="G181"/>
  <c r="K181" s="1"/>
  <c r="J180"/>
  <c r="G180"/>
  <c r="O180" s="1"/>
  <c r="J179"/>
  <c r="J178"/>
  <c r="G178"/>
  <c r="O178" s="1"/>
  <c r="J177"/>
  <c r="J176"/>
  <c r="G176"/>
  <c r="O176" s="1"/>
  <c r="J175"/>
  <c r="J174"/>
  <c r="G174"/>
  <c r="O174" s="1"/>
  <c r="J173"/>
  <c r="J172"/>
  <c r="G172"/>
  <c r="O172" s="1"/>
  <c r="J171"/>
  <c r="J170"/>
  <c r="G170"/>
  <c r="O170" s="1"/>
  <c r="J169"/>
  <c r="J168"/>
  <c r="G168"/>
  <c r="J167"/>
  <c r="J166"/>
  <c r="G166"/>
  <c r="O166" s="1"/>
  <c r="J165"/>
  <c r="J164"/>
  <c r="J163"/>
  <c r="J162"/>
  <c r="J161"/>
  <c r="G161"/>
  <c r="O161" s="1"/>
  <c r="J160"/>
  <c r="F160"/>
  <c r="F175"/>
  <c r="G175" s="1"/>
  <c r="J159"/>
  <c r="G159"/>
  <c r="O159" s="1"/>
  <c r="J158"/>
  <c r="G158"/>
  <c r="K155"/>
  <c r="K720" s="1"/>
  <c r="K154"/>
  <c r="G154"/>
  <c r="J153"/>
  <c r="G153"/>
  <c r="K152"/>
  <c r="K151"/>
  <c r="J150"/>
  <c r="K147"/>
  <c r="J146"/>
  <c r="F146"/>
  <c r="F155" s="1"/>
  <c r="G155" s="1"/>
  <c r="J155" s="1"/>
  <c r="D720" s="1"/>
  <c r="G143"/>
  <c r="J143" s="1"/>
  <c r="K143"/>
  <c r="G142"/>
  <c r="J142" s="1"/>
  <c r="K142"/>
  <c r="K141"/>
  <c r="J141"/>
  <c r="E140"/>
  <c r="G140" s="1"/>
  <c r="J140" s="1"/>
  <c r="K140"/>
  <c r="E139"/>
  <c r="G139" s="1"/>
  <c r="J139" s="1"/>
  <c r="J135" s="1"/>
  <c r="J31" s="1"/>
  <c r="K139"/>
  <c r="J138"/>
  <c r="G138"/>
  <c r="K138" s="1"/>
  <c r="K135" s="1"/>
  <c r="K31" s="1"/>
  <c r="F137"/>
  <c r="G137" s="1"/>
  <c r="J137" s="1"/>
  <c r="K137"/>
  <c r="J136"/>
  <c r="F136"/>
  <c r="G136" s="1"/>
  <c r="K136" s="1"/>
  <c r="J133"/>
  <c r="D719" s="1"/>
  <c r="G133"/>
  <c r="J132"/>
  <c r="D718" s="1"/>
  <c r="G132"/>
  <c r="K132" s="1"/>
  <c r="K718" s="1"/>
  <c r="J131"/>
  <c r="J130"/>
  <c r="J129"/>
  <c r="J128"/>
  <c r="J127"/>
  <c r="J126"/>
  <c r="J125"/>
  <c r="J124"/>
  <c r="J123"/>
  <c r="J122"/>
  <c r="J121"/>
  <c r="K120"/>
  <c r="K119"/>
  <c r="K118"/>
  <c r="K117"/>
  <c r="J116"/>
  <c r="K115"/>
  <c r="K114"/>
  <c r="K113"/>
  <c r="K112"/>
  <c r="K111"/>
  <c r="J110"/>
  <c r="J109"/>
  <c r="J108"/>
  <c r="K107"/>
  <c r="K106"/>
  <c r="K105"/>
  <c r="K104"/>
  <c r="K103"/>
  <c r="J102"/>
  <c r="J98"/>
  <c r="K97"/>
  <c r="K96"/>
  <c r="J95"/>
  <c r="J94"/>
  <c r="K93"/>
  <c r="K92"/>
  <c r="J91"/>
  <c r="J90"/>
  <c r="J89"/>
  <c r="K88"/>
  <c r="J87"/>
  <c r="J86"/>
  <c r="J84"/>
  <c r="K83"/>
  <c r="K82"/>
  <c r="J81"/>
  <c r="J80"/>
  <c r="K79"/>
  <c r="K78"/>
  <c r="J77"/>
  <c r="K76"/>
  <c r="J74"/>
  <c r="J73"/>
  <c r="E73"/>
  <c r="K72"/>
  <c r="K71"/>
  <c r="K70"/>
  <c r="K69"/>
  <c r="K68"/>
  <c r="K67"/>
  <c r="K66"/>
  <c r="K65"/>
  <c r="F65"/>
  <c r="F72" s="1"/>
  <c r="G72" s="1"/>
  <c r="J72" s="1"/>
  <c r="C59"/>
  <c r="C57"/>
  <c r="C55"/>
  <c r="C53"/>
  <c r="C51"/>
  <c r="C49"/>
  <c r="C47"/>
  <c r="C45"/>
  <c r="C43"/>
  <c r="C41"/>
  <c r="C39"/>
  <c r="C37"/>
  <c r="C35"/>
  <c r="C33"/>
  <c r="C31"/>
  <c r="C29"/>
  <c r="K744"/>
  <c r="K747"/>
  <c r="K740"/>
  <c r="K743"/>
  <c r="K731"/>
  <c r="K746"/>
  <c r="K727"/>
  <c r="K726"/>
  <c r="K735"/>
  <c r="K734"/>
  <c r="K748"/>
  <c r="D744"/>
  <c r="K153"/>
  <c r="M153"/>
  <c r="K320"/>
  <c r="M320"/>
  <c r="K397"/>
  <c r="M397"/>
  <c r="M399"/>
  <c r="K546"/>
  <c r="M546"/>
  <c r="M548"/>
  <c r="K550"/>
  <c r="M550"/>
  <c r="M683"/>
  <c r="K685"/>
  <c r="M685"/>
  <c r="M168"/>
  <c r="K176"/>
  <c r="M176"/>
  <c r="M181"/>
  <c r="K204"/>
  <c r="M204"/>
  <c r="M158"/>
  <c r="M175"/>
  <c r="K166"/>
  <c r="M166"/>
  <c r="K174"/>
  <c r="M174"/>
  <c r="J184"/>
  <c r="M184"/>
  <c r="K202"/>
  <c r="M202"/>
  <c r="M221"/>
  <c r="K324"/>
  <c r="M324"/>
  <c r="K326"/>
  <c r="M326"/>
  <c r="K458"/>
  <c r="M458"/>
  <c r="K460"/>
  <c r="M460"/>
  <c r="K462"/>
  <c r="M462"/>
  <c r="K624"/>
  <c r="M624"/>
  <c r="K626"/>
  <c r="M626"/>
  <c r="K628"/>
  <c r="M628"/>
  <c r="K699"/>
  <c r="M699"/>
  <c r="K701"/>
  <c r="M701"/>
  <c r="K703"/>
  <c r="M703"/>
  <c r="K133"/>
  <c r="K719" s="1"/>
  <c r="M133"/>
  <c r="J154"/>
  <c r="M154"/>
  <c r="K172"/>
  <c r="M172"/>
  <c r="K180"/>
  <c r="M180"/>
  <c r="J182"/>
  <c r="M182"/>
  <c r="K196"/>
  <c r="M196"/>
  <c r="J219"/>
  <c r="M219"/>
  <c r="J241"/>
  <c r="M241"/>
  <c r="K392"/>
  <c r="M392"/>
  <c r="K398"/>
  <c r="M398"/>
  <c r="K400"/>
  <c r="M400"/>
  <c r="K547"/>
  <c r="M547"/>
  <c r="K549"/>
  <c r="M549"/>
  <c r="K682"/>
  <c r="M682"/>
  <c r="K684"/>
  <c r="M684"/>
  <c r="K686"/>
  <c r="M686"/>
  <c r="K159"/>
  <c r="M159"/>
  <c r="K161"/>
  <c r="M161"/>
  <c r="K170"/>
  <c r="M170"/>
  <c r="K178"/>
  <c r="M178"/>
  <c r="K194"/>
  <c r="M194"/>
  <c r="K250"/>
  <c r="M250"/>
  <c r="M244" s="1"/>
  <c r="M41" s="1"/>
  <c r="K325"/>
  <c r="M325"/>
  <c r="K327"/>
  <c r="M327"/>
  <c r="K459"/>
  <c r="M459"/>
  <c r="K461"/>
  <c r="M461"/>
  <c r="K463"/>
  <c r="M463"/>
  <c r="K625"/>
  <c r="M625"/>
  <c r="K627"/>
  <c r="M627"/>
  <c r="K700"/>
  <c r="M700"/>
  <c r="K702"/>
  <c r="M702"/>
  <c r="D747"/>
  <c r="D727"/>
  <c r="G632"/>
  <c r="J632" s="1"/>
  <c r="D743" s="1"/>
  <c r="D717"/>
  <c r="D716"/>
  <c r="G643"/>
  <c r="K643" s="1"/>
  <c r="G467"/>
  <c r="J467" s="1"/>
  <c r="D734" s="1"/>
  <c r="G255"/>
  <c r="G690"/>
  <c r="J690" s="1"/>
  <c r="D746" s="1"/>
  <c r="F198"/>
  <c r="G198" s="1"/>
  <c r="J198" s="1"/>
  <c r="F220"/>
  <c r="G220" s="1"/>
  <c r="F366"/>
  <c r="G366" s="1"/>
  <c r="K366" s="1"/>
  <c r="G411"/>
  <c r="J411" s="1"/>
  <c r="G554"/>
  <c r="J554" s="1"/>
  <c r="F217"/>
  <c r="G217" s="1"/>
  <c r="K217" s="1"/>
  <c r="G338"/>
  <c r="F364"/>
  <c r="G364" s="1"/>
  <c r="K364" s="1"/>
  <c r="F376"/>
  <c r="G376" s="1"/>
  <c r="K376" s="1"/>
  <c r="F215"/>
  <c r="G215" s="1"/>
  <c r="J215" s="1"/>
  <c r="G331"/>
  <c r="J331" s="1"/>
  <c r="D726" s="1"/>
  <c r="F374"/>
  <c r="G374"/>
  <c r="K374" s="1"/>
  <c r="G160"/>
  <c r="O160" s="1"/>
  <c r="F213"/>
  <c r="G213"/>
  <c r="K213" s="1"/>
  <c r="F372"/>
  <c r="G372" s="1"/>
  <c r="O372" s="1"/>
  <c r="G669"/>
  <c r="K669" s="1"/>
  <c r="F200"/>
  <c r="G200" s="1"/>
  <c r="J200"/>
  <c r="F212"/>
  <c r="G212" s="1"/>
  <c r="F169"/>
  <c r="G169" s="1"/>
  <c r="O169" s="1"/>
  <c r="G187"/>
  <c r="J187" s="1"/>
  <c r="F195"/>
  <c r="G195" s="1"/>
  <c r="K195" s="1"/>
  <c r="F197"/>
  <c r="G197" s="1"/>
  <c r="J197" s="1"/>
  <c r="F199"/>
  <c r="G199" s="1"/>
  <c r="J199" s="1"/>
  <c r="F214"/>
  <c r="G214" s="1"/>
  <c r="K214" s="1"/>
  <c r="F216"/>
  <c r="G216" s="1"/>
  <c r="J216" s="1"/>
  <c r="G245"/>
  <c r="J245" s="1"/>
  <c r="F252"/>
  <c r="G252" s="1"/>
  <c r="J252" s="1"/>
  <c r="D724" s="1"/>
  <c r="F365"/>
  <c r="G365" s="1"/>
  <c r="J365" s="1"/>
  <c r="F367"/>
  <c r="G367" s="1"/>
  <c r="J367" s="1"/>
  <c r="F373"/>
  <c r="G373" s="1"/>
  <c r="K373" s="1"/>
  <c r="F375"/>
  <c r="G375" s="1"/>
  <c r="G404"/>
  <c r="J404" s="1"/>
  <c r="D730" s="1"/>
  <c r="F201"/>
  <c r="G201" s="1"/>
  <c r="K201" s="1"/>
  <c r="F211"/>
  <c r="G211" s="1"/>
  <c r="J211" s="1"/>
  <c r="F242"/>
  <c r="G242" s="1"/>
  <c r="J696"/>
  <c r="J59" s="1"/>
  <c r="G65"/>
  <c r="J65" s="1"/>
  <c r="F73"/>
  <c r="G73"/>
  <c r="F74"/>
  <c r="G74" s="1"/>
  <c r="K74" s="1"/>
  <c r="F75"/>
  <c r="G75" s="1"/>
  <c r="F76"/>
  <c r="G76" s="1"/>
  <c r="J76" s="1"/>
  <c r="F77"/>
  <c r="G77" s="1"/>
  <c r="K77" s="1"/>
  <c r="F78"/>
  <c r="G78" s="1"/>
  <c r="J78" s="1"/>
  <c r="F79"/>
  <c r="G79" s="1"/>
  <c r="J79" s="1"/>
  <c r="F80"/>
  <c r="G80" s="1"/>
  <c r="K80" s="1"/>
  <c r="F81"/>
  <c r="G81" s="1"/>
  <c r="K81" s="1"/>
  <c r="F82"/>
  <c r="G82" s="1"/>
  <c r="J82" s="1"/>
  <c r="F83"/>
  <c r="G83" s="1"/>
  <c r="J83" s="1"/>
  <c r="F84"/>
  <c r="G84" s="1"/>
  <c r="F85"/>
  <c r="G85" s="1"/>
  <c r="K85" s="1"/>
  <c r="F86"/>
  <c r="G86" s="1"/>
  <c r="K86" s="1"/>
  <c r="F87"/>
  <c r="G87" s="1"/>
  <c r="K87" s="1"/>
  <c r="F88"/>
  <c r="G88" s="1"/>
  <c r="J88" s="1"/>
  <c r="F89"/>
  <c r="G89" s="1"/>
  <c r="K89" s="1"/>
  <c r="F90"/>
  <c r="G90" s="1"/>
  <c r="K90" s="1"/>
  <c r="F91"/>
  <c r="G91" s="1"/>
  <c r="K91" s="1"/>
  <c r="F92"/>
  <c r="G92" s="1"/>
  <c r="J92" s="1"/>
  <c r="F93"/>
  <c r="G93" s="1"/>
  <c r="J93" s="1"/>
  <c r="F94"/>
  <c r="G94" s="1"/>
  <c r="K94" s="1"/>
  <c r="F95"/>
  <c r="G95" s="1"/>
  <c r="K95" s="1"/>
  <c r="F96"/>
  <c r="G96" s="1"/>
  <c r="J96" s="1"/>
  <c r="F97"/>
  <c r="G97" s="1"/>
  <c r="J97" s="1"/>
  <c r="F98"/>
  <c r="G98" s="1"/>
  <c r="K98" s="1"/>
  <c r="F99"/>
  <c r="G99" s="1"/>
  <c r="K99" s="1"/>
  <c r="F100"/>
  <c r="G100" s="1"/>
  <c r="F101"/>
  <c r="G101" s="1"/>
  <c r="K101" s="1"/>
  <c r="F102"/>
  <c r="G102" s="1"/>
  <c r="K102" s="1"/>
  <c r="F103"/>
  <c r="G103" s="1"/>
  <c r="J103"/>
  <c r="F104"/>
  <c r="G104" s="1"/>
  <c r="J104" s="1"/>
  <c r="F105"/>
  <c r="G105"/>
  <c r="J105" s="1"/>
  <c r="F106"/>
  <c r="G106" s="1"/>
  <c r="J106" s="1"/>
  <c r="F107"/>
  <c r="G107" s="1"/>
  <c r="J107"/>
  <c r="F108"/>
  <c r="G108" s="1"/>
  <c r="K108" s="1"/>
  <c r="F109"/>
  <c r="G109" s="1"/>
  <c r="K109" s="1"/>
  <c r="F110"/>
  <c r="G110" s="1"/>
  <c r="K110" s="1"/>
  <c r="F111"/>
  <c r="G111" s="1"/>
  <c r="J111" s="1"/>
  <c r="F112"/>
  <c r="G112" s="1"/>
  <c r="J112" s="1"/>
  <c r="F113"/>
  <c r="G113" s="1"/>
  <c r="J113" s="1"/>
  <c r="F114"/>
  <c r="G114"/>
  <c r="J114" s="1"/>
  <c r="F115"/>
  <c r="G115" s="1"/>
  <c r="J115" s="1"/>
  <c r="F116"/>
  <c r="G116" s="1"/>
  <c r="K116" s="1"/>
  <c r="F117"/>
  <c r="G117" s="1"/>
  <c r="J117" s="1"/>
  <c r="F118"/>
  <c r="G118" s="1"/>
  <c r="J118" s="1"/>
  <c r="F119"/>
  <c r="G119" s="1"/>
  <c r="J119" s="1"/>
  <c r="F120"/>
  <c r="G120" s="1"/>
  <c r="J120" s="1"/>
  <c r="F121"/>
  <c r="G121" s="1"/>
  <c r="K121" s="1"/>
  <c r="F122"/>
  <c r="G122" s="1"/>
  <c r="K122" s="1"/>
  <c r="F123"/>
  <c r="G123" s="1"/>
  <c r="K123"/>
  <c r="F124"/>
  <c r="G124" s="1"/>
  <c r="K124" s="1"/>
  <c r="F125"/>
  <c r="G125" s="1"/>
  <c r="K125" s="1"/>
  <c r="F126"/>
  <c r="G126" s="1"/>
  <c r="K126" s="1"/>
  <c r="F127"/>
  <c r="G127"/>
  <c r="K127" s="1"/>
  <c r="F128"/>
  <c r="G128" s="1"/>
  <c r="K128" s="1"/>
  <c r="F129"/>
  <c r="G129" s="1"/>
  <c r="K129" s="1"/>
  <c r="F130"/>
  <c r="G130" s="1"/>
  <c r="K130" s="1"/>
  <c r="F131"/>
  <c r="G131" s="1"/>
  <c r="F179"/>
  <c r="G179" s="1"/>
  <c r="F147"/>
  <c r="G147" s="1"/>
  <c r="J147" s="1"/>
  <c r="F148"/>
  <c r="G148" s="1"/>
  <c r="F149"/>
  <c r="G149"/>
  <c r="J149" s="1"/>
  <c r="F150"/>
  <c r="G150" s="1"/>
  <c r="K150" s="1"/>
  <c r="F151"/>
  <c r="G151" s="1"/>
  <c r="J151" s="1"/>
  <c r="F152"/>
  <c r="G152" s="1"/>
  <c r="J152" s="1"/>
  <c r="F167"/>
  <c r="G167" s="1"/>
  <c r="O167" s="1"/>
  <c r="G146"/>
  <c r="K146" s="1"/>
  <c r="K145" s="1"/>
  <c r="K33" s="1"/>
  <c r="F162"/>
  <c r="G162"/>
  <c r="O162" s="1"/>
  <c r="F163"/>
  <c r="G163" s="1"/>
  <c r="O163" s="1"/>
  <c r="F164"/>
  <c r="G164" s="1"/>
  <c r="O164" s="1"/>
  <c r="F165"/>
  <c r="G165" s="1"/>
  <c r="O165" s="1"/>
  <c r="F173"/>
  <c r="G173" s="1"/>
  <c r="O173" s="1"/>
  <c r="F66"/>
  <c r="G66" s="1"/>
  <c r="J66" s="1"/>
  <c r="F67"/>
  <c r="G67" s="1"/>
  <c r="J67" s="1"/>
  <c r="F68"/>
  <c r="G68" s="1"/>
  <c r="J68" s="1"/>
  <c r="F69"/>
  <c r="G69"/>
  <c r="J69" s="1"/>
  <c r="F70"/>
  <c r="G70" s="1"/>
  <c r="J70" s="1"/>
  <c r="F71"/>
  <c r="G71" s="1"/>
  <c r="J71" s="1"/>
  <c r="F171"/>
  <c r="G171" s="1"/>
  <c r="F177"/>
  <c r="G177" s="1"/>
  <c r="O177" s="1"/>
  <c r="F183"/>
  <c r="G183" s="1"/>
  <c r="J183" s="1"/>
  <c r="F188"/>
  <c r="G188" s="1"/>
  <c r="J188" s="1"/>
  <c r="F189"/>
  <c r="G189"/>
  <c r="J189" s="1"/>
  <c r="F190"/>
  <c r="G190" s="1"/>
  <c r="J190" s="1"/>
  <c r="F191"/>
  <c r="G191" s="1"/>
  <c r="K191" s="1"/>
  <c r="F192"/>
  <c r="G192" s="1"/>
  <c r="K192" s="1"/>
  <c r="F193"/>
  <c r="G193" s="1"/>
  <c r="K193" s="1"/>
  <c r="F205"/>
  <c r="G205" s="1"/>
  <c r="K205" s="1"/>
  <c r="F206"/>
  <c r="G206" s="1"/>
  <c r="K206" s="1"/>
  <c r="F207"/>
  <c r="G207" s="1"/>
  <c r="J207" s="1"/>
  <c r="F208"/>
  <c r="G208"/>
  <c r="J208" s="1"/>
  <c r="F209"/>
  <c r="G209" s="1"/>
  <c r="F225"/>
  <c r="G225" s="1"/>
  <c r="J225"/>
  <c r="F226"/>
  <c r="G226" s="1"/>
  <c r="O226" s="1"/>
  <c r="O223" s="1"/>
  <c r="O39" s="1"/>
  <c r="F227"/>
  <c r="G227"/>
  <c r="J227" s="1"/>
  <c r="F228"/>
  <c r="G228" s="1"/>
  <c r="J228" s="1"/>
  <c r="F229"/>
  <c r="G229" s="1"/>
  <c r="K229" s="1"/>
  <c r="F230"/>
  <c r="G230" s="1"/>
  <c r="J230" s="1"/>
  <c r="F231"/>
  <c r="G231" s="1"/>
  <c r="K231" s="1"/>
  <c r="F232"/>
  <c r="G232"/>
  <c r="K232" s="1"/>
  <c r="F233"/>
  <c r="G233" s="1"/>
  <c r="K233"/>
  <c r="F234"/>
  <c r="G234" s="1"/>
  <c r="K234" s="1"/>
  <c r="F235"/>
  <c r="G235" s="1"/>
  <c r="J235" s="1"/>
  <c r="F236"/>
  <c r="G236" s="1"/>
  <c r="J236" s="1"/>
  <c r="F237"/>
  <c r="G237" s="1"/>
  <c r="K237" s="1"/>
  <c r="F238"/>
  <c r="G238" s="1"/>
  <c r="K238" s="1"/>
  <c r="F239"/>
  <c r="G239" s="1"/>
  <c r="K239" s="1"/>
  <c r="F287"/>
  <c r="G287" s="1"/>
  <c r="K287" s="1"/>
  <c r="F321"/>
  <c r="G321" s="1"/>
  <c r="F322"/>
  <c r="G322" s="1"/>
  <c r="F323"/>
  <c r="G323" s="1"/>
  <c r="M323" s="1"/>
  <c r="F391"/>
  <c r="G391" s="1"/>
  <c r="O391" s="1"/>
  <c r="F390"/>
  <c r="G390"/>
  <c r="K390" s="1"/>
  <c r="F389"/>
  <c r="G389" s="1"/>
  <c r="K389"/>
  <c r="F388"/>
  <c r="G388" s="1"/>
  <c r="K388" s="1"/>
  <c r="F387"/>
  <c r="G387"/>
  <c r="J387" s="1"/>
  <c r="F386"/>
  <c r="G386" s="1"/>
  <c r="K386" s="1"/>
  <c r="F385"/>
  <c r="G385" s="1"/>
  <c r="J385"/>
  <c r="F384"/>
  <c r="G384" s="1"/>
  <c r="K384" s="1"/>
  <c r="F383"/>
  <c r="G383" s="1"/>
  <c r="J383" s="1"/>
  <c r="F382"/>
  <c r="G382"/>
  <c r="K382" s="1"/>
  <c r="F381"/>
  <c r="G381" s="1"/>
  <c r="J381" s="1"/>
  <c r="F380"/>
  <c r="G380" s="1"/>
  <c r="K380" s="1"/>
  <c r="F379"/>
  <c r="G379" s="1"/>
  <c r="K379" s="1"/>
  <c r="F378"/>
  <c r="G378"/>
  <c r="K378" s="1"/>
  <c r="F396"/>
  <c r="G396" s="1"/>
  <c r="F395"/>
  <c r="G395" s="1"/>
  <c r="M395" s="1"/>
  <c r="F394"/>
  <c r="G394" s="1"/>
  <c r="F393"/>
  <c r="G393" s="1"/>
  <c r="K393" s="1"/>
  <c r="F339"/>
  <c r="G339" s="1"/>
  <c r="K339" s="1"/>
  <c r="F340"/>
  <c r="G340"/>
  <c r="J340" s="1"/>
  <c r="F341"/>
  <c r="G341" s="1"/>
  <c r="J341" s="1"/>
  <c r="F342"/>
  <c r="G342"/>
  <c r="K342"/>
  <c r="F343"/>
  <c r="G343" s="1"/>
  <c r="K343" s="1"/>
  <c r="F344"/>
  <c r="G344"/>
  <c r="J344" s="1"/>
  <c r="F345"/>
  <c r="G345" s="1"/>
  <c r="J345" s="1"/>
  <c r="F346"/>
  <c r="G346" s="1"/>
  <c r="K346" s="1"/>
  <c r="F347"/>
  <c r="G347" s="1"/>
  <c r="K347"/>
  <c r="F348"/>
  <c r="G348" s="1"/>
  <c r="K348" s="1"/>
  <c r="F349"/>
  <c r="G349"/>
  <c r="J349" s="1"/>
  <c r="F350"/>
  <c r="G350" s="1"/>
  <c r="J350" s="1"/>
  <c r="F351"/>
  <c r="G351" s="1"/>
  <c r="K351" s="1"/>
  <c r="F352"/>
  <c r="G352"/>
  <c r="K352" s="1"/>
  <c r="F353"/>
  <c r="G353" s="1"/>
  <c r="K353" s="1"/>
  <c r="F354"/>
  <c r="G354"/>
  <c r="K354"/>
  <c r="F355"/>
  <c r="G355" s="1"/>
  <c r="K355" s="1"/>
  <c r="F356"/>
  <c r="G356"/>
  <c r="K356" s="1"/>
  <c r="F357"/>
  <c r="G357" s="1"/>
  <c r="K357" s="1"/>
  <c r="F358"/>
  <c r="G358" s="1"/>
  <c r="F359"/>
  <c r="G359" s="1"/>
  <c r="F360"/>
  <c r="G360"/>
  <c r="J360" s="1"/>
  <c r="F361"/>
  <c r="G361" s="1"/>
  <c r="K361" s="1"/>
  <c r="F362"/>
  <c r="G362" s="1"/>
  <c r="K362" s="1"/>
  <c r="F363"/>
  <c r="G363" s="1"/>
  <c r="J363" s="1"/>
  <c r="F370"/>
  <c r="G370" s="1"/>
  <c r="K370"/>
  <c r="F371"/>
  <c r="G371" s="1"/>
  <c r="J371" s="1"/>
  <c r="F246"/>
  <c r="G246" s="1"/>
  <c r="J246" s="1"/>
  <c r="F247"/>
  <c r="G247" s="1"/>
  <c r="F248"/>
  <c r="G248" s="1"/>
  <c r="J248" s="1"/>
  <c r="F259"/>
  <c r="G259" s="1"/>
  <c r="K259" s="1"/>
  <c r="F260"/>
  <c r="G260" s="1"/>
  <c r="K260" s="1"/>
  <c r="F261"/>
  <c r="G261"/>
  <c r="K261" s="1"/>
  <c r="F262"/>
  <c r="G262" s="1"/>
  <c r="M262" s="1"/>
  <c r="F263"/>
  <c r="G263"/>
  <c r="F288"/>
  <c r="G288" s="1"/>
  <c r="K288" s="1"/>
  <c r="F289"/>
  <c r="G289" s="1"/>
  <c r="K289" s="1"/>
  <c r="F290"/>
  <c r="G290"/>
  <c r="J290" s="1"/>
  <c r="F291"/>
  <c r="G291" s="1"/>
  <c r="K291" s="1"/>
  <c r="F292"/>
  <c r="G292" s="1"/>
  <c r="J292" s="1"/>
  <c r="F293"/>
  <c r="G293" s="1"/>
  <c r="K293" s="1"/>
  <c r="F294"/>
  <c r="G294" s="1"/>
  <c r="J294" s="1"/>
  <c r="F295"/>
  <c r="G295" s="1"/>
  <c r="K295" s="1"/>
  <c r="F296"/>
  <c r="G296" s="1"/>
  <c r="J296" s="1"/>
  <c r="F297"/>
  <c r="G297" s="1"/>
  <c r="K297" s="1"/>
  <c r="F298"/>
  <c r="G298" s="1"/>
  <c r="J298" s="1"/>
  <c r="F299"/>
  <c r="G299" s="1"/>
  <c r="J299" s="1"/>
  <c r="F300"/>
  <c r="G300" s="1"/>
  <c r="J300" s="1"/>
  <c r="F301"/>
  <c r="G301" s="1"/>
  <c r="J301" s="1"/>
  <c r="F302"/>
  <c r="G302"/>
  <c r="J302" s="1"/>
  <c r="F303"/>
  <c r="G303" s="1"/>
  <c r="K303" s="1"/>
  <c r="F304"/>
  <c r="G304" s="1"/>
  <c r="J304" s="1"/>
  <c r="F305"/>
  <c r="G305" s="1"/>
  <c r="K305" s="1"/>
  <c r="F306"/>
  <c r="G306" s="1"/>
  <c r="J306" s="1"/>
  <c r="F307"/>
  <c r="G307" s="1"/>
  <c r="K307" s="1"/>
  <c r="F308"/>
  <c r="G308" s="1"/>
  <c r="K308" s="1"/>
  <c r="F309"/>
  <c r="G309" s="1"/>
  <c r="K309" s="1"/>
  <c r="F310"/>
  <c r="G310" s="1"/>
  <c r="J310" s="1"/>
  <c r="F311"/>
  <c r="G311" s="1"/>
  <c r="K311" s="1"/>
  <c r="F312"/>
  <c r="G312" s="1"/>
  <c r="J312" s="1"/>
  <c r="F313"/>
  <c r="G313" s="1"/>
  <c r="K313" s="1"/>
  <c r="F314"/>
  <c r="G314"/>
  <c r="K314" s="1"/>
  <c r="F315"/>
  <c r="G315" s="1"/>
  <c r="K315" s="1"/>
  <c r="F316"/>
  <c r="G316" s="1"/>
  <c r="J316" s="1"/>
  <c r="F317"/>
  <c r="G317" s="1"/>
  <c r="J317" s="1"/>
  <c r="F318"/>
  <c r="G318" s="1"/>
  <c r="F319"/>
  <c r="G319" s="1"/>
  <c r="M319" s="1"/>
  <c r="F368"/>
  <c r="G368"/>
  <c r="K368" s="1"/>
  <c r="F369"/>
  <c r="G369" s="1"/>
  <c r="J369" s="1"/>
  <c r="F256"/>
  <c r="G256" s="1"/>
  <c r="K256" s="1"/>
  <c r="F257"/>
  <c r="G257" s="1"/>
  <c r="K257" s="1"/>
  <c r="F264"/>
  <c r="G264" s="1"/>
  <c r="K264" s="1"/>
  <c r="F265"/>
  <c r="G265" s="1"/>
  <c r="K265" s="1"/>
  <c r="F266"/>
  <c r="G266" s="1"/>
  <c r="K266" s="1"/>
  <c r="F267"/>
  <c r="G267" s="1"/>
  <c r="K267" s="1"/>
  <c r="F268"/>
  <c r="G268" s="1"/>
  <c r="K268" s="1"/>
  <c r="F269"/>
  <c r="G269" s="1"/>
  <c r="K269" s="1"/>
  <c r="F270"/>
  <c r="G270" s="1"/>
  <c r="K270" s="1"/>
  <c r="F271"/>
  <c r="G271" s="1"/>
  <c r="K271" s="1"/>
  <c r="F272"/>
  <c r="G272"/>
  <c r="J272" s="1"/>
  <c r="F273"/>
  <c r="G273" s="1"/>
  <c r="K273" s="1"/>
  <c r="F274"/>
  <c r="G274" s="1"/>
  <c r="J274" s="1"/>
  <c r="F275"/>
  <c r="G275" s="1"/>
  <c r="K275" s="1"/>
  <c r="F276"/>
  <c r="G276" s="1"/>
  <c r="J276" s="1"/>
  <c r="F277"/>
  <c r="G277" s="1"/>
  <c r="K277" s="1"/>
  <c r="F278"/>
  <c r="G278"/>
  <c r="J278" s="1"/>
  <c r="F279"/>
  <c r="G279" s="1"/>
  <c r="K279" s="1"/>
  <c r="F280"/>
  <c r="G280" s="1"/>
  <c r="J280" s="1"/>
  <c r="F281"/>
  <c r="G281" s="1"/>
  <c r="J281" s="1"/>
  <c r="F282"/>
  <c r="G282" s="1"/>
  <c r="K282" s="1"/>
  <c r="F283"/>
  <c r="G283" s="1"/>
  <c r="K283" s="1"/>
  <c r="F284"/>
  <c r="G284" s="1"/>
  <c r="K284" s="1"/>
  <c r="F285"/>
  <c r="G285" s="1"/>
  <c r="J285" s="1"/>
  <c r="F412"/>
  <c r="G412" s="1"/>
  <c r="J412" s="1"/>
  <c r="F413"/>
  <c r="G413"/>
  <c r="J413" s="1"/>
  <c r="F414"/>
  <c r="G414" s="1"/>
  <c r="J414" s="1"/>
  <c r="F415"/>
  <c r="G415" s="1"/>
  <c r="K415" s="1"/>
  <c r="F416"/>
  <c r="G416" s="1"/>
  <c r="K416" s="1"/>
  <c r="F417"/>
  <c r="G417"/>
  <c r="K417" s="1"/>
  <c r="F418"/>
  <c r="G418" s="1"/>
  <c r="K418" s="1"/>
  <c r="F419"/>
  <c r="G419" s="1"/>
  <c r="J419" s="1"/>
  <c r="F420"/>
  <c r="G420" s="1"/>
  <c r="K420"/>
  <c r="F421"/>
  <c r="G421" s="1"/>
  <c r="K421" s="1"/>
  <c r="F422"/>
  <c r="G422" s="1"/>
  <c r="J422" s="1"/>
  <c r="F423"/>
  <c r="G423" s="1"/>
  <c r="J423" s="1"/>
  <c r="F424"/>
  <c r="G424" s="1"/>
  <c r="K424" s="1"/>
  <c r="F425"/>
  <c r="G425" s="1"/>
  <c r="K425"/>
  <c r="F426"/>
  <c r="G426" s="1"/>
  <c r="K426" s="1"/>
  <c r="F427"/>
  <c r="G427"/>
  <c r="J427" s="1"/>
  <c r="F428"/>
  <c r="G428" s="1"/>
  <c r="K428" s="1"/>
  <c r="F429"/>
  <c r="G429"/>
  <c r="J429" s="1"/>
  <c r="F430"/>
  <c r="G430" s="1"/>
  <c r="K430" s="1"/>
  <c r="F431"/>
  <c r="G431" s="1"/>
  <c r="J431" s="1"/>
  <c r="F432"/>
  <c r="G432" s="1"/>
  <c r="K432" s="1"/>
  <c r="F433"/>
  <c r="G433"/>
  <c r="K433" s="1"/>
  <c r="F434"/>
  <c r="G434" s="1"/>
  <c r="F435"/>
  <c r="G435" s="1"/>
  <c r="K435" s="1"/>
  <c r="F436"/>
  <c r="G436" s="1"/>
  <c r="K436" s="1"/>
  <c r="F437"/>
  <c r="G437" s="1"/>
  <c r="J437" s="1"/>
  <c r="F438"/>
  <c r="G438" s="1"/>
  <c r="K438" s="1"/>
  <c r="F439"/>
  <c r="G439"/>
  <c r="K439" s="1"/>
  <c r="F440"/>
  <c r="G440" s="1"/>
  <c r="J440" s="1"/>
  <c r="F441"/>
  <c r="G441" s="1"/>
  <c r="K441" s="1"/>
  <c r="F442"/>
  <c r="G442" s="1"/>
  <c r="K442" s="1"/>
  <c r="F443"/>
  <c r="G443"/>
  <c r="J443" s="1"/>
  <c r="F444"/>
  <c r="G444" s="1"/>
  <c r="K444" s="1"/>
  <c r="F445"/>
  <c r="G445"/>
  <c r="K445" s="1"/>
  <c r="F446"/>
  <c r="G446" s="1"/>
  <c r="F447"/>
  <c r="G447" s="1"/>
  <c r="F448"/>
  <c r="G448"/>
  <c r="K448" s="1"/>
  <c r="F449"/>
  <c r="G449" s="1"/>
  <c r="K449" s="1"/>
  <c r="F450"/>
  <c r="G450" s="1"/>
  <c r="K450" s="1"/>
  <c r="F451"/>
  <c r="G451" s="1"/>
  <c r="J451" s="1"/>
  <c r="F452"/>
  <c r="G452" s="1"/>
  <c r="J452" s="1"/>
  <c r="F453"/>
  <c r="G453" s="1"/>
  <c r="F454"/>
  <c r="G454" s="1"/>
  <c r="K454" s="1"/>
  <c r="F455"/>
  <c r="G455" s="1"/>
  <c r="K455" s="1"/>
  <c r="F456"/>
  <c r="G456" s="1"/>
  <c r="M456" s="1"/>
  <c r="F457"/>
  <c r="G457" s="1"/>
  <c r="F545"/>
  <c r="G545" s="1"/>
  <c r="M545" s="1"/>
  <c r="F544"/>
  <c r="G544" s="1"/>
  <c r="F543"/>
  <c r="G543" s="1"/>
  <c r="K543" s="1"/>
  <c r="F542"/>
  <c r="G542"/>
  <c r="M542" s="1"/>
  <c r="F541"/>
  <c r="G541" s="1"/>
  <c r="K541" s="1"/>
  <c r="F540"/>
  <c r="G540" s="1"/>
  <c r="K540" s="1"/>
  <c r="F539"/>
  <c r="G539" s="1"/>
  <c r="J539" s="1"/>
  <c r="F538"/>
  <c r="G538"/>
  <c r="J538" s="1"/>
  <c r="F537"/>
  <c r="G537" s="1"/>
  <c r="K537" s="1"/>
  <c r="F536"/>
  <c r="G536"/>
  <c r="K536" s="1"/>
  <c r="F535"/>
  <c r="G535" s="1"/>
  <c r="K535" s="1"/>
  <c r="F534"/>
  <c r="G534" s="1"/>
  <c r="M534" s="1"/>
  <c r="F533"/>
  <c r="G533" s="1"/>
  <c r="F532"/>
  <c r="G532" s="1"/>
  <c r="J532" s="1"/>
  <c r="F531"/>
  <c r="G531" s="1"/>
  <c r="J531" s="1"/>
  <c r="F530"/>
  <c r="G530" s="1"/>
  <c r="K530" s="1"/>
  <c r="F529"/>
  <c r="G529" s="1"/>
  <c r="J529" s="1"/>
  <c r="F528"/>
  <c r="G528" s="1"/>
  <c r="K528" s="1"/>
  <c r="F527"/>
  <c r="G527" s="1"/>
  <c r="J527"/>
  <c r="F526"/>
  <c r="G526" s="1"/>
  <c r="K526" s="1"/>
  <c r="F525"/>
  <c r="G525" s="1"/>
  <c r="F524"/>
  <c r="G524" s="1"/>
  <c r="J524" s="1"/>
  <c r="F523"/>
  <c r="G523" s="1"/>
  <c r="K523" s="1"/>
  <c r="F522"/>
  <c r="G522"/>
  <c r="K522" s="1"/>
  <c r="F521"/>
  <c r="G521" s="1"/>
  <c r="J521" s="1"/>
  <c r="F520"/>
  <c r="G520" s="1"/>
  <c r="J520" s="1"/>
  <c r="F519"/>
  <c r="G519"/>
  <c r="K519" s="1"/>
  <c r="F518"/>
  <c r="G518" s="1"/>
  <c r="J518" s="1"/>
  <c r="F517"/>
  <c r="G517" s="1"/>
  <c r="F516"/>
  <c r="G516"/>
  <c r="K516" s="1"/>
  <c r="F515"/>
  <c r="G515" s="1"/>
  <c r="J515" s="1"/>
  <c r="F514"/>
  <c r="G514" s="1"/>
  <c r="O514" s="1"/>
  <c r="F513"/>
  <c r="G513" s="1"/>
  <c r="K513" s="1"/>
  <c r="F512"/>
  <c r="G512"/>
  <c r="K512" s="1"/>
  <c r="F511"/>
  <c r="G511" s="1"/>
  <c r="K511" s="1"/>
  <c r="F510"/>
  <c r="G510" s="1"/>
  <c r="K510" s="1"/>
  <c r="F509"/>
  <c r="G509" s="1"/>
  <c r="J509" s="1"/>
  <c r="F508"/>
  <c r="G508"/>
  <c r="K508" s="1"/>
  <c r="F507"/>
  <c r="G507" s="1"/>
  <c r="J507"/>
  <c r="F506"/>
  <c r="G506" s="1"/>
  <c r="K506" s="1"/>
  <c r="F505"/>
  <c r="G505"/>
  <c r="J505" s="1"/>
  <c r="F504"/>
  <c r="G504" s="1"/>
  <c r="K504" s="1"/>
  <c r="F503"/>
  <c r="G503" s="1"/>
  <c r="J503"/>
  <c r="F502"/>
  <c r="G502" s="1"/>
  <c r="K502" s="1"/>
  <c r="F501"/>
  <c r="G501"/>
  <c r="J501" s="1"/>
  <c r="F500"/>
  <c r="G500" s="1"/>
  <c r="K500" s="1"/>
  <c r="F499"/>
  <c r="G499" s="1"/>
  <c r="J499" s="1"/>
  <c r="F498"/>
  <c r="G498"/>
  <c r="K498" s="1"/>
  <c r="F497"/>
  <c r="G497" s="1"/>
  <c r="K497" s="1"/>
  <c r="F496"/>
  <c r="G496"/>
  <c r="J496"/>
  <c r="F495"/>
  <c r="G495" s="1"/>
  <c r="K495" s="1"/>
  <c r="F494"/>
  <c r="G494"/>
  <c r="J494" s="1"/>
  <c r="F493"/>
  <c r="G493" s="1"/>
  <c r="K493" s="1"/>
  <c r="F492"/>
  <c r="G492" s="1"/>
  <c r="J492" s="1"/>
  <c r="J473" s="1"/>
  <c r="J49" s="1"/>
  <c r="F491"/>
  <c r="G491" s="1"/>
  <c r="K491"/>
  <c r="F490"/>
  <c r="G490" s="1"/>
  <c r="J490" s="1"/>
  <c r="F489"/>
  <c r="G489"/>
  <c r="K489" s="1"/>
  <c r="F488"/>
  <c r="G488" s="1"/>
  <c r="K488" s="1"/>
  <c r="F487"/>
  <c r="G487" s="1"/>
  <c r="K487" s="1"/>
  <c r="F486"/>
  <c r="G486" s="1"/>
  <c r="J486" s="1"/>
  <c r="F485"/>
  <c r="G485" s="1"/>
  <c r="J485" s="1"/>
  <c r="F484"/>
  <c r="G484" s="1"/>
  <c r="K484" s="1"/>
  <c r="F483"/>
  <c r="G483" s="1"/>
  <c r="K483" s="1"/>
  <c r="F482"/>
  <c r="G482" s="1"/>
  <c r="K482" s="1"/>
  <c r="F475"/>
  <c r="G475"/>
  <c r="J475" s="1"/>
  <c r="F476"/>
  <c r="G476" s="1"/>
  <c r="J476" s="1"/>
  <c r="F477"/>
  <c r="G477" s="1"/>
  <c r="K477" s="1"/>
  <c r="F478"/>
  <c r="G478" s="1"/>
  <c r="K478" s="1"/>
  <c r="F479"/>
  <c r="G479" s="1"/>
  <c r="K479" s="1"/>
  <c r="F480"/>
  <c r="G480" s="1"/>
  <c r="K480" s="1"/>
  <c r="F481"/>
  <c r="G481"/>
  <c r="K481" s="1"/>
  <c r="F611"/>
  <c r="G611" s="1"/>
  <c r="K611" s="1"/>
  <c r="F610"/>
  <c r="G610"/>
  <c r="J610" s="1"/>
  <c r="F609"/>
  <c r="G609" s="1"/>
  <c r="K609" s="1"/>
  <c r="F608"/>
  <c r="G608" s="1"/>
  <c r="J608" s="1"/>
  <c r="F607"/>
  <c r="G607" s="1"/>
  <c r="K607" s="1"/>
  <c r="F606"/>
  <c r="G606" s="1"/>
  <c r="J606" s="1"/>
  <c r="F605"/>
  <c r="G605" s="1"/>
  <c r="K605" s="1"/>
  <c r="F604"/>
  <c r="G604" s="1"/>
  <c r="J604" s="1"/>
  <c r="F603"/>
  <c r="G603" s="1"/>
  <c r="K603" s="1"/>
  <c r="F602"/>
  <c r="G602"/>
  <c r="J602" s="1"/>
  <c r="F601"/>
  <c r="G601" s="1"/>
  <c r="K601" s="1"/>
  <c r="F600"/>
  <c r="G600" s="1"/>
  <c r="J600" s="1"/>
  <c r="F599"/>
  <c r="G599" s="1"/>
  <c r="K599" s="1"/>
  <c r="F598"/>
  <c r="G598" s="1"/>
  <c r="K598" s="1"/>
  <c r="F597"/>
  <c r="G597" s="1"/>
  <c r="J597" s="1"/>
  <c r="F596"/>
  <c r="G596"/>
  <c r="J596" s="1"/>
  <c r="F595"/>
  <c r="G595" s="1"/>
  <c r="J595" s="1"/>
  <c r="F594"/>
  <c r="G594"/>
  <c r="J594" s="1"/>
  <c r="F593"/>
  <c r="G593" s="1"/>
  <c r="J593" s="1"/>
  <c r="F592"/>
  <c r="G592" s="1"/>
  <c r="K592" s="1"/>
  <c r="F591"/>
  <c r="G591" s="1"/>
  <c r="K591" s="1"/>
  <c r="F590"/>
  <c r="G590" s="1"/>
  <c r="K590" s="1"/>
  <c r="F589"/>
  <c r="G589" s="1"/>
  <c r="K589" s="1"/>
  <c r="F588"/>
  <c r="G588" s="1"/>
  <c r="J588" s="1"/>
  <c r="F587"/>
  <c r="G587" s="1"/>
  <c r="J587" s="1"/>
  <c r="F586"/>
  <c r="G586"/>
  <c r="J586" s="1"/>
  <c r="F585"/>
  <c r="G585" s="1"/>
  <c r="K585" s="1"/>
  <c r="F584"/>
  <c r="G584" s="1"/>
  <c r="J584" s="1"/>
  <c r="F583"/>
  <c r="G583" s="1"/>
  <c r="K583" s="1"/>
  <c r="F582"/>
  <c r="G582" s="1"/>
  <c r="J582" s="1"/>
  <c r="F581"/>
  <c r="G581" s="1"/>
  <c r="K581" s="1"/>
  <c r="F580"/>
  <c r="G580"/>
  <c r="J580" s="1"/>
  <c r="F579"/>
  <c r="G579" s="1"/>
  <c r="K579" s="1"/>
  <c r="F578"/>
  <c r="G578"/>
  <c r="K578" s="1"/>
  <c r="F577"/>
  <c r="G577" s="1"/>
  <c r="K577" s="1"/>
  <c r="F576"/>
  <c r="G576" s="1"/>
  <c r="J576" s="1"/>
  <c r="F575"/>
  <c r="G575" s="1"/>
  <c r="K575" s="1"/>
  <c r="F574"/>
  <c r="G574" s="1"/>
  <c r="J574" s="1"/>
  <c r="F573"/>
  <c r="G573" s="1"/>
  <c r="K573" s="1"/>
  <c r="F572"/>
  <c r="G572" s="1"/>
  <c r="K572" s="1"/>
  <c r="F571"/>
  <c r="G571" s="1"/>
  <c r="K571" s="1"/>
  <c r="F570"/>
  <c r="G570"/>
  <c r="J570" s="1"/>
  <c r="F569"/>
  <c r="G569" s="1"/>
  <c r="K569" s="1"/>
  <c r="F568"/>
  <c r="G568" s="1"/>
  <c r="J568" s="1"/>
  <c r="F567"/>
  <c r="G567" s="1"/>
  <c r="K567" s="1"/>
  <c r="F623"/>
  <c r="G623" s="1"/>
  <c r="K623" s="1"/>
  <c r="F622"/>
  <c r="G622"/>
  <c r="M622" s="1"/>
  <c r="F621"/>
  <c r="G621" s="1"/>
  <c r="F620"/>
  <c r="G620"/>
  <c r="K620" s="1"/>
  <c r="F619"/>
  <c r="G619" s="1"/>
  <c r="K619" s="1"/>
  <c r="F618"/>
  <c r="G618" s="1"/>
  <c r="F617"/>
  <c r="G617" s="1"/>
  <c r="J617" s="1"/>
  <c r="F616"/>
  <c r="G616" s="1"/>
  <c r="J616" s="1"/>
  <c r="F615"/>
  <c r="G615" s="1"/>
  <c r="K615" s="1"/>
  <c r="F614"/>
  <c r="G614" s="1"/>
  <c r="K614" s="1"/>
  <c r="F613"/>
  <c r="G613" s="1"/>
  <c r="K613" s="1"/>
  <c r="F612"/>
  <c r="G612"/>
  <c r="F562"/>
  <c r="G562" s="1"/>
  <c r="J562" s="1"/>
  <c r="F563"/>
  <c r="G563" s="1"/>
  <c r="K563" s="1"/>
  <c r="F564"/>
  <c r="G564" s="1"/>
  <c r="J564" s="1"/>
  <c r="F565"/>
  <c r="G565" s="1"/>
  <c r="K565" s="1"/>
  <c r="F566"/>
  <c r="G566"/>
  <c r="J566" s="1"/>
  <c r="F670"/>
  <c r="G670" s="1"/>
  <c r="F671"/>
  <c r="G671" s="1"/>
  <c r="K671" s="1"/>
  <c r="F672"/>
  <c r="G672"/>
  <c r="K672" s="1"/>
  <c r="F673"/>
  <c r="G673" s="1"/>
  <c r="K673" s="1"/>
  <c r="F674"/>
  <c r="G674" s="1"/>
  <c r="J674" s="1"/>
  <c r="F675"/>
  <c r="G675" s="1"/>
  <c r="J675" s="1"/>
  <c r="F676"/>
  <c r="G676" s="1"/>
  <c r="K676" s="1"/>
  <c r="F677"/>
  <c r="G677"/>
  <c r="K677" s="1"/>
  <c r="F678"/>
  <c r="G678" s="1"/>
  <c r="K678" s="1"/>
  <c r="F679"/>
  <c r="G679" s="1"/>
  <c r="M679" s="1"/>
  <c r="F680"/>
  <c r="G680" s="1"/>
  <c r="F681"/>
  <c r="G681" s="1"/>
  <c r="K681" s="1"/>
  <c r="F644"/>
  <c r="G644" s="1"/>
  <c r="K644" s="1"/>
  <c r="F645"/>
  <c r="G645" s="1"/>
  <c r="K645" s="1"/>
  <c r="F646"/>
  <c r="G646" s="1"/>
  <c r="K646" s="1"/>
  <c r="F647"/>
  <c r="G647"/>
  <c r="K647" s="1"/>
  <c r="F648"/>
  <c r="G648" s="1"/>
  <c r="K648" s="1"/>
  <c r="F649"/>
  <c r="G649"/>
  <c r="K649" s="1"/>
  <c r="F650"/>
  <c r="G650" s="1"/>
  <c r="K650" s="1"/>
  <c r="F651"/>
  <c r="G651"/>
  <c r="K651" s="1"/>
  <c r="F652"/>
  <c r="G652" s="1"/>
  <c r="K652" s="1"/>
  <c r="F653"/>
  <c r="G653" s="1"/>
  <c r="K653" s="1"/>
  <c r="F654"/>
  <c r="G654" s="1"/>
  <c r="K654" s="1"/>
  <c r="F655"/>
  <c r="G655"/>
  <c r="K655" s="1"/>
  <c r="F656"/>
  <c r="G656" s="1"/>
  <c r="K656" s="1"/>
  <c r="F657"/>
  <c r="G657" s="1"/>
  <c r="K657" s="1"/>
  <c r="F658"/>
  <c r="G658" s="1"/>
  <c r="J658" s="1"/>
  <c r="F659"/>
  <c r="G659" s="1"/>
  <c r="J659" s="1"/>
  <c r="F660"/>
  <c r="G660" s="1"/>
  <c r="J660" s="1"/>
  <c r="F661"/>
  <c r="G661"/>
  <c r="J661" s="1"/>
  <c r="F662"/>
  <c r="G662" s="1"/>
  <c r="K662" s="1"/>
  <c r="F663"/>
  <c r="G663" s="1"/>
  <c r="J663" s="1"/>
  <c r="F664"/>
  <c r="G664" s="1"/>
  <c r="K664" s="1"/>
  <c r="F665"/>
  <c r="G665" s="1"/>
  <c r="K665" s="1"/>
  <c r="F666"/>
  <c r="G666" s="1"/>
  <c r="J666" s="1"/>
  <c r="F667"/>
  <c r="G667"/>
  <c r="K667" s="1"/>
  <c r="F668"/>
  <c r="G668" s="1"/>
  <c r="K668" s="1"/>
  <c r="K696"/>
  <c r="K59" s="1"/>
  <c r="K391"/>
  <c r="K372"/>
  <c r="K517"/>
  <c r="O517"/>
  <c r="K525"/>
  <c r="O525"/>
  <c r="K533"/>
  <c r="O533"/>
  <c r="K434"/>
  <c r="O434"/>
  <c r="J358"/>
  <c r="J148"/>
  <c r="K148"/>
  <c r="O374"/>
  <c r="J100"/>
  <c r="K100"/>
  <c r="O373"/>
  <c r="J101"/>
  <c r="J85"/>
  <c r="K375"/>
  <c r="O375"/>
  <c r="O435"/>
  <c r="O277"/>
  <c r="O254" s="1"/>
  <c r="O43" s="1"/>
  <c r="J247"/>
  <c r="K247"/>
  <c r="K244" s="1"/>
  <c r="K41" s="1"/>
  <c r="K359"/>
  <c r="O359"/>
  <c r="K226"/>
  <c r="K149"/>
  <c r="J99"/>
  <c r="O75"/>
  <c r="O64" s="1"/>
  <c r="O29" s="1"/>
  <c r="K75"/>
  <c r="O376"/>
  <c r="M145"/>
  <c r="M33" s="1"/>
  <c r="M696"/>
  <c r="M59"/>
  <c r="K545"/>
  <c r="K321"/>
  <c r="M321"/>
  <c r="M183"/>
  <c r="K163"/>
  <c r="M163"/>
  <c r="K534"/>
  <c r="K542"/>
  <c r="K457"/>
  <c r="M457"/>
  <c r="K453"/>
  <c r="M453"/>
  <c r="K319"/>
  <c r="K263"/>
  <c r="M263"/>
  <c r="K209"/>
  <c r="M209"/>
  <c r="K177"/>
  <c r="M177"/>
  <c r="K173"/>
  <c r="M173"/>
  <c r="K162"/>
  <c r="M162"/>
  <c r="K73"/>
  <c r="M73"/>
  <c r="J242"/>
  <c r="D723" s="1"/>
  <c r="M242"/>
  <c r="M169"/>
  <c r="K338"/>
  <c r="M338"/>
  <c r="K622"/>
  <c r="M543"/>
  <c r="K456"/>
  <c r="K262"/>
  <c r="K323"/>
  <c r="M171"/>
  <c r="K165"/>
  <c r="M165"/>
  <c r="M179"/>
  <c r="K84"/>
  <c r="M84"/>
  <c r="D715"/>
  <c r="M678"/>
  <c r="M623"/>
  <c r="M540"/>
  <c r="M455"/>
  <c r="K447"/>
  <c r="M447"/>
  <c r="M261"/>
  <c r="K396"/>
  <c r="M396"/>
  <c r="K322"/>
  <c r="M322"/>
  <c r="K164"/>
  <c r="M164"/>
  <c r="M167"/>
  <c r="K131"/>
  <c r="M131"/>
  <c r="J75"/>
  <c r="M75"/>
  <c r="K160"/>
  <c r="M160"/>
  <c r="J220"/>
  <c r="D722"/>
  <c r="M220"/>
  <c r="K255"/>
  <c r="M255"/>
  <c r="J337"/>
  <c r="J45" s="1"/>
  <c r="F224" i="9"/>
  <c r="G224"/>
  <c r="H224" s="1"/>
  <c r="G223"/>
  <c r="F223"/>
  <c r="G222"/>
  <c r="F222"/>
  <c r="H222" s="1"/>
  <c r="G221"/>
  <c r="F221"/>
  <c r="G220"/>
  <c r="F220"/>
  <c r="H220" s="1"/>
  <c r="F217"/>
  <c r="H217" s="1"/>
  <c r="G217"/>
  <c r="G215"/>
  <c r="F215"/>
  <c r="H215" s="1"/>
  <c r="G218"/>
  <c r="H218" s="1"/>
  <c r="F218"/>
  <c r="G216"/>
  <c r="F216"/>
  <c r="H216" s="1"/>
  <c r="G214"/>
  <c r="F214"/>
  <c r="H214" s="1"/>
  <c r="G213"/>
  <c r="F213"/>
  <c r="H213" s="1"/>
  <c r="G212"/>
  <c r="F212"/>
  <c r="G182"/>
  <c r="F182"/>
  <c r="H182" s="1"/>
  <c r="G180"/>
  <c r="F180"/>
  <c r="H180" s="1"/>
  <c r="G179"/>
  <c r="F179"/>
  <c r="H179" s="1"/>
  <c r="G177"/>
  <c r="F177"/>
  <c r="G169"/>
  <c r="F169"/>
  <c r="H169" s="1"/>
  <c r="G168"/>
  <c r="F168"/>
  <c r="G160"/>
  <c r="F160"/>
  <c r="G158"/>
  <c r="F158"/>
  <c r="H158" s="1"/>
  <c r="G157"/>
  <c r="F157"/>
  <c r="H157" s="1"/>
  <c r="G155"/>
  <c r="F155"/>
  <c r="G147"/>
  <c r="F147"/>
  <c r="G146"/>
  <c r="H146" s="1"/>
  <c r="F146"/>
  <c r="F14"/>
  <c r="G14"/>
  <c r="F15"/>
  <c r="G15"/>
  <c r="F13"/>
  <c r="G13"/>
  <c r="G197"/>
  <c r="F197"/>
  <c r="G196"/>
  <c r="F196"/>
  <c r="G194"/>
  <c r="F194"/>
  <c r="H194"/>
  <c r="G193"/>
  <c r="H193" s="1"/>
  <c r="F193"/>
  <c r="G191"/>
  <c r="F191"/>
  <c r="H191" s="1"/>
  <c r="G190"/>
  <c r="H190" s="1"/>
  <c r="F190"/>
  <c r="G138"/>
  <c r="F138"/>
  <c r="G136"/>
  <c r="F136"/>
  <c r="H136" s="1"/>
  <c r="G135"/>
  <c r="F135"/>
  <c r="H135" s="1"/>
  <c r="G133"/>
  <c r="F133"/>
  <c r="G125"/>
  <c r="F125"/>
  <c r="H125"/>
  <c r="G124"/>
  <c r="F124"/>
  <c r="G121"/>
  <c r="F121"/>
  <c r="H121" s="1"/>
  <c r="G120"/>
  <c r="H120" s="1"/>
  <c r="F120"/>
  <c r="G119"/>
  <c r="F119"/>
  <c r="G116"/>
  <c r="F116"/>
  <c r="G115"/>
  <c r="F115"/>
  <c r="H115" s="1"/>
  <c r="G114"/>
  <c r="F114"/>
  <c r="G113"/>
  <c r="F113"/>
  <c r="H113" s="1"/>
  <c r="G112"/>
  <c r="F112"/>
  <c r="G111"/>
  <c r="F111"/>
  <c r="G110"/>
  <c r="F110"/>
  <c r="G109"/>
  <c r="H109" s="1"/>
  <c r="F109"/>
  <c r="G108"/>
  <c r="F108"/>
  <c r="H108" s="1"/>
  <c r="G107"/>
  <c r="F107"/>
  <c r="G106"/>
  <c r="F106"/>
  <c r="G103"/>
  <c r="F103"/>
  <c r="G102"/>
  <c r="F102"/>
  <c r="H102" s="1"/>
  <c r="G101"/>
  <c r="F101"/>
  <c r="G100"/>
  <c r="F100"/>
  <c r="G99"/>
  <c r="H99" s="1"/>
  <c r="F99"/>
  <c r="G96"/>
  <c r="F96"/>
  <c r="H96" s="1"/>
  <c r="G95"/>
  <c r="F95"/>
  <c r="G94"/>
  <c r="F94"/>
  <c r="G91"/>
  <c r="F91"/>
  <c r="H91"/>
  <c r="G88"/>
  <c r="H88" s="1"/>
  <c r="F88"/>
  <c r="G87"/>
  <c r="F87"/>
  <c r="H87" s="1"/>
  <c r="G76"/>
  <c r="H76" s="1"/>
  <c r="F76"/>
  <c r="G75"/>
  <c r="F75"/>
  <c r="G74"/>
  <c r="H74" s="1"/>
  <c r="F74"/>
  <c r="G73"/>
  <c r="F73"/>
  <c r="H73" s="1"/>
  <c r="G72"/>
  <c r="F72"/>
  <c r="G71"/>
  <c r="F71"/>
  <c r="H71"/>
  <c r="G68"/>
  <c r="F68"/>
  <c r="G67"/>
  <c r="F67"/>
  <c r="G66"/>
  <c r="F66"/>
  <c r="G65"/>
  <c r="F65"/>
  <c r="G64"/>
  <c r="F64"/>
  <c r="G59"/>
  <c r="F59"/>
  <c r="G58"/>
  <c r="F58"/>
  <c r="G57"/>
  <c r="F57"/>
  <c r="G56"/>
  <c r="F56"/>
  <c r="G55"/>
  <c r="F55"/>
  <c r="G54"/>
  <c r="F54"/>
  <c r="G53"/>
  <c r="F53"/>
  <c r="G52"/>
  <c r="F52"/>
  <c r="G51"/>
  <c r="F51"/>
  <c r="G50"/>
  <c r="F50"/>
  <c r="G49"/>
  <c r="F49"/>
  <c r="G48"/>
  <c r="F48"/>
  <c r="G46"/>
  <c r="F46"/>
  <c r="G45"/>
  <c r="F45"/>
  <c r="G44"/>
  <c r="F44"/>
  <c r="G43"/>
  <c r="F43"/>
  <c r="G40"/>
  <c r="F40"/>
  <c r="G39"/>
  <c r="F39"/>
  <c r="G37"/>
  <c r="F37"/>
  <c r="G36"/>
  <c r="F36"/>
  <c r="G35"/>
  <c r="F35"/>
  <c r="G34"/>
  <c r="F34"/>
  <c r="G33"/>
  <c r="F33"/>
  <c r="G32"/>
  <c r="F32"/>
  <c r="G31"/>
  <c r="F31"/>
  <c r="G30"/>
  <c r="F30"/>
  <c r="G29"/>
  <c r="F29"/>
  <c r="G28"/>
  <c r="F28"/>
  <c r="G27"/>
  <c r="F27"/>
  <c r="G26"/>
  <c r="F26"/>
  <c r="G25"/>
  <c r="F25"/>
  <c r="G12"/>
  <c r="F12"/>
  <c r="G11"/>
  <c r="F11"/>
  <c r="H11" s="1"/>
  <c r="G10"/>
  <c r="H10" s="1"/>
  <c r="F10"/>
  <c r="G9"/>
  <c r="F9"/>
  <c r="G8"/>
  <c r="F8"/>
  <c r="G7"/>
  <c r="F7"/>
  <c r="H7" s="1"/>
  <c r="G6"/>
  <c r="F6"/>
  <c r="G5"/>
  <c r="F5"/>
  <c r="H5" s="1"/>
  <c r="H12"/>
  <c r="H112"/>
  <c r="H124"/>
  <c r="H147"/>
  <c r="H221"/>
  <c r="V669" i="7"/>
  <c r="I53"/>
  <c r="D34" i="5"/>
  <c r="H24" s="1"/>
  <c r="D33"/>
  <c r="H23"/>
  <c r="D23"/>
  <c r="D32"/>
  <c r="H22" s="1"/>
  <c r="D22"/>
  <c r="D25" s="1"/>
  <c r="H17"/>
  <c r="D28"/>
  <c r="D17"/>
  <c r="F674" i="7"/>
  <c r="F673"/>
  <c r="W664"/>
  <c r="U664"/>
  <c r="I664"/>
  <c r="W663"/>
  <c r="U663"/>
  <c r="I663"/>
  <c r="W662"/>
  <c r="G662"/>
  <c r="G686" s="1"/>
  <c r="F662"/>
  <c r="U662" s="1"/>
  <c r="W660"/>
  <c r="U660"/>
  <c r="G660"/>
  <c r="F660"/>
  <c r="M660" s="1"/>
  <c r="U659"/>
  <c r="G659"/>
  <c r="F659"/>
  <c r="M659" s="1"/>
  <c r="U658"/>
  <c r="G658"/>
  <c r="F658"/>
  <c r="M658" s="1"/>
  <c r="G657"/>
  <c r="F657"/>
  <c r="U657"/>
  <c r="W656"/>
  <c r="U656"/>
  <c r="I656"/>
  <c r="W655"/>
  <c r="U655"/>
  <c r="I655"/>
  <c r="W654"/>
  <c r="U654"/>
  <c r="I654"/>
  <c r="W653"/>
  <c r="U653"/>
  <c r="I653"/>
  <c r="W652"/>
  <c r="U652"/>
  <c r="I652"/>
  <c r="U651"/>
  <c r="G651"/>
  <c r="K651" s="1"/>
  <c r="F651"/>
  <c r="U650"/>
  <c r="G650"/>
  <c r="K650" s="1"/>
  <c r="F650"/>
  <c r="I650"/>
  <c r="W649"/>
  <c r="U649"/>
  <c r="I649"/>
  <c r="U648"/>
  <c r="G648"/>
  <c r="K648" s="1"/>
  <c r="F648"/>
  <c r="I648"/>
  <c r="U647"/>
  <c r="G647"/>
  <c r="F647"/>
  <c r="U646"/>
  <c r="G646"/>
  <c r="K646" s="1"/>
  <c r="F646"/>
  <c r="W646"/>
  <c r="U645"/>
  <c r="G645"/>
  <c r="K645" s="1"/>
  <c r="F645"/>
  <c r="I645" s="1"/>
  <c r="W644"/>
  <c r="U644"/>
  <c r="I644"/>
  <c r="U643"/>
  <c r="G643"/>
  <c r="K643" s="1"/>
  <c r="F643"/>
  <c r="I643" s="1"/>
  <c r="U642"/>
  <c r="G642"/>
  <c r="K642"/>
  <c r="F642"/>
  <c r="I642" s="1"/>
  <c r="W641"/>
  <c r="U641"/>
  <c r="I641"/>
  <c r="U640"/>
  <c r="G640"/>
  <c r="K640"/>
  <c r="F640"/>
  <c r="I640" s="1"/>
  <c r="U639"/>
  <c r="G639"/>
  <c r="K639" s="1"/>
  <c r="F639"/>
  <c r="W639" s="1"/>
  <c r="U638"/>
  <c r="G638"/>
  <c r="K638"/>
  <c r="F638"/>
  <c r="W638" s="1"/>
  <c r="U637"/>
  <c r="G637"/>
  <c r="K637" s="1"/>
  <c r="F637"/>
  <c r="I637" s="1"/>
  <c r="U636"/>
  <c r="G636"/>
  <c r="K636"/>
  <c r="F636"/>
  <c r="I636" s="1"/>
  <c r="U635"/>
  <c r="G635"/>
  <c r="K635" s="1"/>
  <c r="F635"/>
  <c r="W635" s="1"/>
  <c r="U634"/>
  <c r="G634"/>
  <c r="K634"/>
  <c r="F634"/>
  <c r="W634" s="1"/>
  <c r="U633"/>
  <c r="G633"/>
  <c r="K633" s="1"/>
  <c r="F633"/>
  <c r="I633" s="1"/>
  <c r="U632"/>
  <c r="G632"/>
  <c r="K632" s="1"/>
  <c r="F632"/>
  <c r="U631"/>
  <c r="U685" s="1"/>
  <c r="G631"/>
  <c r="K631" s="1"/>
  <c r="F631"/>
  <c r="U630"/>
  <c r="G630"/>
  <c r="K630" s="1"/>
  <c r="F630"/>
  <c r="I630" s="1"/>
  <c r="U629"/>
  <c r="G629"/>
  <c r="K629"/>
  <c r="F629"/>
  <c r="I629" s="1"/>
  <c r="U628"/>
  <c r="G628"/>
  <c r="K628" s="1"/>
  <c r="F628"/>
  <c r="W627"/>
  <c r="U627"/>
  <c r="I627"/>
  <c r="U626"/>
  <c r="G626"/>
  <c r="K626"/>
  <c r="F626"/>
  <c r="U625"/>
  <c r="G625"/>
  <c r="K625" s="1"/>
  <c r="F625"/>
  <c r="W625" s="1"/>
  <c r="U624"/>
  <c r="G624"/>
  <c r="F624"/>
  <c r="U623"/>
  <c r="G623"/>
  <c r="K623" s="1"/>
  <c r="F623"/>
  <c r="U622"/>
  <c r="G622"/>
  <c r="K622" s="1"/>
  <c r="F622"/>
  <c r="I622" s="1"/>
  <c r="W621"/>
  <c r="U621"/>
  <c r="I621"/>
  <c r="U620"/>
  <c r="G620"/>
  <c r="K620" s="1"/>
  <c r="F620"/>
  <c r="U619"/>
  <c r="G619"/>
  <c r="F619"/>
  <c r="I619"/>
  <c r="W618"/>
  <c r="U618"/>
  <c r="I618"/>
  <c r="U617"/>
  <c r="F617"/>
  <c r="M617" s="1"/>
  <c r="W615"/>
  <c r="U615"/>
  <c r="G615"/>
  <c r="F615"/>
  <c r="M615" s="1"/>
  <c r="U614"/>
  <c r="G614"/>
  <c r="F614"/>
  <c r="M614" s="1"/>
  <c r="U613"/>
  <c r="G613"/>
  <c r="F613"/>
  <c r="M613" s="1"/>
  <c r="U612"/>
  <c r="K612"/>
  <c r="Y612"/>
  <c r="G611"/>
  <c r="F611"/>
  <c r="U611" s="1"/>
  <c r="U610"/>
  <c r="G610"/>
  <c r="F610"/>
  <c r="W609"/>
  <c r="U609"/>
  <c r="I609"/>
  <c r="W608"/>
  <c r="U608"/>
  <c r="I608"/>
  <c r="W607"/>
  <c r="U607"/>
  <c r="I607"/>
  <c r="W606"/>
  <c r="U606"/>
  <c r="I606"/>
  <c r="W605"/>
  <c r="U605"/>
  <c r="I605"/>
  <c r="W604"/>
  <c r="U604"/>
  <c r="I604"/>
  <c r="W603"/>
  <c r="U603"/>
  <c r="I603"/>
  <c r="W602"/>
  <c r="U602"/>
  <c r="I602"/>
  <c r="W601"/>
  <c r="U601"/>
  <c r="I601"/>
  <c r="W600"/>
  <c r="U600"/>
  <c r="I600"/>
  <c r="U599"/>
  <c r="G599"/>
  <c r="K599" s="1"/>
  <c r="F599"/>
  <c r="W599" s="1"/>
  <c r="W598"/>
  <c r="U598"/>
  <c r="I598"/>
  <c r="U597"/>
  <c r="G597"/>
  <c r="K597" s="1"/>
  <c r="F597"/>
  <c r="W597" s="1"/>
  <c r="W596"/>
  <c r="U596"/>
  <c r="I596"/>
  <c r="U595"/>
  <c r="G595"/>
  <c r="K595"/>
  <c r="F595"/>
  <c r="W595" s="1"/>
  <c r="U594"/>
  <c r="G594"/>
  <c r="K594"/>
  <c r="F594"/>
  <c r="I594" s="1"/>
  <c r="W593"/>
  <c r="U593"/>
  <c r="I593"/>
  <c r="U592"/>
  <c r="G592"/>
  <c r="K592"/>
  <c r="F592"/>
  <c r="I592" s="1"/>
  <c r="U591"/>
  <c r="G591"/>
  <c r="K591" s="1"/>
  <c r="F591"/>
  <c r="U590"/>
  <c r="G590"/>
  <c r="K590" s="1"/>
  <c r="F590"/>
  <c r="W590" s="1"/>
  <c r="U589"/>
  <c r="G589"/>
  <c r="K589" s="1"/>
  <c r="F589"/>
  <c r="I589" s="1"/>
  <c r="U588"/>
  <c r="G588"/>
  <c r="K588" s="1"/>
  <c r="F588"/>
  <c r="I588" s="1"/>
  <c r="U587"/>
  <c r="G587"/>
  <c r="K587" s="1"/>
  <c r="F587"/>
  <c r="U586"/>
  <c r="G586"/>
  <c r="K586" s="1"/>
  <c r="F586"/>
  <c r="I586" s="1"/>
  <c r="W585"/>
  <c r="U585"/>
  <c r="I585"/>
  <c r="W584"/>
  <c r="U584"/>
  <c r="I584"/>
  <c r="W583"/>
  <c r="U583"/>
  <c r="I583"/>
  <c r="W582"/>
  <c r="U582"/>
  <c r="I582"/>
  <c r="W581"/>
  <c r="U581"/>
  <c r="I581"/>
  <c r="W580"/>
  <c r="U580"/>
  <c r="I580"/>
  <c r="W579"/>
  <c r="U579"/>
  <c r="I579"/>
  <c r="W578"/>
  <c r="U578"/>
  <c r="I578"/>
  <c r="U577"/>
  <c r="G577"/>
  <c r="K577" s="1"/>
  <c r="F577"/>
  <c r="W577" s="1"/>
  <c r="U576"/>
  <c r="G576"/>
  <c r="K576" s="1"/>
  <c r="F576"/>
  <c r="I576" s="1"/>
  <c r="W575"/>
  <c r="U575"/>
  <c r="I575"/>
  <c r="U574"/>
  <c r="G574"/>
  <c r="K574"/>
  <c r="F574"/>
  <c r="W573"/>
  <c r="U573"/>
  <c r="I573"/>
  <c r="U572"/>
  <c r="G572"/>
  <c r="K572" s="1"/>
  <c r="F572"/>
  <c r="I572" s="1"/>
  <c r="U571"/>
  <c r="G571"/>
  <c r="K571" s="1"/>
  <c r="F571"/>
  <c r="U570"/>
  <c r="G570"/>
  <c r="K570" s="1"/>
  <c r="F570"/>
  <c r="W570" s="1"/>
  <c r="W569"/>
  <c r="U569"/>
  <c r="I569"/>
  <c r="W568"/>
  <c r="U568"/>
  <c r="I568"/>
  <c r="W567"/>
  <c r="U567"/>
  <c r="I567"/>
  <c r="W566"/>
  <c r="U566"/>
  <c r="I566"/>
  <c r="W565"/>
  <c r="U565"/>
  <c r="I565"/>
  <c r="W564"/>
  <c r="U564"/>
  <c r="I564"/>
  <c r="W563"/>
  <c r="U563"/>
  <c r="I563"/>
  <c r="W562"/>
  <c r="U562"/>
  <c r="I562"/>
  <c r="W561"/>
  <c r="U561"/>
  <c r="I561"/>
  <c r="W560"/>
  <c r="U560"/>
  <c r="I560"/>
  <c r="U559"/>
  <c r="G559"/>
  <c r="F559"/>
  <c r="U558"/>
  <c r="G558"/>
  <c r="K558" s="1"/>
  <c r="F558"/>
  <c r="I558" s="1"/>
  <c r="U557"/>
  <c r="G557"/>
  <c r="K557" s="1"/>
  <c r="F557"/>
  <c r="W557" s="1"/>
  <c r="W556"/>
  <c r="U556"/>
  <c r="I556"/>
  <c r="U555"/>
  <c r="G555"/>
  <c r="K555" s="1"/>
  <c r="F555"/>
  <c r="I555" s="1"/>
  <c r="U554"/>
  <c r="G554"/>
  <c r="F554"/>
  <c r="W553"/>
  <c r="U553"/>
  <c r="I553"/>
  <c r="U552"/>
  <c r="F552"/>
  <c r="W550"/>
  <c r="U550"/>
  <c r="G550"/>
  <c r="F550"/>
  <c r="M550" s="1"/>
  <c r="U549"/>
  <c r="G549"/>
  <c r="F549"/>
  <c r="M549" s="1"/>
  <c r="U548"/>
  <c r="G548"/>
  <c r="F548"/>
  <c r="M548" s="1"/>
  <c r="U547"/>
  <c r="K547"/>
  <c r="G546"/>
  <c r="F546"/>
  <c r="Y546"/>
  <c r="U545"/>
  <c r="G545"/>
  <c r="F545"/>
  <c r="W544"/>
  <c r="U544"/>
  <c r="I544"/>
  <c r="W543"/>
  <c r="U543"/>
  <c r="I543"/>
  <c r="W542"/>
  <c r="U542"/>
  <c r="I542"/>
  <c r="W541"/>
  <c r="U541"/>
  <c r="I541"/>
  <c r="W540"/>
  <c r="U540"/>
  <c r="I540"/>
  <c r="W539"/>
  <c r="U539"/>
  <c r="I539"/>
  <c r="W538"/>
  <c r="U538"/>
  <c r="I538"/>
  <c r="W537"/>
  <c r="U537"/>
  <c r="I537"/>
  <c r="W536"/>
  <c r="U536"/>
  <c r="I536"/>
  <c r="W535"/>
  <c r="U535"/>
  <c r="I535"/>
  <c r="U534"/>
  <c r="G534"/>
  <c r="K534" s="1"/>
  <c r="F534"/>
  <c r="I534"/>
  <c r="W533"/>
  <c r="U533"/>
  <c r="I533"/>
  <c r="U532"/>
  <c r="G532"/>
  <c r="K532" s="1"/>
  <c r="F532"/>
  <c r="W531"/>
  <c r="U531"/>
  <c r="I531"/>
  <c r="U530"/>
  <c r="G530"/>
  <c r="K530"/>
  <c r="F530"/>
  <c r="I530" s="1"/>
  <c r="U529"/>
  <c r="G529"/>
  <c r="K529" s="1"/>
  <c r="F529"/>
  <c r="W528"/>
  <c r="U528"/>
  <c r="I528"/>
  <c r="U527"/>
  <c r="G527"/>
  <c r="K527" s="1"/>
  <c r="F527"/>
  <c r="W527" s="1"/>
  <c r="U526"/>
  <c r="G526"/>
  <c r="K526" s="1"/>
  <c r="F526"/>
  <c r="I526" s="1"/>
  <c r="U525"/>
  <c r="G525"/>
  <c r="K525" s="1"/>
  <c r="F525"/>
  <c r="U524"/>
  <c r="G524"/>
  <c r="K524" s="1"/>
  <c r="F524"/>
  <c r="U523"/>
  <c r="G523"/>
  <c r="K523" s="1"/>
  <c r="F523"/>
  <c r="I523"/>
  <c r="U522"/>
  <c r="G522"/>
  <c r="K522" s="1"/>
  <c r="F522"/>
  <c r="U521"/>
  <c r="G521"/>
  <c r="K521" s="1"/>
  <c r="F521"/>
  <c r="I521" s="1"/>
  <c r="W520"/>
  <c r="U520"/>
  <c r="I520"/>
  <c r="W519"/>
  <c r="U519"/>
  <c r="I519"/>
  <c r="W518"/>
  <c r="U518"/>
  <c r="I518"/>
  <c r="W517"/>
  <c r="U517"/>
  <c r="I517"/>
  <c r="W516"/>
  <c r="U516"/>
  <c r="I516"/>
  <c r="W515"/>
  <c r="U515"/>
  <c r="I515"/>
  <c r="W514"/>
  <c r="U514"/>
  <c r="I514"/>
  <c r="W513"/>
  <c r="U513"/>
  <c r="I513"/>
  <c r="U512"/>
  <c r="G512"/>
  <c r="K512" s="1"/>
  <c r="F512"/>
  <c r="W512" s="1"/>
  <c r="U511"/>
  <c r="G511"/>
  <c r="K511" s="1"/>
  <c r="F511"/>
  <c r="W511" s="1"/>
  <c r="W510"/>
  <c r="U510"/>
  <c r="I510"/>
  <c r="U509"/>
  <c r="G509"/>
  <c r="K509"/>
  <c r="F509"/>
  <c r="W509" s="1"/>
  <c r="W508"/>
  <c r="U508"/>
  <c r="I508"/>
  <c r="U507"/>
  <c r="G507"/>
  <c r="K507" s="1"/>
  <c r="F507"/>
  <c r="U506"/>
  <c r="G506"/>
  <c r="K506" s="1"/>
  <c r="F506"/>
  <c r="W506" s="1"/>
  <c r="U505"/>
  <c r="G505"/>
  <c r="K505" s="1"/>
  <c r="F505"/>
  <c r="I505"/>
  <c r="W504"/>
  <c r="U504"/>
  <c r="I504"/>
  <c r="W503"/>
  <c r="U503"/>
  <c r="I503"/>
  <c r="W502"/>
  <c r="U502"/>
  <c r="I502"/>
  <c r="W501"/>
  <c r="U501"/>
  <c r="I501"/>
  <c r="W500"/>
  <c r="U500"/>
  <c r="I500"/>
  <c r="W499"/>
  <c r="U499"/>
  <c r="I499"/>
  <c r="W498"/>
  <c r="U498"/>
  <c r="I498"/>
  <c r="W497"/>
  <c r="U497"/>
  <c r="I497"/>
  <c r="W496"/>
  <c r="U496"/>
  <c r="I496"/>
  <c r="W495"/>
  <c r="U495"/>
  <c r="I495"/>
  <c r="U494"/>
  <c r="G494"/>
  <c r="F494"/>
  <c r="M494" s="1"/>
  <c r="U493"/>
  <c r="G493"/>
  <c r="K493" s="1"/>
  <c r="F493"/>
  <c r="I493" s="1"/>
  <c r="U492"/>
  <c r="G492"/>
  <c r="K492" s="1"/>
  <c r="F492"/>
  <c r="W492" s="1"/>
  <c r="W491"/>
  <c r="U491"/>
  <c r="I491"/>
  <c r="U490"/>
  <c r="G490"/>
  <c r="K490" s="1"/>
  <c r="F490"/>
  <c r="Y490" s="1"/>
  <c r="Y683" s="1"/>
  <c r="U489"/>
  <c r="G489"/>
  <c r="F489"/>
  <c r="I489" s="1"/>
  <c r="W488"/>
  <c r="U488"/>
  <c r="I488"/>
  <c r="U487"/>
  <c r="F487"/>
  <c r="W485"/>
  <c r="U485"/>
  <c r="G485"/>
  <c r="F485"/>
  <c r="M485" s="1"/>
  <c r="U484"/>
  <c r="G484"/>
  <c r="F484"/>
  <c r="U483"/>
  <c r="G483"/>
  <c r="F483"/>
  <c r="M483" s="1"/>
  <c r="U482"/>
  <c r="K482"/>
  <c r="G481"/>
  <c r="F481"/>
  <c r="Y481"/>
  <c r="U480"/>
  <c r="G480"/>
  <c r="F480"/>
  <c r="W479"/>
  <c r="U479"/>
  <c r="I479"/>
  <c r="W478"/>
  <c r="U478"/>
  <c r="I478"/>
  <c r="W477"/>
  <c r="U477"/>
  <c r="I477"/>
  <c r="W476"/>
  <c r="U476"/>
  <c r="I476"/>
  <c r="W475"/>
  <c r="U475"/>
  <c r="I475"/>
  <c r="W474"/>
  <c r="U474"/>
  <c r="I474"/>
  <c r="W473"/>
  <c r="U473"/>
  <c r="I473"/>
  <c r="W472"/>
  <c r="U472"/>
  <c r="I472"/>
  <c r="W471"/>
  <c r="U471"/>
  <c r="I471"/>
  <c r="W470"/>
  <c r="U470"/>
  <c r="I470"/>
  <c r="U469"/>
  <c r="G469"/>
  <c r="K469" s="1"/>
  <c r="F469"/>
  <c r="I469" s="1"/>
  <c r="W468"/>
  <c r="U468"/>
  <c r="I468"/>
  <c r="U467"/>
  <c r="G467"/>
  <c r="K467" s="1"/>
  <c r="F467"/>
  <c r="W466"/>
  <c r="U466"/>
  <c r="I466"/>
  <c r="U465"/>
  <c r="G465"/>
  <c r="K465"/>
  <c r="F465"/>
  <c r="I465" s="1"/>
  <c r="U464"/>
  <c r="G464"/>
  <c r="K464"/>
  <c r="F464"/>
  <c r="W464" s="1"/>
  <c r="W463"/>
  <c r="U463"/>
  <c r="I463"/>
  <c r="U462"/>
  <c r="G462"/>
  <c r="K462" s="1"/>
  <c r="F462"/>
  <c r="W462" s="1"/>
  <c r="U461"/>
  <c r="G461"/>
  <c r="K461" s="1"/>
  <c r="F461"/>
  <c r="W461"/>
  <c r="U460"/>
  <c r="G460"/>
  <c r="K460" s="1"/>
  <c r="F460"/>
  <c r="U459"/>
  <c r="G459"/>
  <c r="K459" s="1"/>
  <c r="F459"/>
  <c r="I459" s="1"/>
  <c r="U458"/>
  <c r="G458"/>
  <c r="K458" s="1"/>
  <c r="F458"/>
  <c r="U457"/>
  <c r="G457"/>
  <c r="K457" s="1"/>
  <c r="F457"/>
  <c r="W457" s="1"/>
  <c r="U456"/>
  <c r="G456"/>
  <c r="K456" s="1"/>
  <c r="F456"/>
  <c r="I456" s="1"/>
  <c r="W455"/>
  <c r="U455"/>
  <c r="I455"/>
  <c r="W454"/>
  <c r="U454"/>
  <c r="I454"/>
  <c r="W453"/>
  <c r="U453"/>
  <c r="I453"/>
  <c r="W452"/>
  <c r="U452"/>
  <c r="I452"/>
  <c r="W451"/>
  <c r="U451"/>
  <c r="I451"/>
  <c r="W450"/>
  <c r="U450"/>
  <c r="I450"/>
  <c r="W449"/>
  <c r="U449"/>
  <c r="I449"/>
  <c r="W448"/>
  <c r="U448"/>
  <c r="I448"/>
  <c r="U447"/>
  <c r="G447"/>
  <c r="K447" s="1"/>
  <c r="F447"/>
  <c r="U446"/>
  <c r="G446"/>
  <c r="F446"/>
  <c r="I446" s="1"/>
  <c r="W445"/>
  <c r="U445"/>
  <c r="I445"/>
  <c r="U444"/>
  <c r="G444"/>
  <c r="K444"/>
  <c r="F444"/>
  <c r="W443"/>
  <c r="U443"/>
  <c r="I443"/>
  <c r="U442"/>
  <c r="G442"/>
  <c r="K442" s="1"/>
  <c r="F442"/>
  <c r="U441"/>
  <c r="G441"/>
  <c r="K441" s="1"/>
  <c r="F441"/>
  <c r="W441" s="1"/>
  <c r="U440"/>
  <c r="G440"/>
  <c r="K440" s="1"/>
  <c r="F440"/>
  <c r="I440"/>
  <c r="W439"/>
  <c r="U439"/>
  <c r="I439"/>
  <c r="W438"/>
  <c r="U438"/>
  <c r="I438"/>
  <c r="W437"/>
  <c r="U437"/>
  <c r="I437"/>
  <c r="W436"/>
  <c r="U436"/>
  <c r="I436"/>
  <c r="W435"/>
  <c r="U435"/>
  <c r="I435"/>
  <c r="W434"/>
  <c r="U434"/>
  <c r="I434"/>
  <c r="W433"/>
  <c r="U433"/>
  <c r="I433"/>
  <c r="W432"/>
  <c r="U432"/>
  <c r="I432"/>
  <c r="W431"/>
  <c r="U431"/>
  <c r="I431"/>
  <c r="W430"/>
  <c r="U430"/>
  <c r="I430"/>
  <c r="U429"/>
  <c r="G429"/>
  <c r="F429"/>
  <c r="U428"/>
  <c r="G428"/>
  <c r="K428"/>
  <c r="F428"/>
  <c r="W428" s="1"/>
  <c r="U427"/>
  <c r="G427"/>
  <c r="K427"/>
  <c r="F427"/>
  <c r="I427" s="1"/>
  <c r="W426"/>
  <c r="U426"/>
  <c r="I426"/>
  <c r="U425"/>
  <c r="G425"/>
  <c r="K425" s="1"/>
  <c r="F425"/>
  <c r="Y425" s="1"/>
  <c r="U424"/>
  <c r="G424"/>
  <c r="F424"/>
  <c r="I424"/>
  <c r="W423"/>
  <c r="U423"/>
  <c r="I423"/>
  <c r="U422"/>
  <c r="F422"/>
  <c r="M422" s="1"/>
  <c r="W420"/>
  <c r="U420"/>
  <c r="G420"/>
  <c r="F420"/>
  <c r="M420" s="1"/>
  <c r="U419"/>
  <c r="G419"/>
  <c r="F419"/>
  <c r="M419" s="1"/>
  <c r="U418"/>
  <c r="G418"/>
  <c r="F418"/>
  <c r="M418" s="1"/>
  <c r="G417"/>
  <c r="F417"/>
  <c r="Y417"/>
  <c r="U416"/>
  <c r="G416"/>
  <c r="Q416" s="1"/>
  <c r="F416"/>
  <c r="U415"/>
  <c r="G415"/>
  <c r="K415" s="1"/>
  <c r="F415"/>
  <c r="W415" s="1"/>
  <c r="U414"/>
  <c r="G414"/>
  <c r="Q414"/>
  <c r="F414"/>
  <c r="U413"/>
  <c r="G413"/>
  <c r="Q413"/>
  <c r="F413"/>
  <c r="O413" s="1"/>
  <c r="U412"/>
  <c r="G412"/>
  <c r="K412" s="1"/>
  <c r="F412"/>
  <c r="W412" s="1"/>
  <c r="U411"/>
  <c r="G411"/>
  <c r="Q411" s="1"/>
  <c r="F411"/>
  <c r="W410"/>
  <c r="U410"/>
  <c r="I410"/>
  <c r="U409"/>
  <c r="G409"/>
  <c r="Q409" s="1"/>
  <c r="F409"/>
  <c r="W409" s="1"/>
  <c r="U408"/>
  <c r="G408"/>
  <c r="K408" s="1"/>
  <c r="F408"/>
  <c r="I408" s="1"/>
  <c r="U407"/>
  <c r="G407"/>
  <c r="Q407" s="1"/>
  <c r="F407"/>
  <c r="O407"/>
  <c r="W406"/>
  <c r="U406"/>
  <c r="I406"/>
  <c r="U405"/>
  <c r="G405"/>
  <c r="K405" s="1"/>
  <c r="F405"/>
  <c r="I405" s="1"/>
  <c r="W404"/>
  <c r="U404"/>
  <c r="I404"/>
  <c r="U403"/>
  <c r="G403"/>
  <c r="K403"/>
  <c r="F403"/>
  <c r="I403" s="1"/>
  <c r="W402"/>
  <c r="U402"/>
  <c r="I402"/>
  <c r="W401"/>
  <c r="U401"/>
  <c r="I401"/>
  <c r="U400"/>
  <c r="G400"/>
  <c r="K400"/>
  <c r="F400"/>
  <c r="I400" s="1"/>
  <c r="U399"/>
  <c r="G399"/>
  <c r="F399"/>
  <c r="M399" s="1"/>
  <c r="U398"/>
  <c r="G398"/>
  <c r="K398" s="1"/>
  <c r="F398"/>
  <c r="W398"/>
  <c r="U397"/>
  <c r="G397"/>
  <c r="K397" s="1"/>
  <c r="F397"/>
  <c r="I397"/>
  <c r="U396"/>
  <c r="G396"/>
  <c r="K396" s="1"/>
  <c r="F396"/>
  <c r="I396" s="1"/>
  <c r="U395"/>
  <c r="G395"/>
  <c r="K395" s="1"/>
  <c r="F395"/>
  <c r="I395" s="1"/>
  <c r="U394"/>
  <c r="G394"/>
  <c r="K394" s="1"/>
  <c r="F394"/>
  <c r="I394"/>
  <c r="U393"/>
  <c r="G393"/>
  <c r="K393" s="1"/>
  <c r="F393"/>
  <c r="U392"/>
  <c r="G392"/>
  <c r="K392" s="1"/>
  <c r="F392"/>
  <c r="I392" s="1"/>
  <c r="U391"/>
  <c r="G391"/>
  <c r="K391" s="1"/>
  <c r="F391"/>
  <c r="I391" s="1"/>
  <c r="W390"/>
  <c r="U390"/>
  <c r="I390"/>
  <c r="U389"/>
  <c r="G389"/>
  <c r="K389" s="1"/>
  <c r="F389"/>
  <c r="W388"/>
  <c r="U388"/>
  <c r="I388"/>
  <c r="U387"/>
  <c r="G387"/>
  <c r="K387" s="1"/>
  <c r="F387"/>
  <c r="W386"/>
  <c r="U386"/>
  <c r="I386"/>
  <c r="U385"/>
  <c r="G385"/>
  <c r="K385" s="1"/>
  <c r="F385"/>
  <c r="I385"/>
  <c r="W384"/>
  <c r="U384"/>
  <c r="I384"/>
  <c r="U383"/>
  <c r="G383"/>
  <c r="K383" s="1"/>
  <c r="F383"/>
  <c r="W382"/>
  <c r="U382"/>
  <c r="I382"/>
  <c r="U381"/>
  <c r="G381"/>
  <c r="K381" s="1"/>
  <c r="F381"/>
  <c r="W380"/>
  <c r="U380"/>
  <c r="I380"/>
  <c r="U379"/>
  <c r="G379"/>
  <c r="K379" s="1"/>
  <c r="F379"/>
  <c r="I379"/>
  <c r="U378"/>
  <c r="G378"/>
  <c r="K378" s="1"/>
  <c r="F378"/>
  <c r="I378"/>
  <c r="W377"/>
  <c r="U377"/>
  <c r="I377"/>
  <c r="U376"/>
  <c r="G376"/>
  <c r="K376" s="1"/>
  <c r="F376"/>
  <c r="W376" s="1"/>
  <c r="W375"/>
  <c r="U375"/>
  <c r="I375"/>
  <c r="U374"/>
  <c r="G374"/>
  <c r="K374" s="1"/>
  <c r="F374"/>
  <c r="W373"/>
  <c r="U373"/>
  <c r="I373"/>
  <c r="U372"/>
  <c r="G372"/>
  <c r="K372" s="1"/>
  <c r="F372"/>
  <c r="W372"/>
  <c r="W371"/>
  <c r="U371"/>
  <c r="I371"/>
  <c r="W370"/>
  <c r="U370"/>
  <c r="I370"/>
  <c r="W369"/>
  <c r="U369"/>
  <c r="I369"/>
  <c r="W368"/>
  <c r="U368"/>
  <c r="I368"/>
  <c r="W367"/>
  <c r="U367"/>
  <c r="I367"/>
  <c r="W366"/>
  <c r="U366"/>
  <c r="I366"/>
  <c r="U365"/>
  <c r="G365"/>
  <c r="K365" s="1"/>
  <c r="F365"/>
  <c r="I365" s="1"/>
  <c r="U364"/>
  <c r="G364"/>
  <c r="K364" s="1"/>
  <c r="F364"/>
  <c r="W364" s="1"/>
  <c r="U363"/>
  <c r="G363"/>
  <c r="K363" s="1"/>
  <c r="F363"/>
  <c r="I363" s="1"/>
  <c r="U362"/>
  <c r="G362"/>
  <c r="K362" s="1"/>
  <c r="F362"/>
  <c r="U361"/>
  <c r="G361"/>
  <c r="K361" s="1"/>
  <c r="F361"/>
  <c r="W361" s="1"/>
  <c r="U360"/>
  <c r="G360"/>
  <c r="K360" s="1"/>
  <c r="F360"/>
  <c r="I360" s="1"/>
  <c r="U359"/>
  <c r="G359"/>
  <c r="K359" s="1"/>
  <c r="F359"/>
  <c r="I359" s="1"/>
  <c r="U358"/>
  <c r="G358"/>
  <c r="K358" s="1"/>
  <c r="F358"/>
  <c r="I358" s="1"/>
  <c r="U357"/>
  <c r="G357"/>
  <c r="K357" s="1"/>
  <c r="F357"/>
  <c r="I357" s="1"/>
  <c r="U356"/>
  <c r="G356"/>
  <c r="K356" s="1"/>
  <c r="F356"/>
  <c r="W356" s="1"/>
  <c r="U355"/>
  <c r="G355"/>
  <c r="F355"/>
  <c r="U354"/>
  <c r="G354"/>
  <c r="F354"/>
  <c r="Y354" s="1"/>
  <c r="W353"/>
  <c r="U353"/>
  <c r="I353"/>
  <c r="U352"/>
  <c r="G352"/>
  <c r="K352" s="1"/>
  <c r="F352"/>
  <c r="I352" s="1"/>
  <c r="U351"/>
  <c r="G351"/>
  <c r="K351" s="1"/>
  <c r="F351"/>
  <c r="I351" s="1"/>
  <c r="W350"/>
  <c r="U350"/>
  <c r="I350"/>
  <c r="U349"/>
  <c r="G349"/>
  <c r="F349"/>
  <c r="W349"/>
  <c r="U348"/>
  <c r="F348"/>
  <c r="M348" s="1"/>
  <c r="W346"/>
  <c r="U346"/>
  <c r="G346"/>
  <c r="F346"/>
  <c r="M346" s="1"/>
  <c r="U345"/>
  <c r="G345"/>
  <c r="F345"/>
  <c r="M345" s="1"/>
  <c r="U344"/>
  <c r="G344"/>
  <c r="F344"/>
  <c r="M344" s="1"/>
  <c r="G343"/>
  <c r="F343"/>
  <c r="U343" s="1"/>
  <c r="U342"/>
  <c r="G342"/>
  <c r="Q342" s="1"/>
  <c r="F342"/>
  <c r="U341"/>
  <c r="G341"/>
  <c r="K341" s="1"/>
  <c r="F341"/>
  <c r="I341"/>
  <c r="U340"/>
  <c r="G340"/>
  <c r="Q340" s="1"/>
  <c r="F340"/>
  <c r="U339"/>
  <c r="G339"/>
  <c r="Q339" s="1"/>
  <c r="F339"/>
  <c r="U338"/>
  <c r="G338"/>
  <c r="K338" s="1"/>
  <c r="F338"/>
  <c r="U337"/>
  <c r="G337"/>
  <c r="K337" s="1"/>
  <c r="F337"/>
  <c r="U336"/>
  <c r="G336"/>
  <c r="K336"/>
  <c r="F336"/>
  <c r="I336" s="1"/>
  <c r="U335"/>
  <c r="G335"/>
  <c r="Q335"/>
  <c r="F335"/>
  <c r="W334"/>
  <c r="U334"/>
  <c r="I334"/>
  <c r="W333"/>
  <c r="U333"/>
  <c r="I333"/>
  <c r="U332"/>
  <c r="G332"/>
  <c r="Q332" s="1"/>
  <c r="F332"/>
  <c r="W332" s="1"/>
  <c r="U331"/>
  <c r="G331"/>
  <c r="Q331" s="1"/>
  <c r="F331"/>
  <c r="U330"/>
  <c r="G330"/>
  <c r="K330" s="1"/>
  <c r="F330"/>
  <c r="I330" s="1"/>
  <c r="U329"/>
  <c r="G329"/>
  <c r="F329"/>
  <c r="W328"/>
  <c r="U328"/>
  <c r="I328"/>
  <c r="U327"/>
  <c r="G327"/>
  <c r="K327" s="1"/>
  <c r="F327"/>
  <c r="W326"/>
  <c r="U326"/>
  <c r="I326"/>
  <c r="U325"/>
  <c r="G325"/>
  <c r="K325" s="1"/>
  <c r="F325"/>
  <c r="I325" s="1"/>
  <c r="W324"/>
  <c r="U324"/>
  <c r="I324"/>
  <c r="W323"/>
  <c r="U323"/>
  <c r="I323"/>
  <c r="U322"/>
  <c r="G322"/>
  <c r="K322"/>
  <c r="F322"/>
  <c r="I322" s="1"/>
  <c r="U321"/>
  <c r="G321"/>
  <c r="K321" s="1"/>
  <c r="F321"/>
  <c r="U320"/>
  <c r="G320"/>
  <c r="K320" s="1"/>
  <c r="F320"/>
  <c r="U319"/>
  <c r="G319"/>
  <c r="K319"/>
  <c r="F319"/>
  <c r="I319" s="1"/>
  <c r="U318"/>
  <c r="G318"/>
  <c r="K318"/>
  <c r="F318"/>
  <c r="U317"/>
  <c r="G317"/>
  <c r="K317"/>
  <c r="F317"/>
  <c r="I317" s="1"/>
  <c r="U316"/>
  <c r="G316"/>
  <c r="K316" s="1"/>
  <c r="F316"/>
  <c r="W315"/>
  <c r="U315"/>
  <c r="I315"/>
  <c r="U314"/>
  <c r="G314"/>
  <c r="K314" s="1"/>
  <c r="F314"/>
  <c r="I314"/>
  <c r="U313"/>
  <c r="G313"/>
  <c r="K313" s="1"/>
  <c r="F313"/>
  <c r="W313"/>
  <c r="U312"/>
  <c r="G312"/>
  <c r="Q312" s="1"/>
  <c r="F312"/>
  <c r="W312" s="1"/>
  <c r="W311"/>
  <c r="U311"/>
  <c r="I311"/>
  <c r="W310"/>
  <c r="U310"/>
  <c r="I310"/>
  <c r="U309"/>
  <c r="G309"/>
  <c r="F309"/>
  <c r="I309" s="1"/>
  <c r="U308"/>
  <c r="G308"/>
  <c r="F308"/>
  <c r="M308" s="1"/>
  <c r="U307"/>
  <c r="G307"/>
  <c r="K307" s="1"/>
  <c r="F307"/>
  <c r="I307"/>
  <c r="U306"/>
  <c r="G306"/>
  <c r="K306"/>
  <c r="F306"/>
  <c r="Y306" s="1"/>
  <c r="W305"/>
  <c r="U305"/>
  <c r="I305"/>
  <c r="U304"/>
  <c r="G304"/>
  <c r="K304" s="1"/>
  <c r="F304"/>
  <c r="I304" s="1"/>
  <c r="U303"/>
  <c r="G303"/>
  <c r="K303" s="1"/>
  <c r="F303"/>
  <c r="I303" s="1"/>
  <c r="W302"/>
  <c r="U302"/>
  <c r="I302"/>
  <c r="U301"/>
  <c r="G301"/>
  <c r="F301"/>
  <c r="I301" s="1"/>
  <c r="U300"/>
  <c r="F300"/>
  <c r="W297"/>
  <c r="U297"/>
  <c r="G297"/>
  <c r="F297"/>
  <c r="M297" s="1"/>
  <c r="U296"/>
  <c r="G296"/>
  <c r="F296"/>
  <c r="M296" s="1"/>
  <c r="U294"/>
  <c r="G294"/>
  <c r="K294" s="1"/>
  <c r="F294"/>
  <c r="G293"/>
  <c r="F293"/>
  <c r="U293" s="1"/>
  <c r="W292"/>
  <c r="U292"/>
  <c r="I292"/>
  <c r="U291"/>
  <c r="G291"/>
  <c r="Q291"/>
  <c r="F291"/>
  <c r="U290"/>
  <c r="G290"/>
  <c r="Q290"/>
  <c r="F290"/>
  <c r="W290" s="1"/>
  <c r="U289"/>
  <c r="G289"/>
  <c r="Q289"/>
  <c r="F289"/>
  <c r="W288"/>
  <c r="U288"/>
  <c r="I288"/>
  <c r="W287"/>
  <c r="U287"/>
  <c r="I287"/>
  <c r="W286"/>
  <c r="U286"/>
  <c r="I286"/>
  <c r="W285"/>
  <c r="U285"/>
  <c r="I285"/>
  <c r="W284"/>
  <c r="U284"/>
  <c r="I284"/>
  <c r="W283"/>
  <c r="U283"/>
  <c r="I283"/>
  <c r="W282"/>
  <c r="U282"/>
  <c r="I282"/>
  <c r="W281"/>
  <c r="U281"/>
  <c r="I281"/>
  <c r="U280"/>
  <c r="G280"/>
  <c r="Q280"/>
  <c r="F280"/>
  <c r="U279"/>
  <c r="G279"/>
  <c r="Q279"/>
  <c r="F279"/>
  <c r="O279" s="1"/>
  <c r="U278"/>
  <c r="G278"/>
  <c r="Q278" s="1"/>
  <c r="F278"/>
  <c r="O278" s="1"/>
  <c r="W277"/>
  <c r="U277"/>
  <c r="I277"/>
  <c r="W276"/>
  <c r="U276"/>
  <c r="I276"/>
  <c r="W275"/>
  <c r="U275"/>
  <c r="I275"/>
  <c r="W274"/>
  <c r="U274"/>
  <c r="I274"/>
  <c r="W273"/>
  <c r="U273"/>
  <c r="I273"/>
  <c r="W272"/>
  <c r="U272"/>
  <c r="W271"/>
  <c r="U271"/>
  <c r="I271"/>
  <c r="W270"/>
  <c r="U270"/>
  <c r="I270"/>
  <c r="W269"/>
  <c r="U269"/>
  <c r="I269"/>
  <c r="W268"/>
  <c r="U268"/>
  <c r="I268"/>
  <c r="W267"/>
  <c r="U267"/>
  <c r="I267"/>
  <c r="W266"/>
  <c r="U266"/>
  <c r="I266"/>
  <c r="W265"/>
  <c r="U265"/>
  <c r="I265"/>
  <c r="W264"/>
  <c r="U264"/>
  <c r="I264"/>
  <c r="U263"/>
  <c r="G263"/>
  <c r="Q263" s="1"/>
  <c r="F263"/>
  <c r="W262"/>
  <c r="U262"/>
  <c r="I262"/>
  <c r="W261"/>
  <c r="U261"/>
  <c r="I261"/>
  <c r="W260"/>
  <c r="U260"/>
  <c r="I260"/>
  <c r="U259"/>
  <c r="G259"/>
  <c r="Q259" s="1"/>
  <c r="F259"/>
  <c r="U258"/>
  <c r="G258"/>
  <c r="Q258" s="1"/>
  <c r="F258"/>
  <c r="W257"/>
  <c r="U257"/>
  <c r="I257"/>
  <c r="U256"/>
  <c r="G256"/>
  <c r="Q256"/>
  <c r="F256"/>
  <c r="U255"/>
  <c r="G255"/>
  <c r="K255"/>
  <c r="F255"/>
  <c r="U254"/>
  <c r="I254"/>
  <c r="G254"/>
  <c r="Q254" s="1"/>
  <c r="F254"/>
  <c r="W253"/>
  <c r="U253"/>
  <c r="I253"/>
  <c r="U252"/>
  <c r="G252"/>
  <c r="K252" s="1"/>
  <c r="F252"/>
  <c r="I252" s="1"/>
  <c r="U251"/>
  <c r="G251"/>
  <c r="K251" s="1"/>
  <c r="F251"/>
  <c r="W251" s="1"/>
  <c r="U250"/>
  <c r="G250"/>
  <c r="Q250" s="1"/>
  <c r="F250"/>
  <c r="O250" s="1"/>
  <c r="U249"/>
  <c r="G249"/>
  <c r="Q249" s="1"/>
  <c r="F249"/>
  <c r="O249" s="1"/>
  <c r="U248"/>
  <c r="G248"/>
  <c r="Q248" s="1"/>
  <c r="F248"/>
  <c r="U247"/>
  <c r="G247"/>
  <c r="K247" s="1"/>
  <c r="F247"/>
  <c r="I247" s="1"/>
  <c r="U246"/>
  <c r="G246"/>
  <c r="K246" s="1"/>
  <c r="F246"/>
  <c r="I246" s="1"/>
  <c r="U245"/>
  <c r="G245"/>
  <c r="K245"/>
  <c r="F245"/>
  <c r="U244"/>
  <c r="G244"/>
  <c r="K244"/>
  <c r="F244"/>
  <c r="I244" s="1"/>
  <c r="W243"/>
  <c r="U243"/>
  <c r="I243"/>
  <c r="U242"/>
  <c r="G242"/>
  <c r="F242"/>
  <c r="U241"/>
  <c r="G241"/>
  <c r="K241" s="1"/>
  <c r="F241"/>
  <c r="I241" s="1"/>
  <c r="U240"/>
  <c r="G240"/>
  <c r="K240"/>
  <c r="F240"/>
  <c r="I240" s="1"/>
  <c r="W239"/>
  <c r="U239"/>
  <c r="I239"/>
  <c r="W238"/>
  <c r="U238"/>
  <c r="I238"/>
  <c r="U237"/>
  <c r="G237"/>
  <c r="K237" s="1"/>
  <c r="F237"/>
  <c r="U236"/>
  <c r="G236"/>
  <c r="F236"/>
  <c r="I236" s="1"/>
  <c r="W235"/>
  <c r="U235"/>
  <c r="I235"/>
  <c r="U234"/>
  <c r="F234"/>
  <c r="F679" s="1"/>
  <c r="W231"/>
  <c r="U231"/>
  <c r="G231"/>
  <c r="F231"/>
  <c r="M231" s="1"/>
  <c r="U230"/>
  <c r="G230"/>
  <c r="F230"/>
  <c r="M230" s="1"/>
  <c r="U229"/>
  <c r="G229"/>
  <c r="F229"/>
  <c r="M229" s="1"/>
  <c r="U228"/>
  <c r="G228"/>
  <c r="K228" s="1"/>
  <c r="F228"/>
  <c r="U227"/>
  <c r="G227"/>
  <c r="F227"/>
  <c r="U226"/>
  <c r="G226"/>
  <c r="K226" s="1"/>
  <c r="F226"/>
  <c r="W226"/>
  <c r="W225"/>
  <c r="U225"/>
  <c r="I225"/>
  <c r="U224"/>
  <c r="G224"/>
  <c r="K224" s="1"/>
  <c r="F224"/>
  <c r="U223"/>
  <c r="G223"/>
  <c r="K223" s="1"/>
  <c r="F223"/>
  <c r="U222"/>
  <c r="G222"/>
  <c r="K222" s="1"/>
  <c r="F222"/>
  <c r="W221"/>
  <c r="U221"/>
  <c r="I221"/>
  <c r="U220"/>
  <c r="G220"/>
  <c r="K220" s="1"/>
  <c r="F220"/>
  <c r="W220" s="1"/>
  <c r="I220"/>
  <c r="W219"/>
  <c r="U219"/>
  <c r="I219"/>
  <c r="U218"/>
  <c r="G218"/>
  <c r="K218" s="1"/>
  <c r="F218"/>
  <c r="I218"/>
  <c r="W217"/>
  <c r="U217"/>
  <c r="I217"/>
  <c r="U216"/>
  <c r="G216"/>
  <c r="K216" s="1"/>
  <c r="F216"/>
  <c r="I216"/>
  <c r="W215"/>
  <c r="U215"/>
  <c r="I215"/>
  <c r="U214"/>
  <c r="G214"/>
  <c r="K214" s="1"/>
  <c r="F214"/>
  <c r="I214"/>
  <c r="W213"/>
  <c r="U213"/>
  <c r="I213"/>
  <c r="W212"/>
  <c r="U212"/>
  <c r="I212"/>
  <c r="W211"/>
  <c r="U211"/>
  <c r="I211"/>
  <c r="W210"/>
  <c r="U210"/>
  <c r="I210"/>
  <c r="W209"/>
  <c r="U209"/>
  <c r="I209"/>
  <c r="U208"/>
  <c r="G208"/>
  <c r="K208" s="1"/>
  <c r="F208"/>
  <c r="I208"/>
  <c r="W207"/>
  <c r="U207"/>
  <c r="I207"/>
  <c r="U206"/>
  <c r="G206"/>
  <c r="K206" s="1"/>
  <c r="F206"/>
  <c r="I206"/>
  <c r="W205"/>
  <c r="U205"/>
  <c r="I205"/>
  <c r="U204"/>
  <c r="G204"/>
  <c r="K204" s="1"/>
  <c r="F204"/>
  <c r="I204"/>
  <c r="W203"/>
  <c r="U203"/>
  <c r="I203"/>
  <c r="U202"/>
  <c r="G202"/>
  <c r="K202" s="1"/>
  <c r="F202"/>
  <c r="I202"/>
  <c r="W201"/>
  <c r="U201"/>
  <c r="I201"/>
  <c r="U200"/>
  <c r="G200"/>
  <c r="K200" s="1"/>
  <c r="F200"/>
  <c r="I200"/>
  <c r="W199"/>
  <c r="U199"/>
  <c r="I199"/>
  <c r="W198"/>
  <c r="U198"/>
  <c r="I198"/>
  <c r="W197"/>
  <c r="U197"/>
  <c r="I197"/>
  <c r="W196"/>
  <c r="U196"/>
  <c r="I196"/>
  <c r="W195"/>
  <c r="U195"/>
  <c r="I195"/>
  <c r="U194"/>
  <c r="G194"/>
  <c r="K194" s="1"/>
  <c r="F194"/>
  <c r="I194"/>
  <c r="U193"/>
  <c r="G193"/>
  <c r="K193" s="1"/>
  <c r="F193"/>
  <c r="I193" s="1"/>
  <c r="U192"/>
  <c r="G192"/>
  <c r="K192" s="1"/>
  <c r="F192"/>
  <c r="I192"/>
  <c r="U191"/>
  <c r="G191"/>
  <c r="K191" s="1"/>
  <c r="F191"/>
  <c r="W191" s="1"/>
  <c r="U190"/>
  <c r="G190"/>
  <c r="K190" s="1"/>
  <c r="F190"/>
  <c r="I190"/>
  <c r="U189"/>
  <c r="G189"/>
  <c r="K189" s="1"/>
  <c r="F189"/>
  <c r="I189" s="1"/>
  <c r="U188"/>
  <c r="G188"/>
  <c r="K188" s="1"/>
  <c r="F188"/>
  <c r="W188"/>
  <c r="U187"/>
  <c r="G187"/>
  <c r="K187" s="1"/>
  <c r="F187"/>
  <c r="I187" s="1"/>
  <c r="W186"/>
  <c r="U186"/>
  <c r="I186"/>
  <c r="U185"/>
  <c r="G185"/>
  <c r="K185" s="1"/>
  <c r="F185"/>
  <c r="W185" s="1"/>
  <c r="W184"/>
  <c r="U184"/>
  <c r="I184"/>
  <c r="U183"/>
  <c r="G183"/>
  <c r="K183" s="1"/>
  <c r="F183"/>
  <c r="I183" s="1"/>
  <c r="W182"/>
  <c r="U182"/>
  <c r="I182"/>
  <c r="U181"/>
  <c r="G181"/>
  <c r="K181" s="1"/>
  <c r="F181"/>
  <c r="W180"/>
  <c r="U180"/>
  <c r="I180"/>
  <c r="U179"/>
  <c r="G179"/>
  <c r="K179" s="1"/>
  <c r="F179"/>
  <c r="I179" s="1"/>
  <c r="U178"/>
  <c r="G178"/>
  <c r="K178" s="1"/>
  <c r="F178"/>
  <c r="W177"/>
  <c r="U177"/>
  <c r="I177"/>
  <c r="U176"/>
  <c r="G176"/>
  <c r="K176" s="1"/>
  <c r="F176"/>
  <c r="U175"/>
  <c r="G175"/>
  <c r="K175"/>
  <c r="F175"/>
  <c r="I175" s="1"/>
  <c r="W174"/>
  <c r="U174"/>
  <c r="I174"/>
  <c r="W173"/>
  <c r="U173"/>
  <c r="I173"/>
  <c r="U172"/>
  <c r="G172"/>
  <c r="F172"/>
  <c r="U171"/>
  <c r="G171"/>
  <c r="F171"/>
  <c r="M171" s="1"/>
  <c r="U170"/>
  <c r="G170"/>
  <c r="K170" s="1"/>
  <c r="F170"/>
  <c r="W170" s="1"/>
  <c r="U169"/>
  <c r="G169"/>
  <c r="F169"/>
  <c r="W168"/>
  <c r="U168"/>
  <c r="I168"/>
  <c r="U167"/>
  <c r="U166"/>
  <c r="G166"/>
  <c r="F166"/>
  <c r="AA166" s="1"/>
  <c r="W165"/>
  <c r="U165"/>
  <c r="I165"/>
  <c r="U164"/>
  <c r="F164"/>
  <c r="U162"/>
  <c r="G162"/>
  <c r="K162"/>
  <c r="F162"/>
  <c r="I162" s="1"/>
  <c r="U161"/>
  <c r="G161"/>
  <c r="K161"/>
  <c r="F161"/>
  <c r="G160"/>
  <c r="F160"/>
  <c r="U160"/>
  <c r="U159"/>
  <c r="G159"/>
  <c r="F159"/>
  <c r="W158"/>
  <c r="U158"/>
  <c r="I158"/>
  <c r="U156"/>
  <c r="G156"/>
  <c r="K156" s="1"/>
  <c r="F156"/>
  <c r="W156" s="1"/>
  <c r="U155"/>
  <c r="G155"/>
  <c r="K155"/>
  <c r="F155"/>
  <c r="I155" s="1"/>
  <c r="U154"/>
  <c r="G154"/>
  <c r="K154" s="1"/>
  <c r="F154"/>
  <c r="U153"/>
  <c r="G153"/>
  <c r="K153"/>
  <c r="F153"/>
  <c r="W153" s="1"/>
  <c r="U152"/>
  <c r="G152"/>
  <c r="K152" s="1"/>
  <c r="F152"/>
  <c r="I152" s="1"/>
  <c r="U151"/>
  <c r="G151"/>
  <c r="K151"/>
  <c r="F151"/>
  <c r="AA151" s="1"/>
  <c r="AA665" s="1"/>
  <c r="U150"/>
  <c r="G150"/>
  <c r="K150" s="1"/>
  <c r="F150"/>
  <c r="Y150" s="1"/>
  <c r="Y676" s="1"/>
  <c r="U149"/>
  <c r="G149"/>
  <c r="K149" s="1"/>
  <c r="F149"/>
  <c r="AA149" s="1"/>
  <c r="U148"/>
  <c r="G148"/>
  <c r="K148" s="1"/>
  <c r="F148"/>
  <c r="U147"/>
  <c r="G147"/>
  <c r="K147" s="1"/>
  <c r="F147"/>
  <c r="I147" s="1"/>
  <c r="U146"/>
  <c r="G146"/>
  <c r="K146"/>
  <c r="F146"/>
  <c r="I146" s="1"/>
  <c r="U145"/>
  <c r="F145"/>
  <c r="I145" s="1"/>
  <c r="U144"/>
  <c r="E144"/>
  <c r="U143"/>
  <c r="G143"/>
  <c r="K143" s="1"/>
  <c r="F143"/>
  <c r="I143"/>
  <c r="W142"/>
  <c r="U142"/>
  <c r="I142"/>
  <c r="G142"/>
  <c r="K142" s="1"/>
  <c r="U141"/>
  <c r="G141"/>
  <c r="F141"/>
  <c r="I141" s="1"/>
  <c r="U139"/>
  <c r="G139"/>
  <c r="K139" s="1"/>
  <c r="F139"/>
  <c r="U138"/>
  <c r="G138"/>
  <c r="K138" s="1"/>
  <c r="F138"/>
  <c r="Y138"/>
  <c r="U137"/>
  <c r="G137"/>
  <c r="K137" s="1"/>
  <c r="F137"/>
  <c r="I137" s="1"/>
  <c r="U136"/>
  <c r="G136"/>
  <c r="K136" s="1"/>
  <c r="F136"/>
  <c r="W136"/>
  <c r="U135"/>
  <c r="G135"/>
  <c r="K135" s="1"/>
  <c r="F135"/>
  <c r="W135" s="1"/>
  <c r="U134"/>
  <c r="G134"/>
  <c r="K134" s="1"/>
  <c r="F134"/>
  <c r="U133"/>
  <c r="G133"/>
  <c r="K133" s="1"/>
  <c r="F133"/>
  <c r="I133"/>
  <c r="U132"/>
  <c r="G132"/>
  <c r="K132" s="1"/>
  <c r="F132"/>
  <c r="W132" s="1"/>
  <c r="W131"/>
  <c r="U131"/>
  <c r="G131"/>
  <c r="K131" s="1"/>
  <c r="F131"/>
  <c r="I131" s="1"/>
  <c r="U130"/>
  <c r="G130"/>
  <c r="K130" s="1"/>
  <c r="F130"/>
  <c r="U129"/>
  <c r="G129"/>
  <c r="K129" s="1"/>
  <c r="F129"/>
  <c r="I129"/>
  <c r="U128"/>
  <c r="G128"/>
  <c r="K128" s="1"/>
  <c r="F128"/>
  <c r="W128" s="1"/>
  <c r="U127"/>
  <c r="G127"/>
  <c r="K127" s="1"/>
  <c r="F127"/>
  <c r="W127"/>
  <c r="U126"/>
  <c r="G126"/>
  <c r="K126" s="1"/>
  <c r="F126"/>
  <c r="I126" s="1"/>
  <c r="W125"/>
  <c r="U125"/>
  <c r="G125"/>
  <c r="K125" s="1"/>
  <c r="F125"/>
  <c r="I125" s="1"/>
  <c r="U124"/>
  <c r="G124"/>
  <c r="K124" s="1"/>
  <c r="F124"/>
  <c r="W124"/>
  <c r="W123"/>
  <c r="U123"/>
  <c r="G123"/>
  <c r="K123"/>
  <c r="F123"/>
  <c r="I123" s="1"/>
  <c r="U122"/>
  <c r="G122"/>
  <c r="K122" s="1"/>
  <c r="F122"/>
  <c r="U121"/>
  <c r="G121"/>
  <c r="K121" s="1"/>
  <c r="F121"/>
  <c r="U120"/>
  <c r="U675" s="1"/>
  <c r="G120"/>
  <c r="K120" s="1"/>
  <c r="F120"/>
  <c r="W120" s="1"/>
  <c r="U119"/>
  <c r="G119"/>
  <c r="K119" s="1"/>
  <c r="F119"/>
  <c r="U118"/>
  <c r="G118"/>
  <c r="K118" s="1"/>
  <c r="F118"/>
  <c r="I118" s="1"/>
  <c r="W117"/>
  <c r="U117"/>
  <c r="G117"/>
  <c r="K117" s="1"/>
  <c r="F117"/>
  <c r="I117" s="1"/>
  <c r="U116"/>
  <c r="G116"/>
  <c r="K116" s="1"/>
  <c r="F116"/>
  <c r="I116"/>
  <c r="W115"/>
  <c r="U115"/>
  <c r="G115"/>
  <c r="K115"/>
  <c r="F115"/>
  <c r="I115" s="1"/>
  <c r="U114"/>
  <c r="G114"/>
  <c r="K114" s="1"/>
  <c r="F114"/>
  <c r="I114" s="1"/>
  <c r="U113"/>
  <c r="G113"/>
  <c r="K113"/>
  <c r="F113"/>
  <c r="W113" s="1"/>
  <c r="U112"/>
  <c r="G112"/>
  <c r="K112"/>
  <c r="F112"/>
  <c r="U111"/>
  <c r="G111"/>
  <c r="K111" s="1"/>
  <c r="F111"/>
  <c r="U110"/>
  <c r="G110"/>
  <c r="K110"/>
  <c r="F110"/>
  <c r="U109"/>
  <c r="G109"/>
  <c r="K109" s="1"/>
  <c r="F109"/>
  <c r="U108"/>
  <c r="G108"/>
  <c r="F108"/>
  <c r="W106"/>
  <c r="U106"/>
  <c r="I106"/>
  <c r="W105"/>
  <c r="U105"/>
  <c r="I105"/>
  <c r="W104"/>
  <c r="U104"/>
  <c r="I104"/>
  <c r="W103"/>
  <c r="U103"/>
  <c r="I103"/>
  <c r="W102"/>
  <c r="U102"/>
  <c r="I102"/>
  <c r="W101"/>
  <c r="U101"/>
  <c r="I101"/>
  <c r="W100"/>
  <c r="U100"/>
  <c r="I100"/>
  <c r="W99"/>
  <c r="U99"/>
  <c r="I99"/>
  <c r="W98"/>
  <c r="U98"/>
  <c r="I98"/>
  <c r="W97"/>
  <c r="U97"/>
  <c r="I97"/>
  <c r="W96"/>
  <c r="U96"/>
  <c r="I96"/>
  <c r="W95"/>
  <c r="U95"/>
  <c r="I95"/>
  <c r="W94"/>
  <c r="U94"/>
  <c r="I94"/>
  <c r="W93"/>
  <c r="U93"/>
  <c r="I93"/>
  <c r="W92"/>
  <c r="U92"/>
  <c r="I92"/>
  <c r="W91"/>
  <c r="W674" s="1"/>
  <c r="U91"/>
  <c r="I91"/>
  <c r="I674" s="1"/>
  <c r="W89"/>
  <c r="U89"/>
  <c r="I89"/>
  <c r="W88"/>
  <c r="U88"/>
  <c r="I88"/>
  <c r="W87"/>
  <c r="U87"/>
  <c r="I87"/>
  <c r="W86"/>
  <c r="U86"/>
  <c r="I86"/>
  <c r="W85"/>
  <c r="U85"/>
  <c r="I85"/>
  <c r="W84"/>
  <c r="W673" s="1"/>
  <c r="U84"/>
  <c r="I84"/>
  <c r="W83"/>
  <c r="U83"/>
  <c r="I83"/>
  <c r="W81"/>
  <c r="U81"/>
  <c r="I81"/>
  <c r="U80"/>
  <c r="U672" s="1"/>
  <c r="G80"/>
  <c r="F80"/>
  <c r="AC80" s="1"/>
  <c r="W77"/>
  <c r="U77"/>
  <c r="G77"/>
  <c r="U71"/>
  <c r="G71"/>
  <c r="K71" s="1"/>
  <c r="F71"/>
  <c r="I71" s="1"/>
  <c r="U70"/>
  <c r="G70"/>
  <c r="K70" s="1"/>
  <c r="F70"/>
  <c r="I70" s="1"/>
  <c r="U69"/>
  <c r="G69"/>
  <c r="K69"/>
  <c r="F69"/>
  <c r="U68"/>
  <c r="G68"/>
  <c r="K68"/>
  <c r="F68"/>
  <c r="W68" s="1"/>
  <c r="U67"/>
  <c r="G67"/>
  <c r="K67" s="1"/>
  <c r="F67"/>
  <c r="I67" s="1"/>
  <c r="U66"/>
  <c r="G66"/>
  <c r="K66" s="1"/>
  <c r="F66"/>
  <c r="W66"/>
  <c r="U65"/>
  <c r="G65"/>
  <c r="K65" s="1"/>
  <c r="F65"/>
  <c r="I65"/>
  <c r="U64"/>
  <c r="G64"/>
  <c r="K64" s="1"/>
  <c r="F64"/>
  <c r="I64"/>
  <c r="U63"/>
  <c r="G63"/>
  <c r="K63"/>
  <c r="F63"/>
  <c r="I63" s="1"/>
  <c r="U62"/>
  <c r="G62"/>
  <c r="K62" s="1"/>
  <c r="F62"/>
  <c r="W62" s="1"/>
  <c r="I62"/>
  <c r="W61"/>
  <c r="U61"/>
  <c r="I61"/>
  <c r="U60"/>
  <c r="G60"/>
  <c r="K60" s="1"/>
  <c r="F60"/>
  <c r="I60" s="1"/>
  <c r="AA60"/>
  <c r="AA670" s="1"/>
  <c r="U59"/>
  <c r="G59"/>
  <c r="K59" s="1"/>
  <c r="F59"/>
  <c r="W59" s="1"/>
  <c r="I59"/>
  <c r="U58"/>
  <c r="G58"/>
  <c r="K58"/>
  <c r="F58"/>
  <c r="I58" s="1"/>
  <c r="U57"/>
  <c r="G57"/>
  <c r="K57" s="1"/>
  <c r="F57"/>
  <c r="W57" s="1"/>
  <c r="U56"/>
  <c r="G56"/>
  <c r="K56" s="1"/>
  <c r="F56"/>
  <c r="I56" s="1"/>
  <c r="U55"/>
  <c r="G55"/>
  <c r="K55" s="1"/>
  <c r="F55"/>
  <c r="I55" s="1"/>
  <c r="U54"/>
  <c r="G54"/>
  <c r="K54" s="1"/>
  <c r="F54"/>
  <c r="I54"/>
  <c r="W53"/>
  <c r="U53"/>
  <c r="W52"/>
  <c r="U52"/>
  <c r="I52"/>
  <c r="W51"/>
  <c r="U51"/>
  <c r="I51"/>
  <c r="U50"/>
  <c r="G50"/>
  <c r="K50" s="1"/>
  <c r="F50"/>
  <c r="W49"/>
  <c r="U49"/>
  <c r="I49"/>
  <c r="U48"/>
  <c r="G48"/>
  <c r="K48" s="1"/>
  <c r="F48"/>
  <c r="I48" s="1"/>
  <c r="U47"/>
  <c r="G47"/>
  <c r="K47" s="1"/>
  <c r="F47"/>
  <c r="W47" s="1"/>
  <c r="U46"/>
  <c r="G46"/>
  <c r="K46" s="1"/>
  <c r="F46"/>
  <c r="I46" s="1"/>
  <c r="U45"/>
  <c r="G45"/>
  <c r="K45" s="1"/>
  <c r="F45"/>
  <c r="I45" s="1"/>
  <c r="U44"/>
  <c r="G44"/>
  <c r="K44" s="1"/>
  <c r="F44"/>
  <c r="I44" s="1"/>
  <c r="U43"/>
  <c r="G43"/>
  <c r="K43" s="1"/>
  <c r="F43"/>
  <c r="I43" s="1"/>
  <c r="U42"/>
  <c r="G42"/>
  <c r="K42" s="1"/>
  <c r="F42"/>
  <c r="W41"/>
  <c r="U41"/>
  <c r="I41"/>
  <c r="W40"/>
  <c r="G40"/>
  <c r="F40"/>
  <c r="U40" s="1"/>
  <c r="W39"/>
  <c r="G39"/>
  <c r="F39"/>
  <c r="U39" s="1"/>
  <c r="U38"/>
  <c r="G38"/>
  <c r="K38" s="1"/>
  <c r="F38"/>
  <c r="W38" s="1"/>
  <c r="U37"/>
  <c r="G37"/>
  <c r="K37" s="1"/>
  <c r="F37"/>
  <c r="I37" s="1"/>
  <c r="U36"/>
  <c r="G36"/>
  <c r="K36" s="1"/>
  <c r="F36"/>
  <c r="I36" s="1"/>
  <c r="W35"/>
  <c r="U35"/>
  <c r="I35"/>
  <c r="W34"/>
  <c r="U34"/>
  <c r="I34"/>
  <c r="U33"/>
  <c r="G33"/>
  <c r="K33" s="1"/>
  <c r="F33"/>
  <c r="W33" s="1"/>
  <c r="U32"/>
  <c r="G32"/>
  <c r="K32"/>
  <c r="F32"/>
  <c r="W31"/>
  <c r="U31"/>
  <c r="I31"/>
  <c r="U30"/>
  <c r="G30"/>
  <c r="K30" s="1"/>
  <c r="F30"/>
  <c r="W30" s="1"/>
  <c r="U29"/>
  <c r="G29"/>
  <c r="K29" s="1"/>
  <c r="F29"/>
  <c r="U28"/>
  <c r="G28"/>
  <c r="K28" s="1"/>
  <c r="F28"/>
  <c r="I28" s="1"/>
  <c r="W27"/>
  <c r="U27"/>
  <c r="I27"/>
  <c r="U26"/>
  <c r="G26"/>
  <c r="K26" s="1"/>
  <c r="F26"/>
  <c r="W26" s="1"/>
  <c r="U25"/>
  <c r="G25"/>
  <c r="K25" s="1"/>
  <c r="F25"/>
  <c r="I25" s="1"/>
  <c r="U24"/>
  <c r="G24"/>
  <c r="K24" s="1"/>
  <c r="F24"/>
  <c r="W24" s="1"/>
  <c r="U23"/>
  <c r="G23"/>
  <c r="K23" s="1"/>
  <c r="F23"/>
  <c r="I23" s="1"/>
  <c r="U22"/>
  <c r="G22"/>
  <c r="K22" s="1"/>
  <c r="F22"/>
  <c r="W21"/>
  <c r="U21"/>
  <c r="I21"/>
  <c r="U20"/>
  <c r="G20"/>
  <c r="K20" s="1"/>
  <c r="F20"/>
  <c r="U19"/>
  <c r="G19"/>
  <c r="K19" s="1"/>
  <c r="F19"/>
  <c r="I19" s="1"/>
  <c r="U18"/>
  <c r="G18"/>
  <c r="K18" s="1"/>
  <c r="F18"/>
  <c r="I18" s="1"/>
  <c r="U17"/>
  <c r="G17"/>
  <c r="K17" s="1"/>
  <c r="F17"/>
  <c r="W17" s="1"/>
  <c r="U16"/>
  <c r="G16"/>
  <c r="K16" s="1"/>
  <c r="F16"/>
  <c r="I16" s="1"/>
  <c r="U15"/>
  <c r="G15"/>
  <c r="K15"/>
  <c r="F15"/>
  <c r="I15" s="1"/>
  <c r="W14"/>
  <c r="U14"/>
  <c r="U13"/>
  <c r="F13"/>
  <c r="M13" s="1"/>
  <c r="U12"/>
  <c r="G12"/>
  <c r="K12"/>
  <c r="F12"/>
  <c r="I12" s="1"/>
  <c r="U11"/>
  <c r="G11"/>
  <c r="K11" s="1"/>
  <c r="F11"/>
  <c r="U10"/>
  <c r="G10"/>
  <c r="K10" s="1"/>
  <c r="F10"/>
  <c r="I10" s="1"/>
  <c r="U9"/>
  <c r="G9"/>
  <c r="K9" s="1"/>
  <c r="F9"/>
  <c r="I9" s="1"/>
  <c r="U8"/>
  <c r="G8"/>
  <c r="K8" s="1"/>
  <c r="F8"/>
  <c r="U7"/>
  <c r="G7"/>
  <c r="K7" s="1"/>
  <c r="F7"/>
  <c r="I7" s="1"/>
  <c r="U6"/>
  <c r="G6"/>
  <c r="K6" s="1"/>
  <c r="F6"/>
  <c r="U5"/>
  <c r="G5"/>
  <c r="K5" s="1"/>
  <c r="F5"/>
  <c r="Y681"/>
  <c r="U417"/>
  <c r="U546"/>
  <c r="U673"/>
  <c r="U481"/>
  <c r="K159"/>
  <c r="K677" s="1"/>
  <c r="G677"/>
  <c r="K424"/>
  <c r="G683"/>
  <c r="K489"/>
  <c r="K554"/>
  <c r="G685"/>
  <c r="K619"/>
  <c r="U674"/>
  <c r="K108"/>
  <c r="K166"/>
  <c r="K301"/>
  <c r="W686"/>
  <c r="G672"/>
  <c r="K80"/>
  <c r="K672" s="1"/>
  <c r="K141"/>
  <c r="K349"/>
  <c r="K236"/>
  <c r="AC164"/>
  <c r="M164"/>
  <c r="I610"/>
  <c r="M610"/>
  <c r="W242"/>
  <c r="M242"/>
  <c r="I227"/>
  <c r="M234"/>
  <c r="M679" s="1"/>
  <c r="I308"/>
  <c r="I355"/>
  <c r="M355"/>
  <c r="I480"/>
  <c r="M480"/>
  <c r="AC484"/>
  <c r="M484"/>
  <c r="I545"/>
  <c r="M545"/>
  <c r="W647"/>
  <c r="M647"/>
  <c r="I329"/>
  <c r="M329"/>
  <c r="W429"/>
  <c r="M429"/>
  <c r="I559"/>
  <c r="M559"/>
  <c r="W624"/>
  <c r="M624"/>
  <c r="I172"/>
  <c r="M172"/>
  <c r="I169"/>
  <c r="Y15"/>
  <c r="I39"/>
  <c r="AC39"/>
  <c r="I40"/>
  <c r="AC40"/>
  <c r="W148"/>
  <c r="AA148"/>
  <c r="AC161"/>
  <c r="W229"/>
  <c r="AC229"/>
  <c r="I296"/>
  <c r="AC296"/>
  <c r="I346"/>
  <c r="AC346"/>
  <c r="I348"/>
  <c r="AC348"/>
  <c r="W419"/>
  <c r="AC419"/>
  <c r="W549"/>
  <c r="AC549"/>
  <c r="I614"/>
  <c r="AC614"/>
  <c r="W631"/>
  <c r="AA631"/>
  <c r="I651"/>
  <c r="AA651"/>
  <c r="W659"/>
  <c r="AC659"/>
  <c r="I22"/>
  <c r="Y22"/>
  <c r="W139"/>
  <c r="Y139"/>
  <c r="Y675" s="1"/>
  <c r="W160"/>
  <c r="AC160"/>
  <c r="I224"/>
  <c r="AA224"/>
  <c r="I345"/>
  <c r="AC345"/>
  <c r="I418"/>
  <c r="AC418"/>
  <c r="I483"/>
  <c r="AC483"/>
  <c r="I548"/>
  <c r="AC548"/>
  <c r="I613"/>
  <c r="AC613"/>
  <c r="W658"/>
  <c r="AC658"/>
  <c r="AC685" s="1"/>
  <c r="I134"/>
  <c r="AA134"/>
  <c r="AA675" s="1"/>
  <c r="I150"/>
  <c r="I159"/>
  <c r="AC159"/>
  <c r="W167"/>
  <c r="AA167"/>
  <c r="W223"/>
  <c r="AA223"/>
  <c r="I231"/>
  <c r="I245"/>
  <c r="Y245"/>
  <c r="I293"/>
  <c r="Y293"/>
  <c r="I344"/>
  <c r="AC344"/>
  <c r="I393"/>
  <c r="AA393"/>
  <c r="AA681" s="1"/>
  <c r="I482"/>
  <c r="Y482"/>
  <c r="I547"/>
  <c r="Y547"/>
  <c r="AA633"/>
  <c r="I657"/>
  <c r="AC657"/>
  <c r="I13"/>
  <c r="AC13"/>
  <c r="AC670" s="1"/>
  <c r="I149"/>
  <c r="AC162"/>
  <c r="I166"/>
  <c r="I230"/>
  <c r="AC230"/>
  <c r="I297"/>
  <c r="AC297"/>
  <c r="W300"/>
  <c r="AC300"/>
  <c r="AC680" s="1"/>
  <c r="W343"/>
  <c r="Y343"/>
  <c r="I420"/>
  <c r="AC420"/>
  <c r="AC681" s="1"/>
  <c r="W422"/>
  <c r="AC422"/>
  <c r="I485"/>
  <c r="AC485"/>
  <c r="AC682" s="1"/>
  <c r="W490"/>
  <c r="I550"/>
  <c r="AC550"/>
  <c r="W552"/>
  <c r="Y555"/>
  <c r="W611"/>
  <c r="Y611"/>
  <c r="I615"/>
  <c r="AC615"/>
  <c r="W617"/>
  <c r="AC617"/>
  <c r="I620"/>
  <c r="Y620"/>
  <c r="Y685" s="1"/>
  <c r="I628"/>
  <c r="AA628"/>
  <c r="I632"/>
  <c r="AA632"/>
  <c r="I660"/>
  <c r="AC660"/>
  <c r="F686"/>
  <c r="AC662"/>
  <c r="AC686" s="1"/>
  <c r="W13"/>
  <c r="I136"/>
  <c r="W155"/>
  <c r="I349"/>
  <c r="I376"/>
  <c r="I611"/>
  <c r="I26"/>
  <c r="W28"/>
  <c r="W54"/>
  <c r="I66"/>
  <c r="I156"/>
  <c r="I170"/>
  <c r="W314"/>
  <c r="W456"/>
  <c r="I570"/>
  <c r="W610"/>
  <c r="W126"/>
  <c r="W145"/>
  <c r="I249"/>
  <c r="I258"/>
  <c r="O258"/>
  <c r="I332"/>
  <c r="O332"/>
  <c r="I429"/>
  <c r="I527"/>
  <c r="W202"/>
  <c r="I223"/>
  <c r="W248"/>
  <c r="O248"/>
  <c r="I280"/>
  <c r="W307"/>
  <c r="W331"/>
  <c r="O331"/>
  <c r="W340"/>
  <c r="O340"/>
  <c r="W348"/>
  <c r="I411"/>
  <c r="O411"/>
  <c r="I416"/>
  <c r="O416"/>
  <c r="W424"/>
  <c r="W648"/>
  <c r="I256"/>
  <c r="O256"/>
  <c r="I291"/>
  <c r="I312"/>
  <c r="O312"/>
  <c r="W335"/>
  <c r="O335"/>
  <c r="I339"/>
  <c r="O339"/>
  <c r="W378"/>
  <c r="W379"/>
  <c r="W392"/>
  <c r="I412"/>
  <c r="W482"/>
  <c r="W483"/>
  <c r="W505"/>
  <c r="W642"/>
  <c r="I250"/>
  <c r="W254"/>
  <c r="O254"/>
  <c r="W259"/>
  <c r="O259"/>
  <c r="I263"/>
  <c r="O263"/>
  <c r="W278"/>
  <c r="I290"/>
  <c r="O290"/>
  <c r="I342"/>
  <c r="I414"/>
  <c r="O414"/>
  <c r="W572"/>
  <c r="I57"/>
  <c r="W80"/>
  <c r="W672" s="1"/>
  <c r="F672"/>
  <c r="I361"/>
  <c r="I512"/>
  <c r="I47"/>
  <c r="I68"/>
  <c r="I120"/>
  <c r="W208"/>
  <c r="W258"/>
  <c r="I278"/>
  <c r="I313"/>
  <c r="W339"/>
  <c r="W360"/>
  <c r="I409"/>
  <c r="W416"/>
  <c r="W427"/>
  <c r="I457"/>
  <c r="W459"/>
  <c r="W521"/>
  <c r="W592"/>
  <c r="W10"/>
  <c r="W23"/>
  <c r="W36"/>
  <c r="W37"/>
  <c r="W56"/>
  <c r="W58"/>
  <c r="W71"/>
  <c r="I128"/>
  <c r="I139"/>
  <c r="I153"/>
  <c r="W159"/>
  <c r="W161"/>
  <c r="W166"/>
  <c r="I188"/>
  <c r="I191"/>
  <c r="I248"/>
  <c r="I251"/>
  <c r="I259"/>
  <c r="W322"/>
  <c r="I331"/>
  <c r="I340"/>
  <c r="W344"/>
  <c r="W363"/>
  <c r="W365"/>
  <c r="W397"/>
  <c r="W411"/>
  <c r="I509"/>
  <c r="W545"/>
  <c r="I577"/>
  <c r="W588"/>
  <c r="W589"/>
  <c r="I647"/>
  <c r="W650"/>
  <c r="W651"/>
  <c r="I659"/>
  <c r="W118"/>
  <c r="W141"/>
  <c r="W146"/>
  <c r="W147"/>
  <c r="W172"/>
  <c r="W189"/>
  <c r="W190"/>
  <c r="W200"/>
  <c r="I226"/>
  <c r="I242"/>
  <c r="W249"/>
  <c r="W250"/>
  <c r="I289"/>
  <c r="W330"/>
  <c r="I356"/>
  <c r="I372"/>
  <c r="W394"/>
  <c r="W395"/>
  <c r="W403"/>
  <c r="W408"/>
  <c r="I419"/>
  <c r="I441"/>
  <c r="W465"/>
  <c r="W530"/>
  <c r="I549"/>
  <c r="W576"/>
  <c r="I624"/>
  <c r="I631"/>
  <c r="I634"/>
  <c r="I639"/>
  <c r="W44"/>
  <c r="W45"/>
  <c r="W46"/>
  <c r="W48"/>
  <c r="W65"/>
  <c r="W67"/>
  <c r="W214"/>
  <c r="W236"/>
  <c r="W256"/>
  <c r="W296"/>
  <c r="W303"/>
  <c r="W309"/>
  <c r="I335"/>
  <c r="W355"/>
  <c r="W357"/>
  <c r="W358"/>
  <c r="W385"/>
  <c r="W391"/>
  <c r="I415"/>
  <c r="W418"/>
  <c r="I462"/>
  <c r="W469"/>
  <c r="I492"/>
  <c r="W534"/>
  <c r="I597"/>
  <c r="I617"/>
  <c r="W619"/>
  <c r="W630"/>
  <c r="W632"/>
  <c r="W633"/>
  <c r="W640"/>
  <c r="I38"/>
  <c r="I80"/>
  <c r="W133"/>
  <c r="W134"/>
  <c r="W150"/>
  <c r="I160"/>
  <c r="W175"/>
  <c r="W336"/>
  <c r="I343"/>
  <c r="I364"/>
  <c r="I398"/>
  <c r="W400"/>
  <c r="W414"/>
  <c r="W446"/>
  <c r="W493"/>
  <c r="W547"/>
  <c r="W559"/>
  <c r="W15"/>
  <c r="W19"/>
  <c r="W18"/>
  <c r="I20"/>
  <c r="W20"/>
  <c r="I24"/>
  <c r="W43"/>
  <c r="W70"/>
  <c r="W116"/>
  <c r="W119"/>
  <c r="I119"/>
  <c r="I138"/>
  <c r="W138"/>
  <c r="F144"/>
  <c r="W144" s="1"/>
  <c r="G144"/>
  <c r="K144" s="1"/>
  <c r="I178"/>
  <c r="W178"/>
  <c r="I69"/>
  <c r="W69"/>
  <c r="W7"/>
  <c r="I30"/>
  <c r="W60"/>
  <c r="I130"/>
  <c r="W130"/>
  <c r="W151"/>
  <c r="I171"/>
  <c r="W171"/>
  <c r="I42"/>
  <c r="W42"/>
  <c r="I8"/>
  <c r="W8"/>
  <c r="W22"/>
  <c r="W25"/>
  <c r="W55"/>
  <c r="W64"/>
  <c r="I318"/>
  <c r="W318"/>
  <c r="I327"/>
  <c r="W327"/>
  <c r="I458"/>
  <c r="W458"/>
  <c r="I623"/>
  <c r="W623"/>
  <c r="I124"/>
  <c r="I132"/>
  <c r="W149"/>
  <c r="W179"/>
  <c r="W183"/>
  <c r="W187"/>
  <c r="W192"/>
  <c r="W224"/>
  <c r="W230"/>
  <c r="W241"/>
  <c r="W244"/>
  <c r="W247"/>
  <c r="W252"/>
  <c r="I255"/>
  <c r="W255"/>
  <c r="I354"/>
  <c r="W354"/>
  <c r="I389"/>
  <c r="W389"/>
  <c r="I407"/>
  <c r="W407"/>
  <c r="I413"/>
  <c r="W413"/>
  <c r="I425"/>
  <c r="W425"/>
  <c r="I444"/>
  <c r="W444"/>
  <c r="I532"/>
  <c r="W532"/>
  <c r="I612"/>
  <c r="W612"/>
  <c r="I127"/>
  <c r="I135"/>
  <c r="I148"/>
  <c r="W152"/>
  <c r="W129"/>
  <c r="W137"/>
  <c r="W143"/>
  <c r="W162"/>
  <c r="W193"/>
  <c r="W204"/>
  <c r="W216"/>
  <c r="W245"/>
  <c r="I279"/>
  <c r="W279"/>
  <c r="W294"/>
  <c r="I306"/>
  <c r="W306"/>
  <c r="I338"/>
  <c r="W338"/>
  <c r="I494"/>
  <c r="W494"/>
  <c r="I522"/>
  <c r="W522"/>
  <c r="I571"/>
  <c r="W571"/>
  <c r="W164"/>
  <c r="W194"/>
  <c r="W206"/>
  <c r="W218"/>
  <c r="W234"/>
  <c r="W240"/>
  <c r="W246"/>
  <c r="W263"/>
  <c r="W301"/>
  <c r="W319"/>
  <c r="W329"/>
  <c r="W341"/>
  <c r="I362"/>
  <c r="W362"/>
  <c r="I383"/>
  <c r="W383"/>
  <c r="I399"/>
  <c r="W399"/>
  <c r="I467"/>
  <c r="W467"/>
  <c r="W480"/>
  <c r="W548"/>
  <c r="W293"/>
  <c r="W304"/>
  <c r="W308"/>
  <c r="W317"/>
  <c r="W325"/>
  <c r="W345"/>
  <c r="W352"/>
  <c r="W359"/>
  <c r="W393"/>
  <c r="W405"/>
  <c r="I417"/>
  <c r="W417"/>
  <c r="I428"/>
  <c r="I447"/>
  <c r="W447"/>
  <c r="I460"/>
  <c r="W460"/>
  <c r="I484"/>
  <c r="W484"/>
  <c r="I506"/>
  <c r="I525"/>
  <c r="W525"/>
  <c r="I554"/>
  <c r="W554"/>
  <c r="I574"/>
  <c r="W574"/>
  <c r="I481"/>
  <c r="W481"/>
  <c r="I546"/>
  <c r="W546"/>
  <c r="I587"/>
  <c r="W587"/>
  <c r="W440"/>
  <c r="I461"/>
  <c r="I464"/>
  <c r="W489"/>
  <c r="I490"/>
  <c r="I511"/>
  <c r="W523"/>
  <c r="W526"/>
  <c r="W555"/>
  <c r="I557"/>
  <c r="W558"/>
  <c r="W594"/>
  <c r="I595"/>
  <c r="I599"/>
  <c r="W613"/>
  <c r="W620"/>
  <c r="I625"/>
  <c r="W628"/>
  <c r="W636"/>
  <c r="W643"/>
  <c r="W614"/>
  <c r="W622"/>
  <c r="W629"/>
  <c r="I635"/>
  <c r="W637"/>
  <c r="I638"/>
  <c r="W645"/>
  <c r="I646"/>
  <c r="W657"/>
  <c r="I658"/>
  <c r="W487"/>
  <c r="I164"/>
  <c r="I234"/>
  <c r="I300"/>
  <c r="F682"/>
  <c r="I422"/>
  <c r="I487"/>
  <c r="I552"/>
  <c r="I662"/>
  <c r="I686" s="1"/>
  <c r="AA685"/>
  <c r="AA678"/>
  <c r="Y670"/>
  <c r="Y684"/>
  <c r="G676"/>
  <c r="F665"/>
  <c r="I144"/>
  <c r="D10" i="5"/>
  <c r="D9"/>
  <c r="D5"/>
  <c r="D13" s="1"/>
  <c r="F628" i="2"/>
  <c r="I12"/>
  <c r="F635"/>
  <c r="F642" s="1"/>
  <c r="F389"/>
  <c r="F622"/>
  <c r="F623" s="1"/>
  <c r="G623" s="1"/>
  <c r="J623" s="1"/>
  <c r="F262"/>
  <c r="F519"/>
  <c r="F523" s="1"/>
  <c r="G523" s="1"/>
  <c r="J523" s="1"/>
  <c r="F332"/>
  <c r="F574"/>
  <c r="F576"/>
  <c r="G576" s="1"/>
  <c r="J576" s="1"/>
  <c r="F89"/>
  <c r="F452"/>
  <c r="G622"/>
  <c r="J622" s="1"/>
  <c r="F643"/>
  <c r="G643" s="1"/>
  <c r="J643" s="1"/>
  <c r="F640"/>
  <c r="G640" s="1"/>
  <c r="J640" s="1"/>
  <c r="G642"/>
  <c r="J642" s="1"/>
  <c r="F591"/>
  <c r="G591" s="1"/>
  <c r="J591" s="1"/>
  <c r="F608"/>
  <c r="G608" s="1"/>
  <c r="J608" s="1"/>
  <c r="F606"/>
  <c r="G606" s="1"/>
  <c r="J606" s="1"/>
  <c r="F583"/>
  <c r="G583"/>
  <c r="J583" s="1"/>
  <c r="F602"/>
  <c r="G602" s="1"/>
  <c r="J602" s="1"/>
  <c r="F586"/>
  <c r="G586" s="1"/>
  <c r="J586" s="1"/>
  <c r="F612"/>
  <c r="G612" s="1"/>
  <c r="J612" s="1"/>
  <c r="F603"/>
  <c r="G603" s="1"/>
  <c r="J603" s="1"/>
  <c r="F581"/>
  <c r="G581" s="1"/>
  <c r="J581" s="1"/>
  <c r="F615"/>
  <c r="G615" s="1"/>
  <c r="J615" s="1"/>
  <c r="F592"/>
  <c r="G592" s="1"/>
  <c r="J592" s="1"/>
  <c r="F585"/>
  <c r="G585" s="1"/>
  <c r="J585" s="1"/>
  <c r="F555"/>
  <c r="G555" s="1"/>
  <c r="J555" s="1"/>
  <c r="F543"/>
  <c r="G543" s="1"/>
  <c r="J543" s="1"/>
  <c r="F610"/>
  <c r="G610" s="1"/>
  <c r="J610" s="1"/>
  <c r="F604"/>
  <c r="G604"/>
  <c r="J604" s="1"/>
  <c r="F587"/>
  <c r="G587" s="1"/>
  <c r="J587" s="1"/>
  <c r="F582"/>
  <c r="G582"/>
  <c r="J582" s="1"/>
  <c r="F562"/>
  <c r="G562" s="1"/>
  <c r="J562" s="1"/>
  <c r="F522"/>
  <c r="G522"/>
  <c r="J522" s="1"/>
  <c r="F534"/>
  <c r="G534" s="1"/>
  <c r="J534" s="1"/>
  <c r="F547"/>
  <c r="G547" s="1"/>
  <c r="J547" s="1"/>
  <c r="F575"/>
  <c r="G575" s="1"/>
  <c r="J575" s="1"/>
  <c r="F605"/>
  <c r="G605" s="1"/>
  <c r="J605" s="1"/>
  <c r="F601"/>
  <c r="G601" s="1"/>
  <c r="J601" s="1"/>
  <c r="F588"/>
  <c r="G588" s="1"/>
  <c r="J588" s="1"/>
  <c r="F584"/>
  <c r="G584" s="1"/>
  <c r="J584" s="1"/>
  <c r="F520"/>
  <c r="G520" s="1"/>
  <c r="J520" s="1"/>
  <c r="F554"/>
  <c r="G554" s="1"/>
  <c r="J554" s="1"/>
  <c r="F546"/>
  <c r="G546" s="1"/>
  <c r="J546" s="1"/>
  <c r="F542"/>
  <c r="G542" s="1"/>
  <c r="J542" s="1"/>
  <c r="F529"/>
  <c r="G529" s="1"/>
  <c r="J529" s="1"/>
  <c r="F525"/>
  <c r="G525" s="1"/>
  <c r="J525" s="1"/>
  <c r="F528"/>
  <c r="G528" s="1"/>
  <c r="J528" s="1"/>
  <c r="F545"/>
  <c r="G545" s="1"/>
  <c r="J545" s="1"/>
  <c r="F524"/>
  <c r="G524" s="1"/>
  <c r="J524" s="1"/>
  <c r="F561"/>
  <c r="G561" s="1"/>
  <c r="J561" s="1"/>
  <c r="F552"/>
  <c r="G552" s="1"/>
  <c r="J552" s="1"/>
  <c r="F548"/>
  <c r="G548" s="1"/>
  <c r="J548" s="1"/>
  <c r="F544"/>
  <c r="G544" s="1"/>
  <c r="J544" s="1"/>
  <c r="F536"/>
  <c r="G536" s="1"/>
  <c r="J536" s="1"/>
  <c r="F531"/>
  <c r="G531" s="1"/>
  <c r="J531" s="1"/>
  <c r="F487"/>
  <c r="G487" s="1"/>
  <c r="J487" s="1"/>
  <c r="F457"/>
  <c r="G457" s="1"/>
  <c r="J457" s="1"/>
  <c r="F458"/>
  <c r="G458" s="1"/>
  <c r="J458" s="1"/>
  <c r="F463"/>
  <c r="G463" s="1"/>
  <c r="J463" s="1"/>
  <c r="F469"/>
  <c r="G469" s="1"/>
  <c r="J469" s="1"/>
  <c r="F470"/>
  <c r="G470" s="1"/>
  <c r="J470" s="1"/>
  <c r="F476"/>
  <c r="G476" s="1"/>
  <c r="J476"/>
  <c r="F480"/>
  <c r="G480" s="1"/>
  <c r="J480" s="1"/>
  <c r="F481"/>
  <c r="G481" s="1"/>
  <c r="J481" s="1"/>
  <c r="F490"/>
  <c r="G490" s="1"/>
  <c r="J490" s="1"/>
  <c r="F495"/>
  <c r="G495" s="1"/>
  <c r="J495" s="1"/>
  <c r="F499"/>
  <c r="G499" s="1"/>
  <c r="J499" s="1"/>
  <c r="F500"/>
  <c r="G500" s="1"/>
  <c r="J500" s="1"/>
  <c r="F504"/>
  <c r="G504" s="1"/>
  <c r="J504" s="1"/>
  <c r="F510"/>
  <c r="G510" s="1"/>
  <c r="J510" s="1"/>
  <c r="F514"/>
  <c r="G514" s="1"/>
  <c r="J514" s="1"/>
  <c r="F515"/>
  <c r="G515" s="1"/>
  <c r="J515" s="1"/>
  <c r="G452"/>
  <c r="J452"/>
  <c r="F438"/>
  <c r="G438" s="1"/>
  <c r="J438" s="1"/>
  <c r="F439"/>
  <c r="G439"/>
  <c r="J439" s="1"/>
  <c r="F421"/>
  <c r="G421" s="1"/>
  <c r="J421" s="1"/>
  <c r="F422"/>
  <c r="G422" s="1"/>
  <c r="J422" s="1"/>
  <c r="F391"/>
  <c r="G391" s="1"/>
  <c r="J391" s="1"/>
  <c r="F392"/>
  <c r="G392" s="1"/>
  <c r="J392" s="1"/>
  <c r="F393"/>
  <c r="G393" s="1"/>
  <c r="J393" s="1"/>
  <c r="F394"/>
  <c r="G394" s="1"/>
  <c r="J394" s="1"/>
  <c r="F396"/>
  <c r="G396" s="1"/>
  <c r="J396" s="1"/>
  <c r="F397"/>
  <c r="G397" s="1"/>
  <c r="J397" s="1"/>
  <c r="F399"/>
  <c r="G399" s="1"/>
  <c r="J399" s="1"/>
  <c r="F400"/>
  <c r="G400" s="1"/>
  <c r="J400" s="1"/>
  <c r="F402"/>
  <c r="G402" s="1"/>
  <c r="J402" s="1"/>
  <c r="F403"/>
  <c r="G403" s="1"/>
  <c r="J403" s="1"/>
  <c r="F406"/>
  <c r="G406" s="1"/>
  <c r="J406" s="1"/>
  <c r="F407"/>
  <c r="G407" s="1"/>
  <c r="J407" s="1"/>
  <c r="F408"/>
  <c r="G408" s="1"/>
  <c r="J408" s="1"/>
  <c r="F409"/>
  <c r="G409" s="1"/>
  <c r="J409" s="1"/>
  <c r="F410"/>
  <c r="G410" s="1"/>
  <c r="J410" s="1"/>
  <c r="F411"/>
  <c r="G411" s="1"/>
  <c r="J411" s="1"/>
  <c r="F413"/>
  <c r="G413" s="1"/>
  <c r="J413" s="1"/>
  <c r="F414"/>
  <c r="G414" s="1"/>
  <c r="J414" s="1"/>
  <c r="F416"/>
  <c r="G416" s="1"/>
  <c r="J416" s="1"/>
  <c r="F417"/>
  <c r="G417" s="1"/>
  <c r="J417" s="1"/>
  <c r="F419"/>
  <c r="G419" s="1"/>
  <c r="J419" s="1"/>
  <c r="F420"/>
  <c r="G420" s="1"/>
  <c r="J420" s="1"/>
  <c r="F424"/>
  <c r="G424" s="1"/>
  <c r="J424" s="1"/>
  <c r="F425"/>
  <c r="G425" s="1"/>
  <c r="J425" s="1"/>
  <c r="F426"/>
  <c r="G426" s="1"/>
  <c r="J426" s="1"/>
  <c r="F427"/>
  <c r="G427" s="1"/>
  <c r="J427" s="1"/>
  <c r="F428"/>
  <c r="G428" s="1"/>
  <c r="J428" s="1"/>
  <c r="F429"/>
  <c r="G429" s="1"/>
  <c r="J429" s="1"/>
  <c r="F431"/>
  <c r="G431" s="1"/>
  <c r="J431" s="1"/>
  <c r="F432"/>
  <c r="G432" s="1"/>
  <c r="J432" s="1"/>
  <c r="F434"/>
  <c r="G434"/>
  <c r="J434" s="1"/>
  <c r="F435"/>
  <c r="G435" s="1"/>
  <c r="J435" s="1"/>
  <c r="F441"/>
  <c r="G441" s="1"/>
  <c r="J441" s="1"/>
  <c r="F443"/>
  <c r="G443"/>
  <c r="J443" s="1"/>
  <c r="F445"/>
  <c r="G445" s="1"/>
  <c r="J445" s="1"/>
  <c r="F446"/>
  <c r="G446" s="1"/>
  <c r="J446" s="1"/>
  <c r="F447"/>
  <c r="G447" s="1"/>
  <c r="J447" s="1"/>
  <c r="F448"/>
  <c r="G448" s="1"/>
  <c r="J448" s="1"/>
  <c r="F390"/>
  <c r="G390" s="1"/>
  <c r="J390" s="1"/>
  <c r="F336"/>
  <c r="G336" s="1"/>
  <c r="J336" s="1"/>
  <c r="F339"/>
  <c r="G339" s="1"/>
  <c r="J339" s="1"/>
  <c r="F340"/>
  <c r="G340" s="1"/>
  <c r="J340" s="1"/>
  <c r="F342"/>
  <c r="G342"/>
  <c r="J342" s="1"/>
  <c r="F344"/>
  <c r="G344" s="1"/>
  <c r="J344" s="1"/>
  <c r="F345"/>
  <c r="G345" s="1"/>
  <c r="J345" s="1"/>
  <c r="F347"/>
  <c r="G347" s="1"/>
  <c r="J347" s="1"/>
  <c r="F350"/>
  <c r="G350" s="1"/>
  <c r="J350" s="1"/>
  <c r="F351"/>
  <c r="G351" s="1"/>
  <c r="J351" s="1"/>
  <c r="F354"/>
  <c r="G354" s="1"/>
  <c r="J354" s="1"/>
  <c r="F357"/>
  <c r="G357" s="1"/>
  <c r="J357" s="1"/>
  <c r="F358"/>
  <c r="G358" s="1"/>
  <c r="J358" s="1"/>
  <c r="F359"/>
  <c r="G359" s="1"/>
  <c r="J359" s="1"/>
  <c r="F361"/>
  <c r="G361"/>
  <c r="J361" s="1"/>
  <c r="F362"/>
  <c r="G362" s="1"/>
  <c r="J362" s="1"/>
  <c r="F364"/>
  <c r="G364" s="1"/>
  <c r="J364" s="1"/>
  <c r="F365"/>
  <c r="G365" s="1"/>
  <c r="J365" s="1"/>
  <c r="F366"/>
  <c r="G366" s="1"/>
  <c r="J366" s="1"/>
  <c r="F369"/>
  <c r="G369" s="1"/>
  <c r="J369" s="1"/>
  <c r="F372"/>
  <c r="G372" s="1"/>
  <c r="J372" s="1"/>
  <c r="F373"/>
  <c r="G373" s="1"/>
  <c r="J373" s="1"/>
  <c r="F375"/>
  <c r="G375"/>
  <c r="J375" s="1"/>
  <c r="F377"/>
  <c r="G377" s="1"/>
  <c r="J377" s="1"/>
  <c r="F378"/>
  <c r="G378" s="1"/>
  <c r="J378" s="1"/>
  <c r="F381"/>
  <c r="G381" s="1"/>
  <c r="J381" s="1"/>
  <c r="F383"/>
  <c r="G383" s="1"/>
  <c r="J383" s="1"/>
  <c r="F384"/>
  <c r="G384" s="1"/>
  <c r="J384" s="1"/>
  <c r="G332"/>
  <c r="J332" s="1"/>
  <c r="F276"/>
  <c r="G276" s="1"/>
  <c r="J276" s="1"/>
  <c r="F319"/>
  <c r="G319" s="1"/>
  <c r="J319" s="1"/>
  <c r="F320"/>
  <c r="G320"/>
  <c r="J320" s="1"/>
  <c r="F298"/>
  <c r="G298" s="1"/>
  <c r="J298" s="1"/>
  <c r="F314"/>
  <c r="G314"/>
  <c r="J314" s="1"/>
  <c r="F315"/>
  <c r="G315" s="1"/>
  <c r="J315" s="1"/>
  <c r="F316"/>
  <c r="G316"/>
  <c r="J316" s="1"/>
  <c r="F317"/>
  <c r="G317" s="1"/>
  <c r="J317" s="1"/>
  <c r="F318"/>
  <c r="G318" s="1"/>
  <c r="J318" s="1"/>
  <c r="F309"/>
  <c r="G309" s="1"/>
  <c r="J309" s="1"/>
  <c r="F310"/>
  <c r="G310"/>
  <c r="J310" s="1"/>
  <c r="F311"/>
  <c r="G311" s="1"/>
  <c r="J311" s="1"/>
  <c r="F312"/>
  <c r="G312" s="1"/>
  <c r="J312" s="1"/>
  <c r="F313"/>
  <c r="G313" s="1"/>
  <c r="J313" s="1"/>
  <c r="F289"/>
  <c r="G289"/>
  <c r="J289" s="1"/>
  <c r="F290"/>
  <c r="G290" s="1"/>
  <c r="J290" s="1"/>
  <c r="F291"/>
  <c r="G291" s="1"/>
  <c r="J291" s="1"/>
  <c r="F292"/>
  <c r="G292" s="1"/>
  <c r="J292" s="1"/>
  <c r="F293"/>
  <c r="G293" s="1"/>
  <c r="J293" s="1"/>
  <c r="F294"/>
  <c r="G294" s="1"/>
  <c r="J294" s="1"/>
  <c r="F295"/>
  <c r="G295" s="1"/>
  <c r="J295" s="1"/>
  <c r="F296"/>
  <c r="G296" s="1"/>
  <c r="J296" s="1"/>
  <c r="F297"/>
  <c r="G297"/>
  <c r="J297" s="1"/>
  <c r="F286"/>
  <c r="G286" s="1"/>
  <c r="J286" s="1"/>
  <c r="F272"/>
  <c r="G272"/>
  <c r="J272" s="1"/>
  <c r="F273"/>
  <c r="G273" s="1"/>
  <c r="J273" s="1"/>
  <c r="F274"/>
  <c r="G274" s="1"/>
  <c r="J274" s="1"/>
  <c r="F275"/>
  <c r="G275" s="1"/>
  <c r="J275" s="1"/>
  <c r="F277"/>
  <c r="G277" s="1"/>
  <c r="J277" s="1"/>
  <c r="F263"/>
  <c r="G263" s="1"/>
  <c r="J263" s="1"/>
  <c r="F264"/>
  <c r="G264"/>
  <c r="J264" s="1"/>
  <c r="F265"/>
  <c r="G265" s="1"/>
  <c r="J265" s="1"/>
  <c r="F266"/>
  <c r="G266"/>
  <c r="J266" s="1"/>
  <c r="F267"/>
  <c r="G267" s="1"/>
  <c r="J267" s="1"/>
  <c r="F268"/>
  <c r="G268" s="1"/>
  <c r="J268" s="1"/>
  <c r="F269"/>
  <c r="G269" s="1"/>
  <c r="J269" s="1"/>
  <c r="F270"/>
  <c r="G270" s="1"/>
  <c r="J270" s="1"/>
  <c r="F271"/>
  <c r="G271" s="1"/>
  <c r="J271" s="1"/>
  <c r="F279"/>
  <c r="G279"/>
  <c r="J279" s="1"/>
  <c r="F280"/>
  <c r="G280" s="1"/>
  <c r="J280" s="1"/>
  <c r="F281"/>
  <c r="G281"/>
  <c r="J281" s="1"/>
  <c r="F282"/>
  <c r="G282" s="1"/>
  <c r="J282" s="1"/>
  <c r="F283"/>
  <c r="G283" s="1"/>
  <c r="J283" s="1"/>
  <c r="F284"/>
  <c r="G284" s="1"/>
  <c r="J284" s="1"/>
  <c r="F285"/>
  <c r="G285" s="1"/>
  <c r="J285" s="1"/>
  <c r="F287"/>
  <c r="G287" s="1"/>
  <c r="J287" s="1"/>
  <c r="F288"/>
  <c r="G288"/>
  <c r="J288" s="1"/>
  <c r="F299"/>
  <c r="G299" s="1"/>
  <c r="J299" s="1"/>
  <c r="F300"/>
  <c r="G300"/>
  <c r="J300" s="1"/>
  <c r="F301"/>
  <c r="G301" s="1"/>
  <c r="J301" s="1"/>
  <c r="F302"/>
  <c r="G302" s="1"/>
  <c r="J302" s="1"/>
  <c r="F303"/>
  <c r="G303" s="1"/>
  <c r="J303" s="1"/>
  <c r="F304"/>
  <c r="G304" s="1"/>
  <c r="J304" s="1"/>
  <c r="F305"/>
  <c r="G305" s="1"/>
  <c r="J305" s="1"/>
  <c r="F306"/>
  <c r="G306"/>
  <c r="J306" s="1"/>
  <c r="F307"/>
  <c r="G307" s="1"/>
  <c r="J307" s="1"/>
  <c r="F308"/>
  <c r="G308"/>
  <c r="J308" s="1"/>
  <c r="F321"/>
  <c r="G321" s="1"/>
  <c r="J321" s="1"/>
  <c r="F323"/>
  <c r="G323" s="1"/>
  <c r="J323" s="1"/>
  <c r="F324"/>
  <c r="G324" s="1"/>
  <c r="J324" s="1"/>
  <c r="F325"/>
  <c r="G325" s="1"/>
  <c r="J325" s="1"/>
  <c r="F326"/>
  <c r="G326" s="1"/>
  <c r="J326" s="1"/>
  <c r="F327"/>
  <c r="G327"/>
  <c r="J327" s="1"/>
  <c r="F328"/>
  <c r="G328" s="1"/>
  <c r="J328" s="1"/>
  <c r="G262"/>
  <c r="J262" s="1"/>
  <c r="F258"/>
  <c r="G258" s="1"/>
  <c r="J258" s="1"/>
  <c r="F256"/>
  <c r="G256" s="1"/>
  <c r="J256" s="1"/>
  <c r="F255"/>
  <c r="G255" s="1"/>
  <c r="J255" s="1"/>
  <c r="G257"/>
  <c r="J257" s="1"/>
  <c r="G254"/>
  <c r="J254" s="1"/>
  <c r="F249"/>
  <c r="G249" s="1"/>
  <c r="J249" s="1"/>
  <c r="F250"/>
  <c r="G250"/>
  <c r="J250" s="1"/>
  <c r="F245"/>
  <c r="G245" s="1"/>
  <c r="J245" s="1"/>
  <c r="F246"/>
  <c r="G246" s="1"/>
  <c r="J246" s="1"/>
  <c r="F233"/>
  <c r="G233" s="1"/>
  <c r="J233" s="1"/>
  <c r="F234"/>
  <c r="G234" s="1"/>
  <c r="J234" s="1"/>
  <c r="F235"/>
  <c r="G235" s="1"/>
  <c r="J235" s="1"/>
  <c r="F236"/>
  <c r="G236"/>
  <c r="J236" s="1"/>
  <c r="F237"/>
  <c r="G237" s="1"/>
  <c r="J237" s="1"/>
  <c r="F238"/>
  <c r="G238"/>
  <c r="J238" s="1"/>
  <c r="F239"/>
  <c r="G239" s="1"/>
  <c r="J239" s="1"/>
  <c r="F240"/>
  <c r="G240" s="1"/>
  <c r="J240" s="1"/>
  <c r="F241"/>
  <c r="G241" s="1"/>
  <c r="J241" s="1"/>
  <c r="F242"/>
  <c r="G242" s="1"/>
  <c r="J242" s="1"/>
  <c r="F243"/>
  <c r="G243" s="1"/>
  <c r="J243" s="1"/>
  <c r="F225"/>
  <c r="G225"/>
  <c r="J225" s="1"/>
  <c r="F226"/>
  <c r="G226" s="1"/>
  <c r="J226" s="1"/>
  <c r="F227"/>
  <c r="G227" s="1"/>
  <c r="J227" s="1"/>
  <c r="F228"/>
  <c r="G228" s="1"/>
  <c r="J228" s="1"/>
  <c r="F229"/>
  <c r="G229"/>
  <c r="J229" s="1"/>
  <c r="F230"/>
  <c r="G230" s="1"/>
  <c r="J230" s="1"/>
  <c r="F231"/>
  <c r="F232"/>
  <c r="G232" s="1"/>
  <c r="J232" s="1"/>
  <c r="F224"/>
  <c r="G224" s="1"/>
  <c r="J224" s="1"/>
  <c r="G231"/>
  <c r="J231" s="1"/>
  <c r="F251"/>
  <c r="G251" s="1"/>
  <c r="J251" s="1"/>
  <c r="F248"/>
  <c r="G248" s="1"/>
  <c r="J248" s="1"/>
  <c r="F247"/>
  <c r="G247" s="1"/>
  <c r="J247" s="1"/>
  <c r="G244"/>
  <c r="J244" s="1"/>
  <c r="G223"/>
  <c r="J223" s="1"/>
  <c r="F205"/>
  <c r="G205"/>
  <c r="J205" s="1"/>
  <c r="F204"/>
  <c r="G204" s="1"/>
  <c r="J204" s="1"/>
  <c r="F203"/>
  <c r="G203" s="1"/>
  <c r="J203" s="1"/>
  <c r="F215"/>
  <c r="G215" s="1"/>
  <c r="J215" s="1"/>
  <c r="F214"/>
  <c r="G214" s="1"/>
  <c r="J214" s="1"/>
  <c r="F213"/>
  <c r="G213"/>
  <c r="J213"/>
  <c r="F212"/>
  <c r="G212" s="1"/>
  <c r="J212" s="1"/>
  <c r="F211"/>
  <c r="G211" s="1"/>
  <c r="J211" s="1"/>
  <c r="F210"/>
  <c r="G210" s="1"/>
  <c r="J210" s="1"/>
  <c r="F209"/>
  <c r="G209"/>
  <c r="J209" s="1"/>
  <c r="F208"/>
  <c r="G208"/>
  <c r="J208"/>
  <c r="F207"/>
  <c r="G207" s="1"/>
  <c r="J207" s="1"/>
  <c r="F206"/>
  <c r="G206"/>
  <c r="J206" s="1"/>
  <c r="F201"/>
  <c r="G201" s="1"/>
  <c r="J201" s="1"/>
  <c r="F200"/>
  <c r="G200"/>
  <c r="J200" s="1"/>
  <c r="F199"/>
  <c r="G199" s="1"/>
  <c r="J199" s="1"/>
  <c r="F198"/>
  <c r="G198"/>
  <c r="J198" s="1"/>
  <c r="F197"/>
  <c r="G197" s="1"/>
  <c r="J197" s="1"/>
  <c r="F219"/>
  <c r="G219" s="1"/>
  <c r="J219" s="1"/>
  <c r="F218"/>
  <c r="G218" s="1"/>
  <c r="J218" s="1"/>
  <c r="F217"/>
  <c r="G217" s="1"/>
  <c r="J217" s="1"/>
  <c r="G216"/>
  <c r="J216" s="1"/>
  <c r="G202"/>
  <c r="J202" s="1"/>
  <c r="G196"/>
  <c r="J196" s="1"/>
  <c r="F187"/>
  <c r="G187"/>
  <c r="J187"/>
  <c r="F186"/>
  <c r="G186" s="1"/>
  <c r="J186" s="1"/>
  <c r="G185"/>
  <c r="J185" s="1"/>
  <c r="F192"/>
  <c r="G192"/>
  <c r="J192" s="1"/>
  <c r="F190"/>
  <c r="G190" s="1"/>
  <c r="J190" s="1"/>
  <c r="F189"/>
  <c r="G189" s="1"/>
  <c r="J189" s="1"/>
  <c r="F188"/>
  <c r="G188" s="1"/>
  <c r="J188" s="1"/>
  <c r="F184"/>
  <c r="G184"/>
  <c r="J184"/>
  <c r="F183"/>
  <c r="G183" s="1"/>
  <c r="J183" s="1"/>
  <c r="G191"/>
  <c r="J191" s="1"/>
  <c r="G182"/>
  <c r="J182"/>
  <c r="F178"/>
  <c r="G178" s="1"/>
  <c r="J178" s="1"/>
  <c r="G177"/>
  <c r="J177" s="1"/>
  <c r="F176"/>
  <c r="G176" s="1"/>
  <c r="J176" s="1"/>
  <c r="F172"/>
  <c r="G172"/>
  <c r="J172" s="1"/>
  <c r="F173"/>
  <c r="G173" s="1"/>
  <c r="J173" s="1"/>
  <c r="F174"/>
  <c r="G174" s="1"/>
  <c r="J174" s="1"/>
  <c r="F175"/>
  <c r="G175" s="1"/>
  <c r="J175" s="1"/>
  <c r="F171"/>
  <c r="G171"/>
  <c r="J171"/>
  <c r="F92"/>
  <c r="G92" s="1"/>
  <c r="J92" s="1"/>
  <c r="F93"/>
  <c r="G93" s="1"/>
  <c r="J93" s="1"/>
  <c r="F94"/>
  <c r="G94"/>
  <c r="J94" s="1"/>
  <c r="F95"/>
  <c r="G95" s="1"/>
  <c r="J95" s="1"/>
  <c r="F96"/>
  <c r="G96" s="1"/>
  <c r="J96" s="1"/>
  <c r="F97"/>
  <c r="G97" s="1"/>
  <c r="J97" s="1"/>
  <c r="F98"/>
  <c r="G98"/>
  <c r="J98" s="1"/>
  <c r="F99"/>
  <c r="G99" s="1"/>
  <c r="J99" s="1"/>
  <c r="F100"/>
  <c r="G100" s="1"/>
  <c r="J100" s="1"/>
  <c r="F101"/>
  <c r="G101" s="1"/>
  <c r="J101" s="1"/>
  <c r="F102"/>
  <c r="G102" s="1"/>
  <c r="J102" s="1"/>
  <c r="F103"/>
  <c r="G103"/>
  <c r="J103" s="1"/>
  <c r="F104"/>
  <c r="G104" s="1"/>
  <c r="J104" s="1"/>
  <c r="F105"/>
  <c r="G105" s="1"/>
  <c r="J105" s="1"/>
  <c r="F106"/>
  <c r="G106" s="1"/>
  <c r="J106" s="1"/>
  <c r="F107"/>
  <c r="G107"/>
  <c r="J107"/>
  <c r="F108"/>
  <c r="G108" s="1"/>
  <c r="J108" s="1"/>
  <c r="F109"/>
  <c r="G109" s="1"/>
  <c r="J109" s="1"/>
  <c r="F110"/>
  <c r="G110"/>
  <c r="J110" s="1"/>
  <c r="F111"/>
  <c r="G111" s="1"/>
  <c r="J111" s="1"/>
  <c r="F112"/>
  <c r="G112" s="1"/>
  <c r="J112" s="1"/>
  <c r="F113"/>
  <c r="G113" s="1"/>
  <c r="J113" s="1"/>
  <c r="F114"/>
  <c r="G114"/>
  <c r="J114" s="1"/>
  <c r="F115"/>
  <c r="G115" s="1"/>
  <c r="J115" s="1"/>
  <c r="F116"/>
  <c r="G116" s="1"/>
  <c r="J116" s="1"/>
  <c r="F118"/>
  <c r="G118" s="1"/>
  <c r="J118" s="1"/>
  <c r="F119"/>
  <c r="G119" s="1"/>
  <c r="J119" s="1"/>
  <c r="F120"/>
  <c r="G120"/>
  <c r="J120" s="1"/>
  <c r="F121"/>
  <c r="G121" s="1"/>
  <c r="J121" s="1"/>
  <c r="F122"/>
  <c r="G122" s="1"/>
  <c r="J122" s="1"/>
  <c r="F123"/>
  <c r="G123" s="1"/>
  <c r="J123" s="1"/>
  <c r="F124"/>
  <c r="G124"/>
  <c r="J124"/>
  <c r="F125"/>
  <c r="G125" s="1"/>
  <c r="J125" s="1"/>
  <c r="F126"/>
  <c r="G126" s="1"/>
  <c r="J126" s="1"/>
  <c r="F127"/>
  <c r="G127"/>
  <c r="J127" s="1"/>
  <c r="F128"/>
  <c r="G128" s="1"/>
  <c r="J128" s="1"/>
  <c r="F129"/>
  <c r="G129" s="1"/>
  <c r="J129" s="1"/>
  <c r="F130"/>
  <c r="G130" s="1"/>
  <c r="J130" s="1"/>
  <c r="F131"/>
  <c r="G131"/>
  <c r="J131" s="1"/>
  <c r="F132"/>
  <c r="G132" s="1"/>
  <c r="J132" s="1"/>
  <c r="F133"/>
  <c r="G133" s="1"/>
  <c r="J133" s="1"/>
  <c r="F134"/>
  <c r="G134" s="1"/>
  <c r="J134" s="1"/>
  <c r="F135"/>
  <c r="G135" s="1"/>
  <c r="J135" s="1"/>
  <c r="F136"/>
  <c r="G136" s="1"/>
  <c r="J136" s="1"/>
  <c r="F137"/>
  <c r="G137" s="1"/>
  <c r="J137" s="1"/>
  <c r="F138"/>
  <c r="G138" s="1"/>
  <c r="J138" s="1"/>
  <c r="F139"/>
  <c r="G139"/>
  <c r="J139" s="1"/>
  <c r="F140"/>
  <c r="G140" s="1"/>
  <c r="J140" s="1"/>
  <c r="F141"/>
  <c r="G141" s="1"/>
  <c r="J141" s="1"/>
  <c r="F142"/>
  <c r="G142" s="1"/>
  <c r="J142" s="1"/>
  <c r="F143"/>
  <c r="G143" s="1"/>
  <c r="J143" s="1"/>
  <c r="F144"/>
  <c r="G144"/>
  <c r="J144" s="1"/>
  <c r="F145"/>
  <c r="G145" s="1"/>
  <c r="J145" s="1"/>
  <c r="F146"/>
  <c r="G146" s="1"/>
  <c r="J146" s="1"/>
  <c r="F147"/>
  <c r="G147" s="1"/>
  <c r="J147" s="1"/>
  <c r="F148"/>
  <c r="G148"/>
  <c r="J148"/>
  <c r="F149"/>
  <c r="G149" s="1"/>
  <c r="J149" s="1"/>
  <c r="F150"/>
  <c r="G150" s="1"/>
  <c r="J150" s="1"/>
  <c r="F151"/>
  <c r="G151"/>
  <c r="J151" s="1"/>
  <c r="F152"/>
  <c r="G152" s="1"/>
  <c r="J152" s="1"/>
  <c r="F153"/>
  <c r="G153" s="1"/>
  <c r="J153" s="1"/>
  <c r="F154"/>
  <c r="G154" s="1"/>
  <c r="J154" s="1"/>
  <c r="F155"/>
  <c r="G155"/>
  <c r="J155" s="1"/>
  <c r="F156"/>
  <c r="G156" s="1"/>
  <c r="J156" s="1"/>
  <c r="F157"/>
  <c r="G157" s="1"/>
  <c r="J157" s="1"/>
  <c r="F159"/>
  <c r="G159" s="1"/>
  <c r="J159" s="1"/>
  <c r="F160"/>
  <c r="G160" s="1"/>
  <c r="J160" s="1"/>
  <c r="F161"/>
  <c r="G161"/>
  <c r="J161" s="1"/>
  <c r="F162"/>
  <c r="G162" s="1"/>
  <c r="J162" s="1"/>
  <c r="F163"/>
  <c r="G163" s="1"/>
  <c r="J163" s="1"/>
  <c r="F164"/>
  <c r="G164" s="1"/>
  <c r="J164" s="1"/>
  <c r="F165"/>
  <c r="G165"/>
  <c r="J165"/>
  <c r="F166"/>
  <c r="G166" s="1"/>
  <c r="J166" s="1"/>
  <c r="F90"/>
  <c r="G170"/>
  <c r="J170" s="1"/>
  <c r="G90"/>
  <c r="J90" s="1"/>
  <c r="G89"/>
  <c r="J89" s="1"/>
  <c r="J487" i="6"/>
  <c r="J488"/>
  <c r="H488"/>
  <c r="W320" i="7" l="1"/>
  <c r="I320"/>
  <c r="J194" i="2"/>
  <c r="J28" s="1"/>
  <c r="W112" i="7"/>
  <c r="I112"/>
  <c r="I222"/>
  <c r="W222"/>
  <c r="I626"/>
  <c r="I685" s="1"/>
  <c r="W626"/>
  <c r="W685" s="1"/>
  <c r="F685"/>
  <c r="F507" i="2"/>
  <c r="G507" s="1"/>
  <c r="J507" s="1"/>
  <c r="F461"/>
  <c r="G461" s="1"/>
  <c r="J461" s="1"/>
  <c r="F464"/>
  <c r="G464" s="1"/>
  <c r="J464" s="1"/>
  <c r="F474"/>
  <c r="G474" s="1"/>
  <c r="J474" s="1"/>
  <c r="F478"/>
  <c r="G478" s="1"/>
  <c r="J478" s="1"/>
  <c r="F482"/>
  <c r="G482" s="1"/>
  <c r="J482" s="1"/>
  <c r="F488"/>
  <c r="G488" s="1"/>
  <c r="J488" s="1"/>
  <c r="F494"/>
  <c r="G494" s="1"/>
  <c r="J494" s="1"/>
  <c r="F502"/>
  <c r="G502" s="1"/>
  <c r="J502" s="1"/>
  <c r="F508"/>
  <c r="G508" s="1"/>
  <c r="J508" s="1"/>
  <c r="F453"/>
  <c r="G453" s="1"/>
  <c r="J453" s="1"/>
  <c r="F335"/>
  <c r="G335" s="1"/>
  <c r="J335" s="1"/>
  <c r="F338"/>
  <c r="G338" s="1"/>
  <c r="J338" s="1"/>
  <c r="F343"/>
  <c r="G343" s="1"/>
  <c r="J343" s="1"/>
  <c r="F346"/>
  <c r="G346" s="1"/>
  <c r="J346" s="1"/>
  <c r="F352"/>
  <c r="G352" s="1"/>
  <c r="J352" s="1"/>
  <c r="F355"/>
  <c r="G355" s="1"/>
  <c r="J355" s="1"/>
  <c r="F360"/>
  <c r="G360" s="1"/>
  <c r="J360" s="1"/>
  <c r="F363"/>
  <c r="G363" s="1"/>
  <c r="J363" s="1"/>
  <c r="F368"/>
  <c r="G368" s="1"/>
  <c r="J368" s="1"/>
  <c r="F371"/>
  <c r="G371" s="1"/>
  <c r="J371" s="1"/>
  <c r="F376"/>
  <c r="G376" s="1"/>
  <c r="J376" s="1"/>
  <c r="F380"/>
  <c r="G380" s="1"/>
  <c r="J380" s="1"/>
  <c r="F385"/>
  <c r="G385" s="1"/>
  <c r="J385" s="1"/>
  <c r="G628"/>
  <c r="J628" s="1"/>
  <c r="F630"/>
  <c r="G630" s="1"/>
  <c r="J630" s="1"/>
  <c r="AA676" i="7"/>
  <c r="G665"/>
  <c r="F684"/>
  <c r="I590"/>
  <c r="W16"/>
  <c r="AC234"/>
  <c r="K679"/>
  <c r="G678"/>
  <c r="I11"/>
  <c r="W11"/>
  <c r="I110"/>
  <c r="W110"/>
  <c r="I111"/>
  <c r="W111"/>
  <c r="I122"/>
  <c r="W122"/>
  <c r="I176"/>
  <c r="W176"/>
  <c r="I316"/>
  <c r="W316"/>
  <c r="I381"/>
  <c r="W381"/>
  <c r="G684"/>
  <c r="J253" i="2"/>
  <c r="J34" s="1"/>
  <c r="G670" i="7"/>
  <c r="F670"/>
  <c r="I5"/>
  <c r="C666"/>
  <c r="W227"/>
  <c r="M227"/>
  <c r="W237"/>
  <c r="I237"/>
  <c r="W387"/>
  <c r="I387"/>
  <c r="K446"/>
  <c r="G682"/>
  <c r="F333" i="2"/>
  <c r="G333" s="1"/>
  <c r="J333" s="1"/>
  <c r="F382"/>
  <c r="G382" s="1"/>
  <c r="J382" s="1"/>
  <c r="F374"/>
  <c r="G374" s="1"/>
  <c r="J374" s="1"/>
  <c r="F370"/>
  <c r="G370" s="1"/>
  <c r="J370" s="1"/>
  <c r="F367"/>
  <c r="G367" s="1"/>
  <c r="J367" s="1"/>
  <c r="F356"/>
  <c r="G356" s="1"/>
  <c r="J356" s="1"/>
  <c r="F353"/>
  <c r="G353" s="1"/>
  <c r="J353" s="1"/>
  <c r="F349"/>
  <c r="G349" s="1"/>
  <c r="J349" s="1"/>
  <c r="F341"/>
  <c r="G341" s="1"/>
  <c r="J341" s="1"/>
  <c r="F337"/>
  <c r="G337" s="1"/>
  <c r="J337" s="1"/>
  <c r="F334"/>
  <c r="G334" s="1"/>
  <c r="J334" s="1"/>
  <c r="F513"/>
  <c r="G513" s="1"/>
  <c r="J513" s="1"/>
  <c r="F498"/>
  <c r="G498" s="1"/>
  <c r="J498" s="1"/>
  <c r="F492"/>
  <c r="G492" s="1"/>
  <c r="J492" s="1"/>
  <c r="F485"/>
  <c r="G485" s="1"/>
  <c r="J485" s="1"/>
  <c r="F473"/>
  <c r="G473" s="1"/>
  <c r="J473" s="1"/>
  <c r="F467"/>
  <c r="G467" s="1"/>
  <c r="J467" s="1"/>
  <c r="F462"/>
  <c r="G462" s="1"/>
  <c r="J462" s="1"/>
  <c r="F455"/>
  <c r="G455" s="1"/>
  <c r="J455" s="1"/>
  <c r="F486"/>
  <c r="G486" s="1"/>
  <c r="J486" s="1"/>
  <c r="F557"/>
  <c r="G557" s="1"/>
  <c r="J557" s="1"/>
  <c r="F537"/>
  <c r="G537" s="1"/>
  <c r="J537" s="1"/>
  <c r="F541"/>
  <c r="G541" s="1"/>
  <c r="J541" s="1"/>
  <c r="F538"/>
  <c r="G538" s="1"/>
  <c r="J538" s="1"/>
  <c r="F550"/>
  <c r="G550" s="1"/>
  <c r="J550" s="1"/>
  <c r="F551"/>
  <c r="G551" s="1"/>
  <c r="J551" s="1"/>
  <c r="F539"/>
  <c r="G539" s="1"/>
  <c r="J539" s="1"/>
  <c r="F638"/>
  <c r="G638" s="1"/>
  <c r="J638" s="1"/>
  <c r="F629"/>
  <c r="G629" s="1"/>
  <c r="J629" s="1"/>
  <c r="F437"/>
  <c r="G437" s="1"/>
  <c r="J437" s="1"/>
  <c r="F440"/>
  <c r="G440" s="1"/>
  <c r="J440" s="1"/>
  <c r="F395"/>
  <c r="G395" s="1"/>
  <c r="J395" s="1"/>
  <c r="F398"/>
  <c r="G398" s="1"/>
  <c r="J398" s="1"/>
  <c r="F401"/>
  <c r="G401" s="1"/>
  <c r="J401" s="1"/>
  <c r="F404"/>
  <c r="G404" s="1"/>
  <c r="J404" s="1"/>
  <c r="F412"/>
  <c r="G412" s="1"/>
  <c r="J412" s="1"/>
  <c r="F415"/>
  <c r="G415" s="1"/>
  <c r="J415" s="1"/>
  <c r="F418"/>
  <c r="G418" s="1"/>
  <c r="J418" s="1"/>
  <c r="F423"/>
  <c r="G423" s="1"/>
  <c r="J423" s="1"/>
  <c r="F430"/>
  <c r="G430" s="1"/>
  <c r="J430" s="1"/>
  <c r="F433"/>
  <c r="G433" s="1"/>
  <c r="J433" s="1"/>
  <c r="F436"/>
  <c r="G436" s="1"/>
  <c r="J436" s="1"/>
  <c r="F444"/>
  <c r="G444" s="1"/>
  <c r="J444" s="1"/>
  <c r="G389"/>
  <c r="J389" s="1"/>
  <c r="I113" i="7"/>
  <c r="I17"/>
  <c r="W586"/>
  <c r="W63"/>
  <c r="W5"/>
  <c r="O409"/>
  <c r="O681" s="1"/>
  <c r="AC231"/>
  <c r="AC678" s="1"/>
  <c r="Y671"/>
  <c r="AC677"/>
  <c r="G679"/>
  <c r="K682"/>
  <c r="F678"/>
  <c r="W29"/>
  <c r="I29"/>
  <c r="I673"/>
  <c r="I109"/>
  <c r="W109"/>
  <c r="I121"/>
  <c r="W121"/>
  <c r="U677"/>
  <c r="F677"/>
  <c r="I161"/>
  <c r="I677" s="1"/>
  <c r="M169"/>
  <c r="W169"/>
  <c r="M300"/>
  <c r="M680" s="1"/>
  <c r="F680"/>
  <c r="I337"/>
  <c r="W337"/>
  <c r="W342"/>
  <c r="O342"/>
  <c r="O680" s="1"/>
  <c r="U681"/>
  <c r="K354"/>
  <c r="G681"/>
  <c r="I374"/>
  <c r="W374"/>
  <c r="U682"/>
  <c r="I442"/>
  <c r="W442"/>
  <c r="M682"/>
  <c r="AC487"/>
  <c r="AC683" s="1"/>
  <c r="M487"/>
  <c r="M683" s="1"/>
  <c r="F683"/>
  <c r="W507"/>
  <c r="I507"/>
  <c r="I529"/>
  <c r="W529"/>
  <c r="M552"/>
  <c r="M684" s="1"/>
  <c r="AC552"/>
  <c r="AC684" s="1"/>
  <c r="W181"/>
  <c r="I181"/>
  <c r="AC294"/>
  <c r="AC679" s="1"/>
  <c r="I294"/>
  <c r="J180" i="2"/>
  <c r="J25" s="1"/>
  <c r="F511"/>
  <c r="G511" s="1"/>
  <c r="J511" s="1"/>
  <c r="F503"/>
  <c r="G503" s="1"/>
  <c r="J503" s="1"/>
  <c r="F496"/>
  <c r="G496" s="1"/>
  <c r="J496" s="1"/>
  <c r="F491"/>
  <c r="G491" s="1"/>
  <c r="J491" s="1"/>
  <c r="F484"/>
  <c r="G484" s="1"/>
  <c r="J484" s="1"/>
  <c r="F477"/>
  <c r="G477" s="1"/>
  <c r="J477" s="1"/>
  <c r="F472"/>
  <c r="G472" s="1"/>
  <c r="J472" s="1"/>
  <c r="F465"/>
  <c r="G465" s="1"/>
  <c r="J465" s="1"/>
  <c r="F459"/>
  <c r="G459" s="1"/>
  <c r="J459" s="1"/>
  <c r="F454"/>
  <c r="G454" s="1"/>
  <c r="J454" s="1"/>
  <c r="F631"/>
  <c r="G631" s="1"/>
  <c r="J631" s="1"/>
  <c r="F526"/>
  <c r="G526" s="1"/>
  <c r="J526" s="1"/>
  <c r="G519"/>
  <c r="J519" s="1"/>
  <c r="F553"/>
  <c r="G553" s="1"/>
  <c r="J553" s="1"/>
  <c r="F560"/>
  <c r="G560" s="1"/>
  <c r="J560" s="1"/>
  <c r="F558"/>
  <c r="G558" s="1"/>
  <c r="J558" s="1"/>
  <c r="F530"/>
  <c r="G530" s="1"/>
  <c r="J530" s="1"/>
  <c r="F559"/>
  <c r="G559" s="1"/>
  <c r="J559" s="1"/>
  <c r="F533"/>
  <c r="G533" s="1"/>
  <c r="J533" s="1"/>
  <c r="F521"/>
  <c r="G521" s="1"/>
  <c r="J521" s="1"/>
  <c r="F549"/>
  <c r="G549" s="1"/>
  <c r="J549" s="1"/>
  <c r="F532"/>
  <c r="G532" s="1"/>
  <c r="J532" s="1"/>
  <c r="F540"/>
  <c r="G540" s="1"/>
  <c r="J540" s="1"/>
  <c r="F527"/>
  <c r="G527" s="1"/>
  <c r="J527" s="1"/>
  <c r="W396" i="7"/>
  <c r="I151"/>
  <c r="F676"/>
  <c r="W114"/>
  <c r="I185"/>
  <c r="G675"/>
  <c r="G671" s="1"/>
  <c r="I6"/>
  <c r="W6"/>
  <c r="I32"/>
  <c r="W32"/>
  <c r="I33"/>
  <c r="W50"/>
  <c r="I50"/>
  <c r="I108"/>
  <c r="W108"/>
  <c r="F675"/>
  <c r="K675"/>
  <c r="U676"/>
  <c r="U671" s="1"/>
  <c r="I154"/>
  <c r="W154"/>
  <c r="W676" s="1"/>
  <c r="W671" s="1"/>
  <c r="W677"/>
  <c r="U678"/>
  <c r="I228"/>
  <c r="W228"/>
  <c r="Y278"/>
  <c r="Y679" s="1"/>
  <c r="O280"/>
  <c r="W280"/>
  <c r="W289"/>
  <c r="O289"/>
  <c r="W291"/>
  <c r="O291"/>
  <c r="K309"/>
  <c r="G680"/>
  <c r="I321"/>
  <c r="W321"/>
  <c r="W680" s="1"/>
  <c r="F681"/>
  <c r="W351"/>
  <c r="I524"/>
  <c r="I683" s="1"/>
  <c r="W524"/>
  <c r="I591"/>
  <c r="I684" s="1"/>
  <c r="W591"/>
  <c r="K544" i="4"/>
  <c r="M544"/>
  <c r="J186"/>
  <c r="J37" s="1"/>
  <c r="J157"/>
  <c r="J35" s="1"/>
  <c r="D721"/>
  <c r="J145"/>
  <c r="J33" s="1"/>
  <c r="I682" i="7"/>
  <c r="W684"/>
  <c r="I672"/>
  <c r="W9"/>
  <c r="W12"/>
  <c r="K681"/>
  <c r="K680"/>
  <c r="W675"/>
  <c r="I679"/>
  <c r="W682"/>
  <c r="M685"/>
  <c r="M473" i="4"/>
  <c r="M49" s="1"/>
  <c r="J560"/>
  <c r="M621"/>
  <c r="K621"/>
  <c r="M318"/>
  <c r="K318"/>
  <c r="M394"/>
  <c r="K394"/>
  <c r="K64"/>
  <c r="K29" s="1"/>
  <c r="W681" i="7"/>
  <c r="W678"/>
  <c r="K685"/>
  <c r="K683"/>
  <c r="U683"/>
  <c r="M678"/>
  <c r="M671" s="1"/>
  <c r="W679"/>
  <c r="Q680"/>
  <c r="U680"/>
  <c r="Y682"/>
  <c r="U684"/>
  <c r="H103" i="9"/>
  <c r="K612" i="4"/>
  <c r="M612"/>
  <c r="O446"/>
  <c r="O410" s="1"/>
  <c r="O47" s="1"/>
  <c r="K446"/>
  <c r="K410" s="1"/>
  <c r="K47" s="1"/>
  <c r="O358"/>
  <c r="K358"/>
  <c r="W683" i="7"/>
  <c r="U686"/>
  <c r="H6" i="9"/>
  <c r="H8"/>
  <c r="H75"/>
  <c r="H95"/>
  <c r="H101"/>
  <c r="H110"/>
  <c r="H114"/>
  <c r="H116"/>
  <c r="H138"/>
  <c r="H197"/>
  <c r="H155"/>
  <c r="H160"/>
  <c r="M410" i="4"/>
  <c r="M47" s="1"/>
  <c r="K679"/>
  <c r="K169"/>
  <c r="M126"/>
  <c r="M393"/>
  <c r="M337" s="1"/>
  <c r="M45" s="1"/>
  <c r="O473"/>
  <c r="O49" s="1"/>
  <c r="K171"/>
  <c r="O171"/>
  <c r="O179"/>
  <c r="K179"/>
  <c r="U679" i="7"/>
  <c r="M681"/>
  <c r="Q681"/>
  <c r="D35" i="5"/>
  <c r="H107" i="9"/>
  <c r="H111"/>
  <c r="H168"/>
  <c r="H177"/>
  <c r="H212"/>
  <c r="H223"/>
  <c r="M681" i="4"/>
  <c r="O337"/>
  <c r="O45" s="1"/>
  <c r="J410"/>
  <c r="J47" s="1"/>
  <c r="O377"/>
  <c r="K377"/>
  <c r="H9" i="9"/>
  <c r="H100"/>
  <c r="H119"/>
  <c r="J254" i="4"/>
  <c r="J43" s="1"/>
  <c r="J244"/>
  <c r="J41" s="1"/>
  <c r="J223"/>
  <c r="J39" s="1"/>
  <c r="J89" i="3"/>
  <c r="J138"/>
  <c r="J155"/>
  <c r="J172"/>
  <c r="O158" i="4"/>
  <c r="K158"/>
  <c r="O168"/>
  <c r="K168"/>
  <c r="H484" i="3"/>
  <c r="J64" i="4"/>
  <c r="J29" s="1"/>
  <c r="D741"/>
  <c r="D748"/>
  <c r="J133" i="3"/>
  <c r="J53"/>
  <c r="J92"/>
  <c r="I31" i="11"/>
  <c r="I10" s="1"/>
  <c r="I59"/>
  <c r="I14" s="1"/>
  <c r="I69"/>
  <c r="I16" s="1"/>
  <c r="I78"/>
  <c r="I87"/>
  <c r="I24" s="1"/>
  <c r="S678" i="7"/>
  <c r="O682"/>
  <c r="AE687"/>
  <c r="I11" i="3"/>
  <c r="I8"/>
  <c r="J54"/>
  <c r="I26" s="1"/>
  <c r="I23" i="14"/>
  <c r="I4" s="1"/>
  <c r="I31"/>
  <c r="I6" s="1"/>
  <c r="I55"/>
  <c r="I18" s="1"/>
  <c r="O560" i="4"/>
  <c r="S8" i="12"/>
  <c r="S149"/>
  <c r="H11" i="3"/>
  <c r="H14"/>
  <c r="I29"/>
  <c r="J22" i="13"/>
  <c r="S673" i="7"/>
  <c r="S674"/>
  <c r="I83" i="22"/>
  <c r="I18"/>
  <c r="AA682" i="7"/>
  <c r="AA677"/>
  <c r="AC676"/>
  <c r="AC674"/>
  <c r="O696" i="4"/>
  <c r="O59" s="1"/>
  <c r="O642"/>
  <c r="O57" s="1"/>
  <c r="Q671" i="7"/>
  <c r="K715" i="4"/>
  <c r="H7" i="3"/>
  <c r="I27"/>
  <c r="I23"/>
  <c r="H9"/>
  <c r="I60" i="14"/>
  <c r="O672" i="7"/>
  <c r="AA684"/>
  <c r="AA680"/>
  <c r="AA679"/>
  <c r="AA674"/>
  <c r="AA673"/>
  <c r="S24" i="12"/>
  <c r="H565" i="2"/>
  <c r="H569" s="1"/>
  <c r="G53" i="23"/>
  <c r="H22" i="13"/>
  <c r="H456" i="3"/>
  <c r="H467"/>
  <c r="I43" i="11"/>
  <c r="N22" i="13"/>
  <c r="L22"/>
  <c r="V22"/>
  <c r="C20" i="15"/>
  <c r="D22" s="1"/>
  <c r="S679" i="7"/>
  <c r="S665"/>
  <c r="O673"/>
  <c r="G429" i="17"/>
  <c r="S18" i="12"/>
  <c r="S35"/>
  <c r="R41" s="1"/>
  <c r="S40" s="1"/>
  <c r="S51"/>
  <c r="S142"/>
  <c r="I9" i="4"/>
  <c r="I11" s="1"/>
  <c r="J62" i="6"/>
  <c r="J32"/>
  <c r="J385"/>
  <c r="J259"/>
  <c r="J151"/>
  <c r="J41"/>
  <c r="J53"/>
  <c r="J158" i="2"/>
  <c r="J19" s="1"/>
  <c r="J168"/>
  <c r="J22" s="1"/>
  <c r="J88"/>
  <c r="J18" s="1"/>
  <c r="J221"/>
  <c r="J31" s="1"/>
  <c r="J261"/>
  <c r="J37" s="1"/>
  <c r="J322"/>
  <c r="J331"/>
  <c r="J42" s="1"/>
  <c r="J442"/>
  <c r="J518"/>
  <c r="J379"/>
  <c r="J44" s="1"/>
  <c r="J621"/>
  <c r="J620" s="1"/>
  <c r="Q679" i="7"/>
  <c r="Q665"/>
  <c r="I680"/>
  <c r="K670"/>
  <c r="K665"/>
  <c r="I675"/>
  <c r="K676"/>
  <c r="O679"/>
  <c r="O665"/>
  <c r="Y680"/>
  <c r="Y665"/>
  <c r="F613" i="2"/>
  <c r="G613" s="1"/>
  <c r="J613" s="1"/>
  <c r="F579"/>
  <c r="G579" s="1"/>
  <c r="J579" s="1"/>
  <c r="G574"/>
  <c r="J574" s="1"/>
  <c r="F596"/>
  <c r="G596" s="1"/>
  <c r="J596" s="1"/>
  <c r="F607"/>
  <c r="G607" s="1"/>
  <c r="J607" s="1"/>
  <c r="F578"/>
  <c r="G578" s="1"/>
  <c r="J578" s="1"/>
  <c r="F599"/>
  <c r="G599" s="1"/>
  <c r="J599" s="1"/>
  <c r="F577"/>
  <c r="G577" s="1"/>
  <c r="J577" s="1"/>
  <c r="F614"/>
  <c r="G614" s="1"/>
  <c r="J614" s="1"/>
  <c r="F597"/>
  <c r="G597" s="1"/>
  <c r="J597" s="1"/>
  <c r="F580"/>
  <c r="G580" s="1"/>
  <c r="J580" s="1"/>
  <c r="F598"/>
  <c r="G598" s="1"/>
  <c r="J598" s="1"/>
  <c r="F595"/>
  <c r="G595" s="1"/>
  <c r="J595" s="1"/>
  <c r="F617"/>
  <c r="G617" s="1"/>
  <c r="J617" s="1"/>
  <c r="F589"/>
  <c r="G589" s="1"/>
  <c r="J589" s="1"/>
  <c r="F600"/>
  <c r="G600" s="1"/>
  <c r="J600" s="1"/>
  <c r="F616"/>
  <c r="G616" s="1"/>
  <c r="J616" s="1"/>
  <c r="F594"/>
  <c r="G594" s="1"/>
  <c r="J594" s="1"/>
  <c r="F609"/>
  <c r="G609" s="1"/>
  <c r="J609" s="1"/>
  <c r="F593"/>
  <c r="G593" s="1"/>
  <c r="J593" s="1"/>
  <c r="J23" i="6"/>
  <c r="F671" i="7"/>
  <c r="F687" s="1"/>
  <c r="W670"/>
  <c r="W665"/>
  <c r="U665"/>
  <c r="U670"/>
  <c r="AC665"/>
  <c r="AC672"/>
  <c r="I676"/>
  <c r="K678"/>
  <c r="K684"/>
  <c r="F506" i="2"/>
  <c r="G506" s="1"/>
  <c r="J506" s="1"/>
  <c r="F456"/>
  <c r="G456" s="1"/>
  <c r="J456" s="1"/>
  <c r="F460"/>
  <c r="G460" s="1"/>
  <c r="J460" s="1"/>
  <c r="F466"/>
  <c r="G466" s="1"/>
  <c r="J466" s="1"/>
  <c r="F471"/>
  <c r="G471" s="1"/>
  <c r="J471" s="1"/>
  <c r="F475"/>
  <c r="G475" s="1"/>
  <c r="J475" s="1"/>
  <c r="F479"/>
  <c r="G479" s="1"/>
  <c r="J479" s="1"/>
  <c r="F483"/>
  <c r="G483" s="1"/>
  <c r="J483" s="1"/>
  <c r="F489"/>
  <c r="G489" s="1"/>
  <c r="J489" s="1"/>
  <c r="F493"/>
  <c r="G493" s="1"/>
  <c r="J493" s="1"/>
  <c r="F497"/>
  <c r="G497" s="1"/>
  <c r="J497" s="1"/>
  <c r="F501"/>
  <c r="G501" s="1"/>
  <c r="J501" s="1"/>
  <c r="F505"/>
  <c r="G505" s="1"/>
  <c r="J505" s="1"/>
  <c r="F512"/>
  <c r="G512" s="1"/>
  <c r="J512" s="1"/>
  <c r="J509" s="1"/>
  <c r="Y687" i="7"/>
  <c r="K671"/>
  <c r="I665"/>
  <c r="I670"/>
  <c r="M665"/>
  <c r="M670"/>
  <c r="M687" s="1"/>
  <c r="I681"/>
  <c r="F636" i="2"/>
  <c r="G636" s="1"/>
  <c r="J636" s="1"/>
  <c r="F637"/>
  <c r="G637" s="1"/>
  <c r="J637" s="1"/>
  <c r="J178" i="6"/>
  <c r="H94" i="9"/>
  <c r="H196"/>
  <c r="M254" i="4"/>
  <c r="M43" s="1"/>
  <c r="J181" i="6"/>
  <c r="H106" i="9"/>
  <c r="M157" i="4"/>
  <c r="M35" s="1"/>
  <c r="M680"/>
  <c r="K680"/>
  <c r="K560"/>
  <c r="M618"/>
  <c r="K618"/>
  <c r="J165" i="6"/>
  <c r="J642" i="4"/>
  <c r="J57" s="1"/>
  <c r="J638"/>
  <c r="J51"/>
  <c r="K254"/>
  <c r="K43" s="1"/>
  <c r="G635" i="2"/>
  <c r="J635" s="1"/>
  <c r="F641"/>
  <c r="G641" s="1"/>
  <c r="J641" s="1"/>
  <c r="F644"/>
  <c r="G644" s="1"/>
  <c r="J644" s="1"/>
  <c r="J172" i="6"/>
  <c r="H25" i="5"/>
  <c r="H72" i="9"/>
  <c r="H133"/>
  <c r="K670" i="4"/>
  <c r="K642" s="1"/>
  <c r="K57" s="1"/>
  <c r="M670"/>
  <c r="M212"/>
  <c r="K212"/>
  <c r="M676"/>
  <c r="K395"/>
  <c r="K337" s="1"/>
  <c r="K45" s="1"/>
  <c r="M89"/>
  <c r="M64" s="1"/>
  <c r="M29" s="1"/>
  <c r="M620"/>
  <c r="M560" s="1"/>
  <c r="K514"/>
  <c r="K473" s="1"/>
  <c r="K49" s="1"/>
  <c r="K167"/>
  <c r="O175"/>
  <c r="O157" s="1"/>
  <c r="O35" s="1"/>
  <c r="K175"/>
  <c r="K218"/>
  <c r="M218"/>
  <c r="M240"/>
  <c r="M223" s="1"/>
  <c r="M39" s="1"/>
  <c r="K240"/>
  <c r="K223" s="1"/>
  <c r="K39" s="1"/>
  <c r="D728"/>
  <c r="D738"/>
  <c r="D736"/>
  <c r="J71" i="3"/>
  <c r="J170"/>
  <c r="J136"/>
  <c r="J153"/>
  <c r="J168"/>
  <c r="I9" s="1"/>
  <c r="J134"/>
  <c r="J151"/>
  <c r="J106"/>
  <c r="H440"/>
  <c r="J135"/>
  <c r="J152"/>
  <c r="J174"/>
  <c r="J140"/>
  <c r="H646" i="2"/>
  <c r="I8" s="1"/>
  <c r="S671" i="7"/>
  <c r="S687" s="1"/>
  <c r="I18" i="11"/>
  <c r="R22" i="13"/>
  <c r="T22"/>
  <c r="I20" i="22"/>
  <c r="H5" s="1"/>
  <c r="I85"/>
  <c r="I22" s="1"/>
  <c r="S135" i="12"/>
  <c r="J97" i="6"/>
  <c r="J190"/>
  <c r="J451"/>
  <c r="J408"/>
  <c r="J399"/>
  <c r="J395"/>
  <c r="N395" s="1"/>
  <c r="J350"/>
  <c r="J341"/>
  <c r="J338"/>
  <c r="J304"/>
  <c r="J293"/>
  <c r="J254"/>
  <c r="J237"/>
  <c r="J108"/>
  <c r="J77"/>
  <c r="J71"/>
  <c r="D118" i="16"/>
  <c r="P118" s="1"/>
  <c r="J460" i="6"/>
  <c r="J415"/>
  <c r="J390"/>
  <c r="N390" s="1"/>
  <c r="J347"/>
  <c r="J321"/>
  <c r="J268"/>
  <c r="J243"/>
  <c r="J142"/>
  <c r="J123"/>
  <c r="J93"/>
  <c r="J159"/>
  <c r="J187"/>
  <c r="J325"/>
  <c r="J275"/>
  <c r="J246"/>
  <c r="J133"/>
  <c r="J438"/>
  <c r="J344"/>
  <c r="J332"/>
  <c r="J284"/>
  <c r="J199"/>
  <c r="J117"/>
  <c r="J489"/>
  <c r="H489"/>
  <c r="I10" i="3" l="1"/>
  <c r="K157" i="4"/>
  <c r="K35" s="1"/>
  <c r="M642"/>
  <c r="M57" s="1"/>
  <c r="H206" i="9"/>
  <c r="J54" i="2"/>
  <c r="J451"/>
  <c r="J52" s="1"/>
  <c r="I671" i="7"/>
  <c r="U687"/>
  <c r="O671"/>
  <c r="O638" i="4"/>
  <c r="O51"/>
  <c r="I25" i="3"/>
  <c r="J388" i="2"/>
  <c r="J47" s="1"/>
  <c r="I678" i="7"/>
  <c r="AA671"/>
  <c r="AA687" s="1"/>
  <c r="I22" i="3"/>
  <c r="D749" i="4"/>
  <c r="K186"/>
  <c r="K37" s="1"/>
  <c r="Q687" i="7"/>
  <c r="J49" i="2"/>
  <c r="AC671" i="7"/>
  <c r="AC687" s="1"/>
  <c r="O687"/>
  <c r="H226" i="9"/>
  <c r="J627" i="2"/>
  <c r="I83" i="11"/>
  <c r="I20" s="1"/>
  <c r="H5" s="1"/>
  <c r="I85"/>
  <c r="I22" s="1"/>
  <c r="J556" i="2"/>
  <c r="J566" s="1"/>
  <c r="G687" i="7"/>
  <c r="J152" i="6"/>
  <c r="J461"/>
  <c r="J416"/>
  <c r="J396"/>
  <c r="J305"/>
  <c r="J326"/>
  <c r="J634" i="2"/>
  <c r="J77" s="1"/>
  <c r="K638" i="4"/>
  <c r="K51"/>
  <c r="W687" i="7"/>
  <c r="J611" i="2"/>
  <c r="J74" s="1"/>
  <c r="K687" i="7"/>
  <c r="J570" i="2"/>
  <c r="J69" s="1"/>
  <c r="J64"/>
  <c r="M51" i="4"/>
  <c r="M638"/>
  <c r="J640"/>
  <c r="J55" s="1"/>
  <c r="J53"/>
  <c r="J191" i="6"/>
  <c r="J260"/>
  <c r="J386"/>
  <c r="I687" i="7"/>
  <c r="J39" i="2"/>
  <c r="I6" s="1"/>
  <c r="J109" i="6"/>
  <c r="J247"/>
  <c r="M186" i="4"/>
  <c r="M37" s="1"/>
  <c r="J573" i="2"/>
  <c r="J72" s="1"/>
  <c r="J565"/>
  <c r="J57"/>
  <c r="J59"/>
  <c r="O53" i="4" l="1"/>
  <c r="I19" s="1"/>
  <c r="O640"/>
  <c r="O55" s="1"/>
  <c r="J58" i="2"/>
  <c r="J626"/>
  <c r="J63"/>
  <c r="J38"/>
  <c r="J53"/>
  <c r="J73"/>
  <c r="J68"/>
  <c r="J48"/>
  <c r="J43"/>
  <c r="J153" i="6"/>
  <c r="K640" i="4"/>
  <c r="K55" s="1"/>
  <c r="K53"/>
  <c r="M53"/>
  <c r="M640"/>
  <c r="M55" s="1"/>
  <c r="J62" i="2"/>
  <c r="I5" s="1"/>
  <c r="I7" s="1"/>
  <c r="J569"/>
  <c r="J67" s="1"/>
  <c r="I5" i="4"/>
  <c r="I6" l="1"/>
  <c r="I20"/>
  <c r="J463" i="6"/>
  <c r="K98" s="1"/>
  <c r="I16" i="4"/>
  <c r="I17"/>
  <c r="I18" s="1"/>
  <c r="I8"/>
  <c r="I7"/>
  <c r="J482" i="6" l="1"/>
  <c r="K399"/>
  <c r="K397" s="1"/>
  <c r="C465"/>
  <c r="J483"/>
  <c r="K78"/>
  <c r="K94"/>
  <c r="K33"/>
  <c r="K160"/>
  <c r="K173"/>
  <c r="K322"/>
  <c r="K200"/>
  <c r="K294"/>
  <c r="K188"/>
  <c r="K332"/>
  <c r="K327" s="1"/>
  <c r="K439"/>
  <c r="K276"/>
  <c r="K63"/>
  <c r="K155"/>
  <c r="K348"/>
  <c r="K42"/>
  <c r="K24"/>
  <c r="K72"/>
  <c r="K166"/>
  <c r="K179"/>
  <c r="K193"/>
  <c r="K418"/>
  <c r="K262"/>
  <c r="K238"/>
  <c r="K342"/>
  <c r="K345"/>
  <c r="K269"/>
  <c r="K307"/>
  <c r="K339"/>
  <c r="K255"/>
  <c r="K391"/>
  <c r="K409"/>
  <c r="K351"/>
  <c r="K12"/>
  <c r="K111"/>
  <c r="K182"/>
  <c r="J490"/>
  <c r="K54"/>
  <c r="K104"/>
  <c r="K118"/>
  <c r="K124"/>
  <c r="K244"/>
  <c r="K334"/>
  <c r="K249"/>
  <c r="K388"/>
  <c r="K285"/>
  <c r="K401"/>
  <c r="K452"/>
  <c r="K400" l="1"/>
  <c r="K11"/>
  <c r="K306"/>
  <c r="K417"/>
  <c r="K387"/>
  <c r="K110"/>
  <c r="K261"/>
  <c r="K154"/>
  <c r="K333"/>
  <c r="K192"/>
  <c r="K248"/>
  <c r="H490"/>
  <c r="K463" l="1"/>
  <c r="M347"/>
  <c r="M408"/>
  <c r="N408" s="1"/>
  <c r="N347" l="1"/>
  <c r="N463" s="1"/>
  <c r="M463"/>
</calcChain>
</file>

<file path=xl/sharedStrings.xml><?xml version="1.0" encoding="utf-8"?>
<sst xmlns="http://schemas.openxmlformats.org/spreadsheetml/2006/main" count="13286" uniqueCount="2941">
  <si>
    <t xml:space="preserve"> </t>
  </si>
  <si>
    <t>ITENS</t>
  </si>
  <si>
    <t>DESCRIMINAÇÃO</t>
  </si>
  <si>
    <t>COMP. (M)</t>
  </si>
  <si>
    <t>LARGURA (M)</t>
  </si>
  <si>
    <t>ALTURA (M)</t>
  </si>
  <si>
    <t>ÁREA (M²)</t>
  </si>
  <si>
    <t>VOLUME (M³)</t>
  </si>
  <si>
    <t>QUANTIDADE</t>
  </si>
  <si>
    <t>TOTAL</t>
  </si>
  <si>
    <t>A.X 01</t>
  </si>
  <si>
    <t>A.Y 01</t>
  </si>
  <si>
    <t>B.X 01</t>
  </si>
  <si>
    <t>B.X 02</t>
  </si>
  <si>
    <t>B.X 03</t>
  </si>
  <si>
    <t>B.X 04</t>
  </si>
  <si>
    <t>B.X 05</t>
  </si>
  <si>
    <t>B.X 06</t>
  </si>
  <si>
    <t>B.X 07</t>
  </si>
  <si>
    <t>B.X 08</t>
  </si>
  <si>
    <t>B.X 09</t>
  </si>
  <si>
    <t>B.X 10</t>
  </si>
  <si>
    <t>B.X 11</t>
  </si>
  <si>
    <t>B.X 12</t>
  </si>
  <si>
    <t>B.Y 01</t>
  </si>
  <si>
    <t>B.Y 02</t>
  </si>
  <si>
    <t>B.Y 03</t>
  </si>
  <si>
    <t>B.Y 04</t>
  </si>
  <si>
    <t>B.Y 05</t>
  </si>
  <si>
    <t>B.Y 06</t>
  </si>
  <si>
    <t>B.Y 07</t>
  </si>
  <si>
    <t>B.Y 08</t>
  </si>
  <si>
    <t>B.Y 09</t>
  </si>
  <si>
    <t>B.Y 10</t>
  </si>
  <si>
    <t>B.Y 11</t>
  </si>
  <si>
    <t>B.Y 12</t>
  </si>
  <si>
    <t>B.Y 13</t>
  </si>
  <si>
    <t>C.X 01</t>
  </si>
  <si>
    <t>C.X 02</t>
  </si>
  <si>
    <t>C.X 03</t>
  </si>
  <si>
    <t>C.X 04</t>
  </si>
  <si>
    <t>C.X 05</t>
  </si>
  <si>
    <t>C.X 06</t>
  </si>
  <si>
    <t>C.X 07</t>
  </si>
  <si>
    <t>C.X 08</t>
  </si>
  <si>
    <t>C.X 09</t>
  </si>
  <si>
    <t>C.X 10</t>
  </si>
  <si>
    <t>C.X 11</t>
  </si>
  <si>
    <t>C.X 12</t>
  </si>
  <si>
    <t>C.X 13</t>
  </si>
  <si>
    <t>C.X 14</t>
  </si>
  <si>
    <t>C.X 15</t>
  </si>
  <si>
    <t>C.X 16</t>
  </si>
  <si>
    <t>C.X 17</t>
  </si>
  <si>
    <t>C.X 18</t>
  </si>
  <si>
    <t>C.X 19</t>
  </si>
  <si>
    <t>C.X 20</t>
  </si>
  <si>
    <t>C.X 21</t>
  </si>
  <si>
    <t>C.Y 01</t>
  </si>
  <si>
    <t>C.Y 02</t>
  </si>
  <si>
    <t>C.Y 03</t>
  </si>
  <si>
    <t>C.Y 04</t>
  </si>
  <si>
    <t>C.Y 05</t>
  </si>
  <si>
    <t>C.Y 06</t>
  </si>
  <si>
    <t>C.Y 07</t>
  </si>
  <si>
    <t>C.Y 08</t>
  </si>
  <si>
    <t>C.Y 09</t>
  </si>
  <si>
    <t>C.Y 10</t>
  </si>
  <si>
    <t>C.X 22</t>
  </si>
  <si>
    <t>C.Y 11</t>
  </si>
  <si>
    <t>C.Y 12</t>
  </si>
  <si>
    <t>C.Y 13</t>
  </si>
  <si>
    <t>C.Y 14</t>
  </si>
  <si>
    <t>C.Y 15</t>
  </si>
  <si>
    <t>C.Y 16</t>
  </si>
  <si>
    <t>C.Y 17</t>
  </si>
  <si>
    <t>C.Y 18</t>
  </si>
  <si>
    <t xml:space="preserve"> (PAREDES DE 15 CM)</t>
  </si>
  <si>
    <t>D.X 01</t>
  </si>
  <si>
    <t>D.X 02</t>
  </si>
  <si>
    <t>D.X 03</t>
  </si>
  <si>
    <t>D.X 04</t>
  </si>
  <si>
    <t>D.Y 01</t>
  </si>
  <si>
    <t>D.Y 02</t>
  </si>
  <si>
    <t>D.Y 03</t>
  </si>
  <si>
    <t>D.Y 04</t>
  </si>
  <si>
    <t>1.0</t>
  </si>
  <si>
    <t>2.0</t>
  </si>
  <si>
    <t>PAVIMENTO TÉRREO - ANEXO II - VELÓRIO</t>
  </si>
  <si>
    <t>X 01</t>
  </si>
  <si>
    <t>X 02</t>
  </si>
  <si>
    <t>X 03</t>
  </si>
  <si>
    <t>Y 01</t>
  </si>
  <si>
    <t>Y 02</t>
  </si>
  <si>
    <t>Y 03</t>
  </si>
  <si>
    <t>Y 04</t>
  </si>
  <si>
    <t>PLATIB. X 01</t>
  </si>
  <si>
    <t>PLATIB. Y 01</t>
  </si>
  <si>
    <t>3.0</t>
  </si>
  <si>
    <t>PAVIMENTO TÉRREO - ANEXO III - SUBESTAÇÃO</t>
  </si>
  <si>
    <t>X 04</t>
  </si>
  <si>
    <t>X 05</t>
  </si>
  <si>
    <t>X 06</t>
  </si>
  <si>
    <t>SUBSOLO - MATERNIDADE</t>
  </si>
  <si>
    <t>4.0</t>
  </si>
  <si>
    <t>PAVIMENTO TÉRREO - ANEXO IV - CPN</t>
  </si>
  <si>
    <t>X 07</t>
  </si>
  <si>
    <t>X 08</t>
  </si>
  <si>
    <t>Y 05</t>
  </si>
  <si>
    <t>Y 06</t>
  </si>
  <si>
    <t>Y 07</t>
  </si>
  <si>
    <t>Y 08</t>
  </si>
  <si>
    <t>Y 09</t>
  </si>
  <si>
    <t>Y 10</t>
  </si>
  <si>
    <t>Y 11</t>
  </si>
  <si>
    <t>Y 12</t>
  </si>
  <si>
    <t>PLATIB. X 02</t>
  </si>
  <si>
    <t>PLATIB. Y 02</t>
  </si>
  <si>
    <t>5.0</t>
  </si>
  <si>
    <t>PAVIMENTO TÉRREO - ANEXO V - BANCO DE LEITE E ALMOXARIFADO</t>
  </si>
  <si>
    <t>X 09</t>
  </si>
  <si>
    <t>X 10</t>
  </si>
  <si>
    <t/>
  </si>
  <si>
    <t>PLATIB. X 03</t>
  </si>
  <si>
    <t>PLATIB. X 04</t>
  </si>
  <si>
    <t>PLATIB. Y 03</t>
  </si>
  <si>
    <t>PLATIB. Y 04</t>
  </si>
  <si>
    <t>6.0</t>
  </si>
  <si>
    <t>PAVIMENTO TÉRREO - ANEXO VI - LIXEIRA</t>
  </si>
  <si>
    <t>7.0</t>
  </si>
  <si>
    <t>PAVIMENTO TÉRREO - MATERNIDADE</t>
  </si>
  <si>
    <t>A.X 02</t>
  </si>
  <si>
    <t>A.X 03</t>
  </si>
  <si>
    <t>A.X 04</t>
  </si>
  <si>
    <t>A.X 05</t>
  </si>
  <si>
    <t>A.X 06</t>
  </si>
  <si>
    <t>A.X 07</t>
  </si>
  <si>
    <t>A.X 08</t>
  </si>
  <si>
    <t>A.Y 02</t>
  </si>
  <si>
    <t>A.Y 03</t>
  </si>
  <si>
    <t>A.Y 04</t>
  </si>
  <si>
    <t>A.Y 05</t>
  </si>
  <si>
    <t>A.Y 06</t>
  </si>
  <si>
    <t>A.Y 07</t>
  </si>
  <si>
    <t>C.Y 19</t>
  </si>
  <si>
    <t>C.Y 20</t>
  </si>
  <si>
    <t>C.Y 21</t>
  </si>
  <si>
    <t>C.Y 22</t>
  </si>
  <si>
    <t>A.Y 08</t>
  </si>
  <si>
    <t>8.0</t>
  </si>
  <si>
    <t>2º PAVIMENTO - MATERNIDADE</t>
  </si>
  <si>
    <t xml:space="preserve"> (PAREDES DE 25 CM - ELEVADORES)</t>
  </si>
  <si>
    <t>9.0</t>
  </si>
  <si>
    <t>3º PAVIMENTO - MATERNIDADE</t>
  </si>
  <si>
    <t>10.0</t>
  </si>
  <si>
    <t>4º PAVIMENTO - MATERNIDADE</t>
  </si>
  <si>
    <t>11.0</t>
  </si>
  <si>
    <t>5º PAVIMENTO - MATERNIDADE</t>
  </si>
  <si>
    <t>12.0</t>
  </si>
  <si>
    <t>6º PAVIMENTO - MATERNIDADE</t>
  </si>
  <si>
    <t>13.0</t>
  </si>
  <si>
    <t>7º PAVIMENTO - MATERNIDADE</t>
  </si>
  <si>
    <t>14.0</t>
  </si>
  <si>
    <t>8º PAVIMENTO - MATERNIDADE</t>
  </si>
  <si>
    <t>15.0</t>
  </si>
  <si>
    <t>9º PAVIMENTO - HELIPORTO DA MATERNIDADE</t>
  </si>
  <si>
    <t>16.0</t>
  </si>
  <si>
    <t>ESCADA DE ACESSO A ABRIGO DE MÁQUINAS DA MATERNIDADE DO 1ª AO 8ª PAVIMENTO</t>
  </si>
  <si>
    <t>ESCD.X 01</t>
  </si>
  <si>
    <t>ESCD.Y 01</t>
  </si>
  <si>
    <t>PAREDES DAS ESQUADRIAS DA FACHADA DA MATERNIDADE DO 1ª AO 8ª PAVIMENTO</t>
  </si>
  <si>
    <t>ESQ.X 01</t>
  </si>
  <si>
    <t>ESQ.X 02</t>
  </si>
  <si>
    <t>ESQ.X 03</t>
  </si>
  <si>
    <t>ESQ.Y 01</t>
  </si>
  <si>
    <t>RESUMO DO LEVANTAMENTO</t>
  </si>
  <si>
    <t>1.1</t>
  </si>
  <si>
    <t>1.2</t>
  </si>
  <si>
    <t xml:space="preserve"> (PAREDES DE 25 CM)</t>
  </si>
  <si>
    <t>17.0</t>
  </si>
  <si>
    <t>7.1</t>
  </si>
  <si>
    <t>7.2</t>
  </si>
  <si>
    <t>7.4</t>
  </si>
  <si>
    <t>8.1</t>
  </si>
  <si>
    <t>8.2</t>
  </si>
  <si>
    <t>8.3</t>
  </si>
  <si>
    <t>8.4</t>
  </si>
  <si>
    <t>9.1</t>
  </si>
  <si>
    <t>9.2</t>
  </si>
  <si>
    <t>9.3</t>
  </si>
  <si>
    <t>9.4</t>
  </si>
  <si>
    <t>MEMÓRIA DE CÁCULO</t>
  </si>
  <si>
    <t>10.1</t>
  </si>
  <si>
    <t>10.2</t>
  </si>
  <si>
    <t>10.4</t>
  </si>
  <si>
    <t>11.1</t>
  </si>
  <si>
    <t>11.2</t>
  </si>
  <si>
    <t>11.4</t>
  </si>
  <si>
    <t>12.1</t>
  </si>
  <si>
    <t>12.2</t>
  </si>
  <si>
    <t>12.4</t>
  </si>
  <si>
    <t>13.1</t>
  </si>
  <si>
    <t>13.2</t>
  </si>
  <si>
    <t>13.4</t>
  </si>
  <si>
    <t>15.1</t>
  </si>
  <si>
    <t>14.1</t>
  </si>
  <si>
    <t>14.2</t>
  </si>
  <si>
    <t>14.4</t>
  </si>
  <si>
    <t>RESUMO GERAL</t>
  </si>
  <si>
    <t>PAREDES COM 15CM DE ESPESSURA</t>
  </si>
  <si>
    <t>PAREDES COM 25CM DE ESPESSURA</t>
  </si>
  <si>
    <t>9º PAVIMENTO - MATERNIDADE</t>
  </si>
  <si>
    <t>M²</t>
  </si>
  <si>
    <t>---------------------------------------------------------------------------------------------------</t>
  </si>
  <si>
    <t>PÉ DIREITO DOS PAVIMENTOS DENTRO DA MATERNIDADE</t>
  </si>
  <si>
    <t>ALTURA DA VIGA</t>
  </si>
  <si>
    <t>ALTURA ALVENARIA</t>
  </si>
  <si>
    <t>M</t>
  </si>
  <si>
    <t>P 02</t>
  </si>
  <si>
    <t>P 03</t>
  </si>
  <si>
    <t>P 04</t>
  </si>
  <si>
    <t>P 06</t>
  </si>
  <si>
    <t>PORTAS</t>
  </si>
  <si>
    <t>JANELAS</t>
  </si>
  <si>
    <t>J 69</t>
  </si>
  <si>
    <t>J 70</t>
  </si>
  <si>
    <t>J 71</t>
  </si>
  <si>
    <t>PV 01</t>
  </si>
  <si>
    <t>PCF</t>
  </si>
  <si>
    <t>PC 01</t>
  </si>
  <si>
    <t>PORTAS DO BANHEIROS</t>
  </si>
  <si>
    <t>Porta com 2 folhas de abrir (vidros)</t>
  </si>
  <si>
    <t>Porta corta-fogo com resistênia à 4 horas de fogo</t>
  </si>
  <si>
    <t>Porta com 1 folha - Câmaras de resfriamento</t>
  </si>
  <si>
    <t>J 33</t>
  </si>
  <si>
    <t>J 34</t>
  </si>
  <si>
    <t>Porta com 1 folha de abrir (sem especificações)</t>
  </si>
  <si>
    <t>Porta com 1 folha de abrir - PNE (sem especificações)</t>
  </si>
  <si>
    <t>Porta com 2 folhas de abrir (sem especificações)</t>
  </si>
  <si>
    <t>Porta com 1 folha sanfonada (sem especificações)</t>
  </si>
  <si>
    <t>(sem especificações)</t>
  </si>
  <si>
    <t>J 08</t>
  </si>
  <si>
    <t>J 09</t>
  </si>
  <si>
    <t>J 11</t>
  </si>
  <si>
    <t>J 12</t>
  </si>
  <si>
    <t>J 13</t>
  </si>
  <si>
    <t>J 14</t>
  </si>
  <si>
    <t>J 16</t>
  </si>
  <si>
    <t>J 17</t>
  </si>
  <si>
    <t>J 18</t>
  </si>
  <si>
    <t>J 19</t>
  </si>
  <si>
    <t>J 20</t>
  </si>
  <si>
    <t>J 21</t>
  </si>
  <si>
    <t>J 22</t>
  </si>
  <si>
    <t>J 23</t>
  </si>
  <si>
    <t>J 24</t>
  </si>
  <si>
    <t>J 25</t>
  </si>
  <si>
    <t>J 27</t>
  </si>
  <si>
    <t>J 28</t>
  </si>
  <si>
    <t>J 29</t>
  </si>
  <si>
    <t>J 30</t>
  </si>
  <si>
    <t>J 31</t>
  </si>
  <si>
    <t>J 32</t>
  </si>
  <si>
    <t>J 79</t>
  </si>
  <si>
    <t>VIDROS</t>
  </si>
  <si>
    <t>Nutricionista/Hall</t>
  </si>
  <si>
    <t>Nutricionista/Cozinha</t>
  </si>
  <si>
    <t>Nutricionista/Nutrição Enteral</t>
  </si>
  <si>
    <t>Nutricionista/Chefia</t>
  </si>
  <si>
    <t>Visor</t>
  </si>
  <si>
    <t>Preparo de Lanches/Hall</t>
  </si>
  <si>
    <t>Estar Funcionários/Refeitório</t>
  </si>
  <si>
    <t>Estar Funcionários/Calçada</t>
  </si>
  <si>
    <t>PP 01</t>
  </si>
  <si>
    <t>PP 02</t>
  </si>
  <si>
    <t>J 85</t>
  </si>
  <si>
    <t>J 10</t>
  </si>
  <si>
    <t>J 36</t>
  </si>
  <si>
    <t>J 37</t>
  </si>
  <si>
    <t>J 87</t>
  </si>
  <si>
    <t>P 05</t>
  </si>
  <si>
    <t>J 60</t>
  </si>
  <si>
    <t>J 61</t>
  </si>
  <si>
    <t>J 62</t>
  </si>
  <si>
    <t>J 98</t>
  </si>
  <si>
    <t>5º, 6º E 7º PAVIMENTO - MATERNIDADE</t>
  </si>
  <si>
    <t>PERÍMETRO (M)</t>
  </si>
  <si>
    <t>SERVIÇO</t>
  </si>
  <si>
    <t>Vestiário Mas</t>
  </si>
  <si>
    <t>Vestiário Fem</t>
  </si>
  <si>
    <t>BWC Func. Masc 1</t>
  </si>
  <si>
    <t>BWC Func. Fem 1</t>
  </si>
  <si>
    <t>BWC PNE Fem 1</t>
  </si>
  <si>
    <t>Vestiário</t>
  </si>
  <si>
    <t>BWC PNE Masc 1</t>
  </si>
  <si>
    <t>Rampas</t>
  </si>
  <si>
    <t>Galeria Interna</t>
  </si>
  <si>
    <t>Área Técnica</t>
  </si>
  <si>
    <t>Lavagem Material</t>
  </si>
  <si>
    <t>Deposito</t>
  </si>
  <si>
    <t>Vest.</t>
  </si>
  <si>
    <t>BWC 01</t>
  </si>
  <si>
    <t>Chefia</t>
  </si>
  <si>
    <t>Circ.</t>
  </si>
  <si>
    <t>Central de Esterilização</t>
  </si>
  <si>
    <t>Autoclaves</t>
  </si>
  <si>
    <t>Armazenam</t>
  </si>
  <si>
    <t>Antecamara</t>
  </si>
  <si>
    <t>DML</t>
  </si>
  <si>
    <t>Estar Funcionários</t>
  </si>
  <si>
    <t>Recepção/Lavagem</t>
  </si>
  <si>
    <t>Gêneros</t>
  </si>
  <si>
    <t>Paramentação</t>
  </si>
  <si>
    <t>BWC M</t>
  </si>
  <si>
    <t>BWC F</t>
  </si>
  <si>
    <t>Hall</t>
  </si>
  <si>
    <t>Degelo</t>
  </si>
  <si>
    <t>Preparo de Carnes</t>
  </si>
  <si>
    <t>Nutricionista</t>
  </si>
  <si>
    <t>Câmera Carnes</t>
  </si>
  <si>
    <t>Câmera Resfriamento</t>
  </si>
  <si>
    <t>Nutrição Enteral</t>
  </si>
  <si>
    <t>Preparo Dietas</t>
  </si>
  <si>
    <t>Lavagem Carrinhos</t>
  </si>
  <si>
    <t>Funcionamento</t>
  </si>
  <si>
    <t>Circulação</t>
  </si>
  <si>
    <t>Guarda Utensilio</t>
  </si>
  <si>
    <t>Preparo Lanches</t>
  </si>
  <si>
    <t>Cozinha</t>
  </si>
  <si>
    <t>Preparo Cereais</t>
  </si>
  <si>
    <t>Guarda Panelas</t>
  </si>
  <si>
    <t>Lavagem Panelas</t>
  </si>
  <si>
    <t>Lavagem</t>
  </si>
  <si>
    <t>WC Masc 01</t>
  </si>
  <si>
    <t>WC Fem 01</t>
  </si>
  <si>
    <t>Refeitório</t>
  </si>
  <si>
    <t>Recebimento</t>
  </si>
  <si>
    <t>Rouparia Costura</t>
  </si>
  <si>
    <t>Deposito Roupa Limpa</t>
  </si>
  <si>
    <t>Deposito Roupa Suja</t>
  </si>
  <si>
    <t>Triagem</t>
  </si>
  <si>
    <t>Materiais Invervíveis</t>
  </si>
  <si>
    <t>Apoio Administrativo</t>
  </si>
  <si>
    <t>Sala de Técnicos</t>
  </si>
  <si>
    <t>Equipamentos</t>
  </si>
  <si>
    <t>Oficina</t>
  </si>
  <si>
    <t>Piso Externo</t>
  </si>
  <si>
    <t>Emboço</t>
  </si>
  <si>
    <t>Reboco</t>
  </si>
  <si>
    <t>Capela</t>
  </si>
  <si>
    <t>Rampa</t>
  </si>
  <si>
    <t>PAVIMENTO TÉRREO - ANEXO I - CAPELA</t>
  </si>
  <si>
    <t>VELORIO</t>
  </si>
  <si>
    <t>CAMERA FRIA</t>
  </si>
  <si>
    <t>PREPARO DE CADAVERES</t>
  </si>
  <si>
    <t>ESPERA FAMILIARES</t>
  </si>
  <si>
    <t>WC PNE MASC</t>
  </si>
  <si>
    <t>WC PNE FEM</t>
  </si>
  <si>
    <t>Grupo Gerador</t>
  </si>
  <si>
    <t>Combustível</t>
  </si>
  <si>
    <t>Central de Gases Inerte</t>
  </si>
  <si>
    <t>Sala do Nobreak</t>
  </si>
  <si>
    <t>Sala de Baterias</t>
  </si>
  <si>
    <t>Reserva Trafo</t>
  </si>
  <si>
    <t>Trafo 1</t>
  </si>
  <si>
    <t>Trafo 2</t>
  </si>
  <si>
    <t>Trafo 3</t>
  </si>
  <si>
    <t>Trafo 4</t>
  </si>
  <si>
    <t>Cabine de Medição</t>
  </si>
  <si>
    <t>Disjuntor</t>
  </si>
  <si>
    <t>Subestação Elétrica</t>
  </si>
  <si>
    <t>Utilidades</t>
  </si>
  <si>
    <t>Ban. Func.</t>
  </si>
  <si>
    <t>Equip. Mat.</t>
  </si>
  <si>
    <t>Plantão</t>
  </si>
  <si>
    <t>Quanto PPP 1</t>
  </si>
  <si>
    <t>Solarium 1</t>
  </si>
  <si>
    <t>Quanto PPP 3</t>
  </si>
  <si>
    <t>Solarium 3</t>
  </si>
  <si>
    <t>Banheiro 1</t>
  </si>
  <si>
    <t>Banheiro 2</t>
  </si>
  <si>
    <t>Banheiro 4</t>
  </si>
  <si>
    <t>Banheiro 3</t>
  </si>
  <si>
    <t>Quanto PPP 2</t>
  </si>
  <si>
    <t>Solarium 2</t>
  </si>
  <si>
    <t>Quanto PPP 4</t>
  </si>
  <si>
    <t>Solarium 4</t>
  </si>
  <si>
    <t>P. Enf.</t>
  </si>
  <si>
    <t>Enferm. Serv.</t>
  </si>
  <si>
    <t>Deambulação</t>
  </si>
  <si>
    <t>Quanto PPP 5</t>
  </si>
  <si>
    <t>Solarium 5</t>
  </si>
  <si>
    <t>Banheiro 5</t>
  </si>
  <si>
    <t>Depósito</t>
  </si>
  <si>
    <t>Recepção/Acolhimento</t>
  </si>
  <si>
    <t>Exames</t>
  </si>
  <si>
    <t>Copa</t>
  </si>
  <si>
    <t>WC</t>
  </si>
  <si>
    <t>Circulação 1</t>
  </si>
  <si>
    <t>Circulação 2</t>
  </si>
  <si>
    <t>Procedimentos</t>
  </si>
  <si>
    <t>Vestiário Func.</t>
  </si>
  <si>
    <t>Sala Ordenha</t>
  </si>
  <si>
    <t>Vest. Doadora</t>
  </si>
  <si>
    <t>Laboratório</t>
  </si>
  <si>
    <t>Cons. Indif.</t>
  </si>
  <si>
    <t>WC PNE</t>
  </si>
  <si>
    <t>Recepção</t>
  </si>
  <si>
    <t>Espera</t>
  </si>
  <si>
    <t>Sala Atividades Educativas</t>
  </si>
  <si>
    <t>Apoio Adm.</t>
  </si>
  <si>
    <t>Almoxarifado</t>
  </si>
  <si>
    <t>Lixo Domiciliar</t>
  </si>
  <si>
    <t>Lixo Hospitalar</t>
  </si>
  <si>
    <t>Camera Frigorifica</t>
  </si>
  <si>
    <t>Recepção Visitantes</t>
  </si>
  <si>
    <t>Galeria Interna Atrio</t>
  </si>
  <si>
    <t>Galeria Interna Atrio - Term. Cx elet</t>
  </si>
  <si>
    <t>Corredor Primário</t>
  </si>
  <si>
    <t>Farmacia Central</t>
  </si>
  <si>
    <t>Posto Serviços</t>
  </si>
  <si>
    <t>Posto enfermagem</t>
  </si>
  <si>
    <t>Corredor Primário 2</t>
  </si>
  <si>
    <t>Farmácia</t>
  </si>
  <si>
    <t>Ouvidoria</t>
  </si>
  <si>
    <t>Cardiotorgrafia</t>
  </si>
  <si>
    <t>Ultrassom</t>
  </si>
  <si>
    <t>Sala de observação</t>
  </si>
  <si>
    <t>BWC</t>
  </si>
  <si>
    <t>Sala Urgencia</t>
  </si>
  <si>
    <t>Repouso</t>
  </si>
  <si>
    <t>BWC M 3</t>
  </si>
  <si>
    <t>BWC F 3</t>
  </si>
  <si>
    <t>Apoio Atendimento</t>
  </si>
  <si>
    <t>Atendimento</t>
  </si>
  <si>
    <t>Consultorio 1</t>
  </si>
  <si>
    <t>Recepção/Admissão</t>
  </si>
  <si>
    <t>Abrigo de Maquinas</t>
  </si>
  <si>
    <t>Corredor Primário 3</t>
  </si>
  <si>
    <t>Consultorio 10</t>
  </si>
  <si>
    <t>Consultorio 8</t>
  </si>
  <si>
    <t>Consultorio 9</t>
  </si>
  <si>
    <t>Consultorio 6</t>
  </si>
  <si>
    <t>Consultorio 7</t>
  </si>
  <si>
    <t>WC Fem 3</t>
  </si>
  <si>
    <t>WC PNE FEM 2</t>
  </si>
  <si>
    <t>WC Masc 3</t>
  </si>
  <si>
    <t>WC PNE MASC 2</t>
  </si>
  <si>
    <t>Consultorio 4</t>
  </si>
  <si>
    <t>Consultorio 5</t>
  </si>
  <si>
    <t>Arquivo</t>
  </si>
  <si>
    <t>DEP.</t>
  </si>
  <si>
    <t>Consultorio 2</t>
  </si>
  <si>
    <t>Consultorio 3</t>
  </si>
  <si>
    <t>Sanvis</t>
  </si>
  <si>
    <t>Entrevista</t>
  </si>
  <si>
    <t>Sala Exame</t>
  </si>
  <si>
    <t>Escada 1</t>
  </si>
  <si>
    <t>Escada 2</t>
  </si>
  <si>
    <t>Escada (acesso abrigo máquinas)</t>
  </si>
  <si>
    <t>WC F 6</t>
  </si>
  <si>
    <t>WC M 6</t>
  </si>
  <si>
    <t>Corredor Secundário</t>
  </si>
  <si>
    <t>Admins</t>
  </si>
  <si>
    <t>Recepção Funcionários</t>
  </si>
  <si>
    <t>BWC MASC 6</t>
  </si>
  <si>
    <t>BWC FEM 6</t>
  </si>
  <si>
    <t>Guarda e Prep. Anest.</t>
  </si>
  <si>
    <t>Descanso</t>
  </si>
  <si>
    <t>Sala de Indução</t>
  </si>
  <si>
    <t>Prescrição Médica</t>
  </si>
  <si>
    <t>Sala Mat Estel</t>
  </si>
  <si>
    <t>Expurgo</t>
  </si>
  <si>
    <t>Posto de Serviço</t>
  </si>
  <si>
    <t>Posto de Enfermagem</t>
  </si>
  <si>
    <t>Escovação</t>
  </si>
  <si>
    <t>Arsenal</t>
  </si>
  <si>
    <t>Quarto PPP 01</t>
  </si>
  <si>
    <t>Quarto PPP 02</t>
  </si>
  <si>
    <t>Quarto PPP 03</t>
  </si>
  <si>
    <t>Quarto PPP 04</t>
  </si>
  <si>
    <t>Sala Cirurgia 3</t>
  </si>
  <si>
    <t>Sala Cirurgia 5</t>
  </si>
  <si>
    <t>Sala Cirurgia 1</t>
  </si>
  <si>
    <t>Sala Cirurgia 2</t>
  </si>
  <si>
    <t>Sala Cirurgia 4</t>
  </si>
  <si>
    <t>Sala Cirurgia 6</t>
  </si>
  <si>
    <t>Área de deambulação</t>
  </si>
  <si>
    <t>Quarto PPP 05</t>
  </si>
  <si>
    <t>Quarto PPP 06</t>
  </si>
  <si>
    <t>Quarto PPP 07</t>
  </si>
  <si>
    <t>Quarto PPP 08</t>
  </si>
  <si>
    <t>Recuperação Anestésica</t>
  </si>
  <si>
    <t>Sala Conviv. Pac. Ucinc</t>
  </si>
  <si>
    <t>Sala Res. Inf</t>
  </si>
  <si>
    <t>Sala de Entrevista</t>
  </si>
  <si>
    <t>DME</t>
  </si>
  <si>
    <t>Rouparia</t>
  </si>
  <si>
    <t>Macas</t>
  </si>
  <si>
    <t>Sala Expurgo</t>
  </si>
  <si>
    <t>Hall Acesso</t>
  </si>
  <si>
    <t>Posto Serviço</t>
  </si>
  <si>
    <t>UCINCO 30 Leitos</t>
  </si>
  <si>
    <t>UCINCA 15 Leitos</t>
  </si>
  <si>
    <t>Serviço</t>
  </si>
  <si>
    <t>Sala Estar</t>
  </si>
  <si>
    <t>Sala Coleta Leite</t>
  </si>
  <si>
    <t>UTIN</t>
  </si>
  <si>
    <t>Hemotereapia/Hematologia</t>
  </si>
  <si>
    <t>WC PNE FEM 1</t>
  </si>
  <si>
    <t>WC PNE MASC 1</t>
  </si>
  <si>
    <t>Odontologia</t>
  </si>
  <si>
    <t>Cardiotoc</t>
  </si>
  <si>
    <t>Raio X</t>
  </si>
  <si>
    <t>Sala de Laudos</t>
  </si>
  <si>
    <t>Sala Met Graficos</t>
  </si>
  <si>
    <t>US com Doppler</t>
  </si>
  <si>
    <t>Ambul 3</t>
  </si>
  <si>
    <t>Ambul 2</t>
  </si>
  <si>
    <t>Ambul 1</t>
  </si>
  <si>
    <t>Ambul 4</t>
  </si>
  <si>
    <t>Ambul 5</t>
  </si>
  <si>
    <t>Ambul 6</t>
  </si>
  <si>
    <t>Ambul 7</t>
  </si>
  <si>
    <t>Ambul 8</t>
  </si>
  <si>
    <t>Ambul 9</t>
  </si>
  <si>
    <t>Nid. Teste Triagem Neonatal</t>
  </si>
  <si>
    <t>Cabine de Audimetria</t>
  </si>
  <si>
    <t>Sala Teste Orelhinha</t>
  </si>
  <si>
    <t>Sala de Expurgo</t>
  </si>
  <si>
    <t>UTI Adulto 20 leitos</t>
  </si>
  <si>
    <t>UTI Isolada</t>
  </si>
  <si>
    <t>BWC PNE</t>
  </si>
  <si>
    <t>Comissões</t>
  </si>
  <si>
    <t>Enfermaria 1</t>
  </si>
  <si>
    <t>Enfermaria 2</t>
  </si>
  <si>
    <t>Enfermaria 3</t>
  </si>
  <si>
    <t>Enfermaria 4</t>
  </si>
  <si>
    <t>Enfermaria 5</t>
  </si>
  <si>
    <t>Enfermaria 6</t>
  </si>
  <si>
    <t>Enfermaria 7</t>
  </si>
  <si>
    <t>Enfermaria 8</t>
  </si>
  <si>
    <t>Enfermaria 9</t>
  </si>
  <si>
    <t>Sala Disc. Clinica</t>
  </si>
  <si>
    <t>Sala Proced. Obstétricos</t>
  </si>
  <si>
    <t>WC FEM 2</t>
  </si>
  <si>
    <t>WC FEM PNE 1</t>
  </si>
  <si>
    <t>WC MASC PNE 1</t>
  </si>
  <si>
    <t>WC MASC 2</t>
  </si>
  <si>
    <t>Sala Presc. Médica</t>
  </si>
  <si>
    <t>Enfermaria 10</t>
  </si>
  <si>
    <t>Enfermaria 11</t>
  </si>
  <si>
    <t>Enfermaria 12</t>
  </si>
  <si>
    <t>Enfermaria 13</t>
  </si>
  <si>
    <t>Enfermaria 14</t>
  </si>
  <si>
    <t>Enfermaria 15</t>
  </si>
  <si>
    <t>Licitações e Contratos</t>
  </si>
  <si>
    <t>Compras</t>
  </si>
  <si>
    <t>Contr. Int.</t>
  </si>
  <si>
    <t>Auditório</t>
  </si>
  <si>
    <t>Sala Bibliotecario</t>
  </si>
  <si>
    <t>Sala Professores</t>
  </si>
  <si>
    <t>Sala Aula</t>
  </si>
  <si>
    <t>Acervo</t>
  </si>
  <si>
    <t>Biblioteca</t>
  </si>
  <si>
    <t>Reunião Pacientes</t>
  </si>
  <si>
    <t>Diretoria Técnica</t>
  </si>
  <si>
    <t>Diretoria Administrativa</t>
  </si>
  <si>
    <t>Dirtoria de Ensino e Pesquisa</t>
  </si>
  <si>
    <t>Avaliação</t>
  </si>
  <si>
    <t>Tesouraria</t>
  </si>
  <si>
    <t>Same</t>
  </si>
  <si>
    <t>Diretoria</t>
  </si>
  <si>
    <t>Sala de Reunião</t>
  </si>
  <si>
    <t>Espaço Administrativo</t>
  </si>
  <si>
    <t>Corredor Secundário 1</t>
  </si>
  <si>
    <t>Corredor Secundário 2</t>
  </si>
  <si>
    <t>Corredor Secundário 3</t>
  </si>
  <si>
    <t>Corredor Secundário 4</t>
  </si>
  <si>
    <t>Laje Técnica</t>
  </si>
  <si>
    <t>Heliponto</t>
  </si>
  <si>
    <t>ALTURA DO REVESTIMENTO - ANEXOS</t>
  </si>
  <si>
    <t>ALTURA DO REVESTIMENTO - MATERNIDADE</t>
  </si>
  <si>
    <t>AMBIENTES</t>
  </si>
  <si>
    <t>ÁREA</t>
  </si>
  <si>
    <t>TIPO</t>
  </si>
  <si>
    <t>MATERNIDADE</t>
  </si>
  <si>
    <t>ANEXO I - CAPELA</t>
  </si>
  <si>
    <t>ANEXO II - VELÓRIO</t>
  </si>
  <si>
    <t>ANEXO III - SUBESTAÇÃO</t>
  </si>
  <si>
    <t>ANEXO IV - CPN</t>
  </si>
  <si>
    <t>ANEXO V - BANCO DE LEITE E ALMOXARIFADO</t>
  </si>
  <si>
    <t>ANEXO VI - LIXEIRA</t>
  </si>
  <si>
    <t>Clarabóia em alumínio e vidro</t>
  </si>
  <si>
    <t>Telha Termoacústica</t>
  </si>
  <si>
    <t>COBERTURA</t>
  </si>
  <si>
    <t>Telha Metálica trapezoidal</t>
  </si>
  <si>
    <t>GOVERNO DO ESTADO DO PIAUÍ</t>
  </si>
  <si>
    <t>PLANILHA ORÇAMENTÁRIA ESTIMATIVA DE PREÇOS</t>
  </si>
  <si>
    <t>ITEM</t>
  </si>
  <si>
    <t>DESCRIÇÃO</t>
  </si>
  <si>
    <t>UNID</t>
  </si>
  <si>
    <t>SERVIÇOS INICIAIS</t>
  </si>
  <si>
    <t>SERVIÇOS TÉCNICOS</t>
  </si>
  <si>
    <t>1.1.1</t>
  </si>
  <si>
    <t>COMPOSIÇÃO</t>
  </si>
  <si>
    <t>PROJETOS EXECUTIVOS DE FUNDAÇÕES, CONTENÇÕES  E ESTRUTURAS DE CONCRETO ARMADO</t>
  </si>
  <si>
    <t>m2</t>
  </si>
  <si>
    <t>1.1.2</t>
  </si>
  <si>
    <t>PROJETO/'DETALHAMENTOS EXECUTIVOS DE ARQUITETURA E URBANISMO</t>
  </si>
  <si>
    <t>1.1.3</t>
  </si>
  <si>
    <t>1.1.4</t>
  </si>
  <si>
    <t>PROJETOS EXECUTIVOS DE INSTALAÇÕES ELÉTRICAS DE BAIXA TENSÃO E/OU ALTA TENSAO, LUMINOTÉCNICO E SPDA (SISTEMAS DE PROTEÇÃO CONTRA DESCARGAS ATMOSFÉRICAS)</t>
  </si>
  <si>
    <t>1.1.5</t>
  </si>
  <si>
    <t>ESTUDOS E PROJETOS DE INSTALAÇÕES INSTALAÇÕES ELÉTRICAS/ / TELEFÔNICAS / SPDA/EQUIPAMENTOS NO BREAK/ESTABILIZADOR/CABEAMENTO ESTRUTURADO/ CFTV/ SINALIZAÇÃO E SISTEMAS ELETRÔNICOS</t>
  </si>
  <si>
    <t>1.1.6</t>
  </si>
  <si>
    <t>ESTUDOS E PROJETOS DE INSTALAÇÕES DE GÁS, E GASSES MEDICINAIS (INSTALAÇÕES PREDIAIS/INDUSTRIAIS - PROJETOS MECÂNICOS)</t>
  </si>
  <si>
    <t>1.1.7</t>
  </si>
  <si>
    <t>1.1.8</t>
  </si>
  <si>
    <t>ESTUDOS E PROJETOS DE COMBATE A INCÊNDIO E PÂNICO</t>
  </si>
  <si>
    <t>1.1.9</t>
  </si>
  <si>
    <t>PROJETO EXECUTIVO INSTALAÇÕES MECÂNICAS/AR CONDICIONADO CENTRAL</t>
  </si>
  <si>
    <t>1.1.10</t>
  </si>
  <si>
    <t>EIA - RIMA - PGA/PGRSCC/PCA/EIV - ESTUDO E RELATÓRIO DE IMPACTO AMBIENTAL</t>
  </si>
  <si>
    <t>Unidade</t>
  </si>
  <si>
    <t>TOTAL SERVIÇOS TÉCNICOS</t>
  </si>
  <si>
    <t>SERVIÇOS PRELIMINARES E GERAIS</t>
  </si>
  <si>
    <t>1.2.1</t>
  </si>
  <si>
    <t>SINAPI</t>
  </si>
  <si>
    <t>ENSAIO DE RECEBIMENTO E ACEITACAO DE AGREGADO GRAUDO</t>
  </si>
  <si>
    <t>un</t>
  </si>
  <si>
    <t>1.2.2</t>
  </si>
  <si>
    <t>74022/058</t>
  </si>
  <si>
    <t>ENSAIO DE ABATIMENTO DO TRONCO DE CONE</t>
  </si>
  <si>
    <t>1.2.3</t>
  </si>
  <si>
    <t>74022/030</t>
  </si>
  <si>
    <t>ENSAIO DE RESISTENCIA A COMPRESSAO SIMPLES - CONCRETO</t>
  </si>
  <si>
    <t>1.2.4</t>
  </si>
  <si>
    <t>74022/031</t>
  </si>
  <si>
    <t>ENSAIO DE RESISTENCIA A TRACAO POR COMPRESSAO DIAMETRAL - CONCRETO</t>
  </si>
  <si>
    <t>1.2.5</t>
  </si>
  <si>
    <t>74022/032</t>
  </si>
  <si>
    <t>ENSAIO DE MÓDULO DE ELASTICIDADE - CONCRETO</t>
  </si>
  <si>
    <t>1.2.6</t>
  </si>
  <si>
    <t>74021/002</t>
  </si>
  <si>
    <t>ENSAIO DE TERRAPLENAGEM - CAMADA FINAL DO ATERRO</t>
  </si>
  <si>
    <t>M3</t>
  </si>
  <si>
    <t>1.2.7</t>
  </si>
  <si>
    <t>CÓPIAS / PLOTAGENS</t>
  </si>
  <si>
    <t>1.3</t>
  </si>
  <si>
    <t>INSTALAÇÕES PROVISÓRIAS</t>
  </si>
  <si>
    <t>1.3.1</t>
  </si>
  <si>
    <t>74220/001</t>
  </si>
  <si>
    <t>TAPUME DE CHAPA DE MADEIRA COMPENSADA, E= 6MM, COM PINTURA A CAL E REAPROVEITAMENTO DE 2X, COM PORTÃO</t>
  </si>
  <si>
    <t>m²</t>
  </si>
  <si>
    <t>1.3.2</t>
  </si>
  <si>
    <t>BARRACAO DE OBRA EM CHAPA DE MADEIRA COMPENSADA COM BANHEIRO, COBERTURA EM FIBROCIMENTO 4 MM, INCLUSO INSTALACOES HIDRO-SANITARIAS E ELETRICAS (INSTALAÇÕES PARA DEPÓSITO, ABRIGOS, ESCRITÓRIO DE OBRA)</t>
  </si>
  <si>
    <t>1.3.3</t>
  </si>
  <si>
    <t>74209/001</t>
  </si>
  <si>
    <t>PLACA DE OBRA EM CHAPA DE ACO GALVANIZADO</t>
  </si>
  <si>
    <t>1.3.4</t>
  </si>
  <si>
    <t>LIGAÇÃO PROVISÓRIA DE ÁGUA ( INCLUSO RETIRADA DO ESGOTO SANITÁRIO) - PD. AGETOP</t>
  </si>
  <si>
    <t>1.3.5</t>
  </si>
  <si>
    <t>LIGAÇÃO PROVISÓRIA LUZ E FORÇA - PD. AGETOP</t>
  </si>
  <si>
    <t>1.3.6</t>
  </si>
  <si>
    <t>LOCACAO DA OBRA, COM USO DE EQUIPAMENTOS TOPOGRAFICOS, INCLUSIVE NIVELADOR - PAVIMENTO INFERIOR (SUBSOLO)</t>
  </si>
  <si>
    <t>1.3.7</t>
  </si>
  <si>
    <t>1.3.8</t>
  </si>
  <si>
    <t>1.4</t>
  </si>
  <si>
    <t>MÁQUINAS, FERRAMENTAS E EQUIPAMENTOS</t>
  </si>
  <si>
    <t>1.4.1</t>
  </si>
  <si>
    <t>LOCACAO MENSAL DE ANDAIME METALICO TIPO FACHADEIRO, INCLUSIVE MONTAGEM</t>
  </si>
  <si>
    <t>1.4.2</t>
  </si>
  <si>
    <t>HORA</t>
  </si>
  <si>
    <t>1.5</t>
  </si>
  <si>
    <t>ADMINISTRAÇÃO E DESPESAS</t>
  </si>
  <si>
    <t>1.5.1</t>
  </si>
  <si>
    <t>ENGENHEIRO DE OBRA SENIOR</t>
  </si>
  <si>
    <t>h</t>
  </si>
  <si>
    <t>1.5.2</t>
  </si>
  <si>
    <t>ENGENHEIRO CIVIL DE OBRA - RESIDENTE DA OBRA (2 ENGENHEIROS)</t>
  </si>
  <si>
    <t>1.5.3</t>
  </si>
  <si>
    <t>ENGENHEIRO ELETRICISTA - RESIDENTE DE OBRA</t>
  </si>
  <si>
    <t>1.5.4</t>
  </si>
  <si>
    <t>ENGENHEIRO DE MEDICINA E SEGURANÇA DO TRABALHO DA OBRA</t>
  </si>
  <si>
    <t>1.5.5</t>
  </si>
  <si>
    <t>MESTRE DE OBRAS</t>
  </si>
  <si>
    <t>1.5.6</t>
  </si>
  <si>
    <t>ENCARREGADO GERAL</t>
  </si>
  <si>
    <t>1.5.7</t>
  </si>
  <si>
    <t>1.5.8</t>
  </si>
  <si>
    <t>APONTADOR OU APROPRIADOR / ALMOXARIFE</t>
  </si>
  <si>
    <t>1.5.9</t>
  </si>
  <si>
    <t>VIGIA NOTURNO</t>
  </si>
  <si>
    <t>CONSUMOS</t>
  </si>
  <si>
    <t>1.5.10</t>
  </si>
  <si>
    <t>CANTINA - (OBRAS CIVIS)</t>
  </si>
  <si>
    <t>1.5.11</t>
  </si>
  <si>
    <t>CAFE DA MANHA</t>
  </si>
  <si>
    <t>1.5.12</t>
  </si>
  <si>
    <t>VALE TRANSPORTE</t>
  </si>
  <si>
    <t xml:space="preserve">UN </t>
  </si>
  <si>
    <t>1.5.13</t>
  </si>
  <si>
    <t>CONSUMO DE ÁGUA</t>
  </si>
  <si>
    <t>m³</t>
  </si>
  <si>
    <t>1.5.14</t>
  </si>
  <si>
    <t>CONSUMO DE ESGOTO</t>
  </si>
  <si>
    <t>1.5.15</t>
  </si>
  <si>
    <t>CONSUMO DE ENERGIA ELÉTRICA</t>
  </si>
  <si>
    <t>kwh</t>
  </si>
  <si>
    <t>1.5.16</t>
  </si>
  <si>
    <t>EPI / PCMAT / PCMSO</t>
  </si>
  <si>
    <t>1.6</t>
  </si>
  <si>
    <t>LIMPEZA DA OBRA E DIVERSOS</t>
  </si>
  <si>
    <t>1.6.1</t>
  </si>
  <si>
    <t>LIMPEZA PERMANENTE DE OBRA</t>
  </si>
  <si>
    <t>1.6.2</t>
  </si>
  <si>
    <t>RETIRADA E TRANSP.DE ENTULHO EM CAÇAMBA ESTACIONARIA COM CARGA</t>
  </si>
  <si>
    <t>1.6.3</t>
  </si>
  <si>
    <t>ISOLAMENTO DE OBRA COM TELA PLASTICA COM MALHA DE 5MM</t>
  </si>
  <si>
    <t>TOTAL DA ETAPA - SERVIÇOS INICIAIS</t>
  </si>
  <si>
    <t>INFRA-ESTRUTURA</t>
  </si>
  <si>
    <t>2.1</t>
  </si>
  <si>
    <t>MOVIMENTAÇÃO DE TERRA</t>
  </si>
  <si>
    <t>2.1.1</t>
  </si>
  <si>
    <t>73822/002</t>
  </si>
  <si>
    <t>LIMPEZA MECANIZADA DE TERRENO COM REMOCAO DE CAMADA VEGETAL, UTILIZANDO MOTONIVELADORA</t>
  </si>
  <si>
    <t>2.1.2</t>
  </si>
  <si>
    <t>2.1.3</t>
  </si>
  <si>
    <t>m3*KM</t>
  </si>
  <si>
    <t>2.1.4</t>
  </si>
  <si>
    <t>ESPALHAMENTO DE MATERIAL EM BOTA FORA, COM UTILIZACAO DE TRATOR DE ESTEIRAS DE 165 HP</t>
  </si>
  <si>
    <t>2.1.5</t>
  </si>
  <si>
    <t>74005/002</t>
  </si>
  <si>
    <t>ATERRO E COMPACTACAO MECANICA C/ CONTROLE DO GC&gt;=95% DO PN (AREAS) (C/MONIVELADORA 140 HP E ROLO COMPRESSOR VIBRATORIO 80 HP)</t>
  </si>
  <si>
    <t>2.1.7</t>
  </si>
  <si>
    <t>74021/001</t>
  </si>
  <si>
    <t>ENSAIOS DE TERRAPLENAGEM - CORPO DO ATERRO</t>
  </si>
  <si>
    <t>2.1.8</t>
  </si>
  <si>
    <t>ESPALHAMENTO MECANIZADO (COM MOTONIVELADORA 140 HP) MATERIAL 1A.</t>
  </si>
  <si>
    <t>TOTAL MOVIMENTAÇÃO DE TERRA</t>
  </si>
  <si>
    <t>2.2</t>
  </si>
  <si>
    <t>DRENAGENS E CONTENÇÕES INTERNAS À OBRA</t>
  </si>
  <si>
    <t>2.2.1</t>
  </si>
  <si>
    <t>2.2.2</t>
  </si>
  <si>
    <t>2.2.3</t>
  </si>
  <si>
    <t>73762/001</t>
  </si>
  <si>
    <t>APLICAÇÃO DE PINTURA COM EMULSÃO ASFÁLTICA COM ELASTOMEROS, TRÊS DEMÃOS, SOBRE PARTE INTERNA DO MURO DE ARRIMO (LADO DO ATERRO) - IMPERMEABILIZAÇÃO COM PRESSÃO POSITIVA.</t>
  </si>
  <si>
    <t>2.2.4</t>
  </si>
  <si>
    <t>2.3</t>
  </si>
  <si>
    <t>FUNDAÇÃO</t>
  </si>
  <si>
    <t>2.3.1</t>
  </si>
  <si>
    <t>2.3.2</t>
  </si>
  <si>
    <t>2.3.3</t>
  </si>
  <si>
    <t>unid</t>
  </si>
  <si>
    <t>2.3.4</t>
  </si>
  <si>
    <t>ARMACAO ACO CA-50, DIAM. 6,3 (1/4) À 12,5MM(1/2) -FORNECIMENTO/ CORTE PERDA DE 10%) / DOBRA / COLOCAÇÃO - PARA FUNDAÇÃO.</t>
  </si>
  <si>
    <t>kg</t>
  </si>
  <si>
    <t>ARMACAO ACO CA-50 DIAM.16,0 (5/8) À 25,0MM (1) - FORNECIMENTO/ CORTE(PERDA DE 10%) / DOBRA / COLOCAÇÃO.</t>
  </si>
  <si>
    <t>2.3.6</t>
  </si>
  <si>
    <t>2.3.8</t>
  </si>
  <si>
    <t>APILOAMENTO COM MACO DE 30KG, NO FUNDO DAS VIGAS BALDRAMES</t>
  </si>
  <si>
    <t>2.3.9</t>
  </si>
  <si>
    <t>2.3.10</t>
  </si>
  <si>
    <t>ARMACAO ACO CA-50, DIAM. 6,3 (1/4) À 12,5MM(1/2) -FORNECIMENTO/ CORTE(PERDA DE 10%) / DOBRA / COLOCAÇÃO - PARA AS VIGAS BALDRAMES</t>
  </si>
  <si>
    <t>2.3.11</t>
  </si>
  <si>
    <t>CONCRETO USINADO BOMBEADO FCK=20MPA, INCLUSIVE LANCAMENTO E ADENSAMENTO - VIGAS BALDRAMES E BLOCOS DE COROAMENTO</t>
  </si>
  <si>
    <t>TOTAL DA ETAPA - INFRA-ESTRUTURA</t>
  </si>
  <si>
    <t>SUPRA-ESTRUTURA</t>
  </si>
  <si>
    <t>3.1</t>
  </si>
  <si>
    <t>PILARES</t>
  </si>
  <si>
    <t>3.1.1</t>
  </si>
  <si>
    <t>FORMA PARA ESTRUTURAS DE CONCRETO (PILAR, VIGA E LAJE) EM CHAPA DE MADEIRA COMPENSADA PLASTIFICADA, DE 1,10 X 2,20, ESPESSURA = 12 MM, 03 UTILIZACOES. (FABRICACAO, MONTAGEM E DESMONTAGEM - EXCLUSIVE ESCORAMENTO)</t>
  </si>
  <si>
    <t>3.1.2</t>
  </si>
  <si>
    <t>ARMACAO ACO CA-50, DIAM. 6,3 (1/4) À 12,5MM(1/2) -FORNECIMENTO/ CORTE (PERDA DE 10%) / DOBRA / COLOCAÇÃO.</t>
  </si>
  <si>
    <t>3.1.3</t>
  </si>
  <si>
    <t>3.1.4</t>
  </si>
  <si>
    <t>CONCRETO USINADO BOMBEADO FCK=30MPA, INCLUSIVE LANCAMENTO E ADENSAMENTO</t>
  </si>
  <si>
    <t>TOTAL PILARES</t>
  </si>
  <si>
    <t>3.2</t>
  </si>
  <si>
    <t>VIGAS</t>
  </si>
  <si>
    <t>3.2.1</t>
  </si>
  <si>
    <t>3.2.2</t>
  </si>
  <si>
    <t>3.2.3</t>
  </si>
  <si>
    <t>3.2.4</t>
  </si>
  <si>
    <t>CONCRETO USINADO BOMBEADO FCK=30MPA, INCLUSIVE LANCAMENTO E ADENSAMENTO, PARA VIGAS</t>
  </si>
  <si>
    <t>CIMBRAMENTO -ESCORAMENTO METALICO - VIGAS/LAJES (ALUGUEL/MES)</t>
  </si>
  <si>
    <t>TOTAL VIGAS</t>
  </si>
  <si>
    <t>3.3</t>
  </si>
  <si>
    <t>3.3.1</t>
  </si>
  <si>
    <t>3.3.2</t>
  </si>
  <si>
    <t>3.3.3</t>
  </si>
  <si>
    <t>3.3.4</t>
  </si>
  <si>
    <t>3.3.5</t>
  </si>
  <si>
    <t>3.4</t>
  </si>
  <si>
    <t>3.4.1</t>
  </si>
  <si>
    <t>3.4.2</t>
  </si>
  <si>
    <t>3.4.3</t>
  </si>
  <si>
    <t>3.4.4</t>
  </si>
  <si>
    <t>3.5</t>
  </si>
  <si>
    <t>3.5.1</t>
  </si>
  <si>
    <t>TOTAL SUPRA-ESTRUTURA</t>
  </si>
  <si>
    <t>PAREDES E PAINÉIS</t>
  </si>
  <si>
    <t>4.1</t>
  </si>
  <si>
    <t>ALVENARIA E DIVISÓRIAS</t>
  </si>
  <si>
    <t>4.1.1</t>
  </si>
  <si>
    <t>4.1.3</t>
  </si>
  <si>
    <t>4.1.4</t>
  </si>
  <si>
    <t>4.1.5</t>
  </si>
  <si>
    <t>LOCACAO ALVENARIA</t>
  </si>
  <si>
    <t>m</t>
  </si>
  <si>
    <t>TOTAL ALVENARIA E DIVISÓRIAS</t>
  </si>
  <si>
    <t>4.2</t>
  </si>
  <si>
    <t>ESQUADRIAS E FERRAGENS</t>
  </si>
  <si>
    <t>4.2.1</t>
  </si>
  <si>
    <t>4.2.2</t>
  </si>
  <si>
    <t>4.2.3</t>
  </si>
  <si>
    <t>4.2.4</t>
  </si>
  <si>
    <t>4.2.5</t>
  </si>
  <si>
    <t>4.2.6</t>
  </si>
  <si>
    <t>4.2.8</t>
  </si>
  <si>
    <t>4.2.9</t>
  </si>
  <si>
    <t>4.2.10</t>
  </si>
  <si>
    <t>4.2.11</t>
  </si>
  <si>
    <t>Vidro</t>
  </si>
  <si>
    <t>4.2.12</t>
  </si>
  <si>
    <t>4.2.13</t>
  </si>
  <si>
    <t>4.2.14</t>
  </si>
  <si>
    <t>4.2.15</t>
  </si>
  <si>
    <t>4.2.17</t>
  </si>
  <si>
    <t>4.2.18</t>
  </si>
  <si>
    <t>4.2.19</t>
  </si>
  <si>
    <t>TOTAL ESQUADRIAS E FERRAGENS</t>
  </si>
  <si>
    <t>4.3</t>
  </si>
  <si>
    <t xml:space="preserve">VIDROS </t>
  </si>
  <si>
    <t>4.3.2</t>
  </si>
  <si>
    <t>VIDRO TEMPERADO INCOLOR, ESPESSURA 10MM, FORNECIMENTO E INSTALACAO, INCLUSIVE MASSA PARA VEDACAO</t>
  </si>
  <si>
    <t>4.3.3</t>
  </si>
  <si>
    <t>4.4</t>
  </si>
  <si>
    <t>ELEMENTOS DE FACHADA / OUTROS</t>
  </si>
  <si>
    <t>TOTAL DO ITEM PAREDES E PAINÉIS</t>
  </si>
  <si>
    <t>COBERTURA E PROTEÇÕES</t>
  </si>
  <si>
    <t>5.1</t>
  </si>
  <si>
    <t>COBERTURA / TELHADO</t>
  </si>
  <si>
    <t>5.1.1</t>
  </si>
  <si>
    <t>5.1.2</t>
  </si>
  <si>
    <t>74064/001</t>
  </si>
  <si>
    <t>FUNDO ANTICORROSIVO A BASE DE OXIDO DE FERRO (ZARCAO), UMA DEMAO</t>
  </si>
  <si>
    <t>5.1.3</t>
  </si>
  <si>
    <t>73924/003</t>
  </si>
  <si>
    <t>PINTURA ESMALTE SINTÉTICO FOSCO, NA COR CINZA CHUMBO, DUAS DEMAOS, SOBRE ESTRUTURA METÁLICA DE SUSTENTAÇÃO DAS TELHAS DE FIBROCIMENTO</t>
  </si>
  <si>
    <t>5.1.4</t>
  </si>
  <si>
    <t>TOTAL COBERTURA E PROTEÇÕES</t>
  </si>
  <si>
    <t>5.2</t>
  </si>
  <si>
    <t>CALHAS E RUFOS</t>
  </si>
  <si>
    <t>5.2.1</t>
  </si>
  <si>
    <t>5.2.2</t>
  </si>
  <si>
    <t>TOTAL CALHAS E RUFOS</t>
  </si>
  <si>
    <t>REVESTIMENTOS, FORROS, MARCENARIA, SERRALHERIA E PINTURAS</t>
  </si>
  <si>
    <t>6.1</t>
  </si>
  <si>
    <t>6.1.1</t>
  </si>
  <si>
    <t>6.1.2</t>
  </si>
  <si>
    <t>6.1.3</t>
  </si>
  <si>
    <t>6.1.4</t>
  </si>
  <si>
    <t>REVESTIMENTO COM ARGAMASSA BARITADA, RX-GAB.MEDICO</t>
  </si>
  <si>
    <t>6.1.5</t>
  </si>
  <si>
    <t>6.2</t>
  </si>
  <si>
    <t>FORROS E ELEMENTOS DECORATIVOS</t>
  </si>
  <si>
    <t>6.2.1</t>
  </si>
  <si>
    <t>TOTAL FORROS E ELEMENTOS DECORATIVOS</t>
  </si>
  <si>
    <t>6.3</t>
  </si>
  <si>
    <t>6.3.1</t>
  </si>
  <si>
    <t>6.3.2</t>
  </si>
  <si>
    <t>74194/001</t>
  </si>
  <si>
    <t>ESCADA TIPO MARINHEIRO EM TUBO ACO GALVANIZADO 1 1/2" 5 DEGRAUS</t>
  </si>
  <si>
    <t>6.4</t>
  </si>
  <si>
    <t>PINTURAS</t>
  </si>
  <si>
    <t>6.4.1</t>
  </si>
  <si>
    <t>6.4.2</t>
  </si>
  <si>
    <t>EMASSAMENTO INTERNO COM MASSA PVA DUAS DEMAOS, EM FORRO</t>
  </si>
  <si>
    <t>6.4.3</t>
  </si>
  <si>
    <t>EMASSAMENTO INTERNO COM MASSA ACRILICA, 2 DEMAOS - PAREDES</t>
  </si>
  <si>
    <t>6.4.4</t>
  </si>
  <si>
    <t>APLICAÇÃO MANUAL DE PINTURA COM TINTA LÁTEX ACRÍLICA EM PAREDES, DUASDEMÃOS.</t>
  </si>
  <si>
    <t>6.4.5</t>
  </si>
  <si>
    <t>6.4.6</t>
  </si>
  <si>
    <t>APLICAÇÃO MANUAL DE PINTURA COM TINTA TEXTURIZADA ACRÍLICA - PINTURA EXTERNA DA UNIDADE</t>
  </si>
  <si>
    <t>6.4.7</t>
  </si>
  <si>
    <t>APLICAÇÃO DE FUNDO SELADOR LÁTEX PVA EM TETO, UMA DEMÃO</t>
  </si>
  <si>
    <t>APLICAÇÃO MANUAL DE PINTURA COM TINTA LÁTEX PVA EM TETO, DUAS DEMÃOS</t>
  </si>
  <si>
    <t xml:space="preserve">PINTURA DAS FAIXAS DE DEMARCACAO DAS VAGAS DE ESTACIONAMENTO COM TINTA A BASE DE BORRACHA CLORADA </t>
  </si>
  <si>
    <t>TOTAL PINTURAS</t>
  </si>
  <si>
    <t>PAVIMENTAÇÃO, PISOS, BANCADAS, SOLEIRAS E PEITORIS</t>
  </si>
  <si>
    <t>PAVIMENTAÇÃO E PISOS</t>
  </si>
  <si>
    <t>7.1.1</t>
  </si>
  <si>
    <t>7.1.2</t>
  </si>
  <si>
    <t>REGULARIZACAO DE CONTRAPISO, TRAÇO 1:3 (CIMENTO:AREIA), ESPESSURA DE 2 cm, DAS LAJES E CONTRAPISOS</t>
  </si>
  <si>
    <t>7.1.3</t>
  </si>
  <si>
    <t>7.1.4</t>
  </si>
  <si>
    <t>7.1.5</t>
  </si>
  <si>
    <t>7.1.6</t>
  </si>
  <si>
    <t>7.2.2</t>
  </si>
  <si>
    <t>IMPERMEABILIZAÇÕES</t>
  </si>
  <si>
    <t>IMPERMEABILIZACAO DAS LAJES COM MANTA ASFALTICA (COM POLIMEROS TIPO APP), E=3 MM</t>
  </si>
  <si>
    <t>PROTEÇÃO MECÂNICA DA MANTA ASFÁLTICA APLICADA SOBRE LAJES, COM ARGAMASSA TRAÇO 1:3, ESP. 2,5 CM E COM TELA GALVANIZADA.</t>
  </si>
  <si>
    <t>PROTEÇÃO MECÂNICA COM ARGAMASSA TRAÇO 1:3, ESP. 2,5 CM, DAS SUPERFÍCIES IMPERMEABILIZADAS DAS CALHAS.</t>
  </si>
  <si>
    <t>TOTAL IMPERMEABILIZAÇÕES</t>
  </si>
  <si>
    <t>INSTALAÇÕES E APARELHOS</t>
  </si>
  <si>
    <t>INSTALAÇÕES ELÉTRICAS/ SUBESTAÇÃO / TELEFÔNICAS / SPDA/EQUIPAMENTOS NO BREAK/ESTABILIZADOR/CABEAMENTO ESTRUTURADO/ CFTV E SISTEMAS ELETRÔNICOS</t>
  </si>
  <si>
    <t>9.1.1</t>
  </si>
  <si>
    <t>9.2.1</t>
  </si>
  <si>
    <t>INSTALAÇÕES SANITÁRIAS / PLUVIAIS</t>
  </si>
  <si>
    <t>9.3.1</t>
  </si>
  <si>
    <t>9.4.1</t>
  </si>
  <si>
    <t>9.5</t>
  </si>
  <si>
    <t>INSTALAÇÕES DE AR CONDICIONADO</t>
  </si>
  <si>
    <t>9.5.1</t>
  </si>
  <si>
    <t>9.6</t>
  </si>
  <si>
    <t>INSTALAÇÕES DE COMBATE A INCÊNDIO</t>
  </si>
  <si>
    <t>9.6.1</t>
  </si>
  <si>
    <t>TOTAL INSTALAÇÕES DE COMBATE A INCÊNDIO</t>
  </si>
  <si>
    <t>APARELHOS, LOUÇAS E METAIS</t>
  </si>
  <si>
    <t>VASO SANITÁRIO SIFONADO COM CAIXA ACOPLADA LOUÇA BRANCA - PADRÃO MÉDIO, INCLUSO ENGATE FLEXÍVEL EM METAL CROMADO, 1/2" X 40CM - FORNECIMENTO
E INSTALAÇÃO.</t>
  </si>
  <si>
    <t>ASSENTO P/VASO SANITÁRIO</t>
  </si>
  <si>
    <t>74234/001</t>
  </si>
  <si>
    <t>MICTORIO SIFONADO DE LOUCA BRANCA COM PERTENCES, COM REGISTRO DE PRESSAO 1/2" COM CANOPLA CROMADA ACABAMENTO SIMPLES E CONJUNTO PARA FIXACAO - FORNECIMENTO E INSTALACAO</t>
  </si>
  <si>
    <t>CUBA DE EMBUTIR OVAL EM LOUÇA BRANCA, 35 X 50CM OU EQUIVALENTE - FORNECIMENTO E INSTALAÇÃO.</t>
  </si>
  <si>
    <t>CUBA DE EMBUTIR DE AÇO INOXIDÁVEL MÉDIA, PARA PIA - FORNECIMENTO E INSTALAÇÃO.</t>
  </si>
  <si>
    <t>TOTAL APARELHOS, LOUÇAS E METAIS</t>
  </si>
  <si>
    <t>TOTAL ELEVADORES</t>
  </si>
  <si>
    <t>TOTAL INSTALAÇÕES E APARELHOS</t>
  </si>
  <si>
    <t>PAISAGISMO - GRAMAS E ARBUSTOS</t>
  </si>
  <si>
    <t>10.1.1</t>
  </si>
  <si>
    <t>PLANTIO DE GRAMA ESMERALDA EM ROLO, COM IRRIGAÇÃO E ADUBO</t>
  </si>
  <si>
    <t>PLANTIO DE ARBUSTO COM ALTURA 50 A 100CM, EM CAVA DE 60X60X60CM</t>
  </si>
  <si>
    <t>73967/001</t>
  </si>
  <si>
    <t>PLANTIO DE ARBUSTO, ALTURA MAIOR QUE 1,00M, EM CAVAS DE 80X80X80CM</t>
  </si>
  <si>
    <t>73967/002</t>
  </si>
  <si>
    <t>PLANTIO DE ARVORE REGIONAL, ALTURA MAIOR QUE 2,00M, EM CAVAS DE 80X80X80CM</t>
  </si>
  <si>
    <t>10.2.1</t>
  </si>
  <si>
    <t>10.2.2</t>
  </si>
  <si>
    <t>10.2.3</t>
  </si>
  <si>
    <t>REBOCO OU MASSA ÚNICA, INTERNO E EXTERNO, EM ARGAMASSA TRAÇO 1:2:8, PREPARO MECÂNICO, APLICADA MANUALMENTE NA ALVENARIA, ESPESSURA DE 25 MM.</t>
  </si>
  <si>
    <t>PAVIMENTAÇÃO EXTERNA</t>
  </si>
  <si>
    <t>73892/001</t>
  </si>
  <si>
    <t>COMPLEMENTAÇÕES DA OBRA E SERVIÇOS FINAIS</t>
  </si>
  <si>
    <t>LIMPEZA FINAL DA OBRA</t>
  </si>
  <si>
    <t>PLACA IDENTIFICACAO ACRILICO 25X8CM BORDA POLIDA - FORNECIMENTO E COLOCACAO</t>
  </si>
  <si>
    <t>TOTAL GERAL</t>
  </si>
  <si>
    <t>Responsávéis pala elaboração orçamentária:</t>
  </si>
  <si>
    <t>LEVANTAMENTO DE PISO</t>
  </si>
  <si>
    <t>LOCAL</t>
  </si>
  <si>
    <t>X</t>
  </si>
  <si>
    <t>Y</t>
  </si>
  <si>
    <t>PERÍMETRO</t>
  </si>
  <si>
    <t>PORCELANATO</t>
  </si>
  <si>
    <t>SUBSOLO</t>
  </si>
  <si>
    <t>x</t>
  </si>
  <si>
    <t>TÉRREO</t>
  </si>
  <si>
    <t>CAPELA</t>
  </si>
  <si>
    <t>VELÓRIO</t>
  </si>
  <si>
    <t>GRUPO GERADOR</t>
  </si>
  <si>
    <t>CPN</t>
  </si>
  <si>
    <t>BANCO DE LEITE E ALMOXARIFADO</t>
  </si>
  <si>
    <t>LIXO</t>
  </si>
  <si>
    <t>PAVIMENTO 02</t>
  </si>
  <si>
    <t>PAVIMENTO 03</t>
  </si>
  <si>
    <t>PAVIMENTO 04</t>
  </si>
  <si>
    <t>PAVIMENTO 05</t>
  </si>
  <si>
    <t>PAVIMENTO 06</t>
  </si>
  <si>
    <t>PAVIMENTO 07</t>
  </si>
  <si>
    <t>PAVIMENTO 08</t>
  </si>
  <si>
    <t>PAVIMENTO 09</t>
  </si>
  <si>
    <t>Subsolo</t>
  </si>
  <si>
    <t>Térreo</t>
  </si>
  <si>
    <t>Velório</t>
  </si>
  <si>
    <t>Cpn</t>
  </si>
  <si>
    <t>Banco de Leite E Almoxarifado</t>
  </si>
  <si>
    <t>Lixo</t>
  </si>
  <si>
    <t>Maternidade</t>
  </si>
  <si>
    <t>2° Pavimento</t>
  </si>
  <si>
    <t>3° Pavimento</t>
  </si>
  <si>
    <t>4° Pavimento</t>
  </si>
  <si>
    <t>5° Pavimento</t>
  </si>
  <si>
    <t>6° Pavimento</t>
  </si>
  <si>
    <t>7° Pavimento</t>
  </si>
  <si>
    <t>8° Pavimento</t>
  </si>
  <si>
    <t>9° Pavimento</t>
  </si>
  <si>
    <t>Total</t>
  </si>
  <si>
    <t>MEMÓRIA DE CÁLCULO</t>
  </si>
  <si>
    <t>CÁLCULOS</t>
  </si>
  <si>
    <t>OBSERVAÇÕES ATINENTES AOS CÁLCULOS ELABORADOS</t>
  </si>
  <si>
    <t>=</t>
  </si>
  <si>
    <t>Metragem da área construída</t>
  </si>
  <si>
    <t>PROJETOS EXECUTIVOS DE INSTALAÇÕES HIDROSSÁNITÁRIAS</t>
  </si>
  <si>
    <t>Previsão de uma única substação</t>
  </si>
  <si>
    <t>Previsão de realização de 1 ensaio a cada três meses de obra</t>
  </si>
  <si>
    <t>ENSAIO DE TERRAPLENAGEM - CAMADA FINAL DO ATERRO (CONSIDERADO O VOLUME TOTAL DE ATERRO E COMPACTAÇÃO)</t>
  </si>
  <si>
    <t>m3</t>
  </si>
  <si>
    <t>Volume de aterro calculado conforme item 2.1.5</t>
  </si>
  <si>
    <t>+</t>
  </si>
  <si>
    <t>1 ligação provisória de água e esgoto</t>
  </si>
  <si>
    <t>1 ligação provisória de luz e força</t>
  </si>
  <si>
    <t>LOCACAO DE BETONEIRA</t>
  </si>
  <si>
    <t>Estimativa de locação de 3 betoneiras por mês ao longo dos 18 meses de obra (contabilizando 220 horas mensais de locação).</t>
  </si>
  <si>
    <t>1.4.3</t>
  </si>
  <si>
    <t>1.4.4</t>
  </si>
  <si>
    <t>COMPACTADOR SOLOS C/ PLACA VIBRATÓRIA MOTOR DIESEL/GASOLINA * 5HP * NÃO REVERSÍVEL TIPO CLARIDOM CS-15, OU COMPACTADOR TIPO SAPO OU EQUIV</t>
  </si>
  <si>
    <t>Estimativa de locação de 2 compactatores com placa vibratória  por mês (contabilizando 220 horas mensais de locação) ao longo de 3 meses de obra. Estima-se que as fundações sejam todas executadas em três meses.</t>
  </si>
  <si>
    <t>1.4.5</t>
  </si>
  <si>
    <t>LOCAÇÃO DE VIBRADOR DE IMERSAO COM MOTOR ELETRICO TRIFASICO ACIMA DE 2 CV, QUALQUER DIAMETRO, COM MANGOTE DE 35 MM</t>
  </si>
  <si>
    <t>Estimativa de locação de 6 vibradores de imersão por mês (contabilizando 220 horas mensais de locação) ao longo de 10 meses de obra. Estima-se que toda a estrutura de concreto seja executada em 10 meses.</t>
  </si>
  <si>
    <t>1.4.6</t>
  </si>
  <si>
    <t>BANCADA PARA CARPINTARIA (SEM O DISCO DE SERRA) COM MOTOR ELETRICO TRIFASICO DE *3 A 5* HP, CHAVE E COIFA PROTETORA (LOCACAO)</t>
  </si>
  <si>
    <t>Estimativa de locação de 2 bancadas para carpintaria por mês (contabilizando 220 horas mensais de locação) ao longo de 10 meses de obra. Estima-se que toda a estrutura de concreto seja executada em 10 meses.</t>
  </si>
  <si>
    <t>1.4.7</t>
  </si>
  <si>
    <t>LOCAÇÃO DE POLICORTE</t>
  </si>
  <si>
    <t>Estimativa de locação de 1 máquina de policorte por mês (contabilizando 220 horas mensais de locação) ao longo dos 18 meses de obra.</t>
  </si>
  <si>
    <t>1.4.8</t>
  </si>
  <si>
    <t>1.4.9</t>
  </si>
  <si>
    <t>FURADEIRA DE IMPACTO, PORTATIL, ELETRICA, TIPO INDUSTRIAL, COM MADRIL DE 5/8" (LOCACAO)</t>
  </si>
  <si>
    <t>Estimativa de locação de 1 Furadeira de impacto por mês (contabilizando 220 horas mensais de locação) ao longo dos 18 meses de obra.</t>
  </si>
  <si>
    <t>Conforme ATO NORMATIVO CREA-GO 05-89 (art. 1º) - Minimo de 60 horas/mês = 18 meses x 60 horas</t>
  </si>
  <si>
    <t>ESTAGIÁRIO</t>
  </si>
  <si>
    <t>18 meses x 220 horas x 3 Vigias</t>
  </si>
  <si>
    <t>Conforme área de construção da edificação.</t>
  </si>
  <si>
    <t>Área total de construção da obra conforme carimbo</t>
  </si>
  <si>
    <t>Área do terreno conforme carimbo</t>
  </si>
  <si>
    <t>TRANSPORTE LOCAL COM CAMINHÃO BASCULANTE 6 M3, RODOVIA COM REVESTIMENTO PRIMARIO</t>
  </si>
  <si>
    <t>m3.km</t>
  </si>
  <si>
    <t>-</t>
  </si>
  <si>
    <t>ESPALHAMENTO DE MATERIAL DE 1A CATEGORIA COM TRATOR DE ESTEIRA COM 153HP</t>
  </si>
  <si>
    <t>Cortes e escavações menos aterros com 25% de compactação. Considerado 30 % de empolamento. Escavação de vala 176,90m³, escavação de tubulão 1914,93m³, vala de arrimo 34,76m³, alargamento 954,84m³, baldrames 646,62 m³, platô 6493,21 m³, aterro platô 3739,95m³ +25%. Portanto, ((176,9+1914,93+34,76+954,84+646,62+6493,21)-(3739,95x1,25))x1,30</t>
  </si>
  <si>
    <t>Cálculo idêntico ao item 2.1.5</t>
  </si>
  <si>
    <t>MURO ARRIMO PADRÃO AGETOP EM CANALETA SEM REVESTIMENTO - INCLUSO FUNDAÇÃO (ESTRUTURA DE CONTENÇÃO ENTRE O PLATÔ DO ESTACIONAMENTO DE ENTRADA - NÍVEL 0,00 E O ESTACIONAMENTO NO NÍVEL -2,505).</t>
  </si>
  <si>
    <t>PROTEÇÃO MECÂNICA DA PINTURA ASFÁLTICA COM REVESTIMENTO COM ARGAMASSA IMPERMEABILIZANTE SINTÉTICA SEMI-FLEXIVEL NA PARTE INTERNA DO MURO DE ARRIMO (LADO DO ATERRO) - SISTEMA DE IMPERMEABILIZAÇÃO COM PRESSÃO POSITIVA.</t>
  </si>
  <si>
    <t>2.3.2.1</t>
  </si>
  <si>
    <t>2.3.2.2</t>
  </si>
  <si>
    <t>Baldrame apoiada no solo apiloado. Forma nas duas laterais da viga. Cálculos: (2.309,35m x 0,40m) x 2 = 1.847,48 m²</t>
  </si>
  <si>
    <t>Estima-se uma taxa de aço média de 160 kg de aço por m² de concreto para os pilares.</t>
  </si>
  <si>
    <t>3.3.1.1</t>
  </si>
  <si>
    <t>Soma das áreas das escadas e das rampas (148,7+251,24)</t>
  </si>
  <si>
    <t>Maternidade - Térreo</t>
  </si>
  <si>
    <t>Maternidade - 2° Pavimento</t>
  </si>
  <si>
    <t>Maternidade - 3° Pavimento</t>
  </si>
  <si>
    <t>Maternidade - 4° Pavimento</t>
  </si>
  <si>
    <t>Maternidade - 5° Pavimento</t>
  </si>
  <si>
    <t>Maternidade - 6° Pavimento</t>
  </si>
  <si>
    <t>Maternidade - 7° Pavimento</t>
  </si>
  <si>
    <t>Maternidade - 8° Pavimento</t>
  </si>
  <si>
    <t>Maternidade - 9° Pavimento</t>
  </si>
  <si>
    <t>ESTRUTURA METALICA EM TESOURAS OU TRELICAS, VAO LIVRE DE 15M, FORNECIMENTO E MONTAGEM, NAO SENDO CONSIDERADOS OS FECHAMENTOS METALICOS, AS COLUNAS, OS SERVICOS GERAIS EM ALVENARIA E CONCRETO, AS TELHAS DE COBERTURA E A PINTURA DE ACABAMENTO</t>
  </si>
  <si>
    <t xml:space="preserve"> SINAPI </t>
  </si>
  <si>
    <t>SEINFRA</t>
  </si>
  <si>
    <t>CALHAS</t>
  </si>
  <si>
    <t>RUFOS</t>
  </si>
  <si>
    <t>CHAPIM</t>
  </si>
  <si>
    <t>CALHA DE CONCRETO, ESPESSURA DE 8 CM, PREPARADO EM BETONEIRA E CIMENTADO LISO EXECUTADO COM ARGAMASSA TRACO 1:4 (CIMENTO E AREIA ME
DIA NAO PENEIRADA), PREPARO MANUAL ( LARGURA DA CALHA DE 40 CM)</t>
  </si>
  <si>
    <t>5.2.3</t>
  </si>
  <si>
    <t>FORRO GESSO</t>
  </si>
  <si>
    <t>ORSE</t>
  </si>
  <si>
    <t>IMPERMEABILIZAÇÃO</t>
  </si>
  <si>
    <t>Elevador 1</t>
  </si>
  <si>
    <t>Elevador 2</t>
  </si>
  <si>
    <t>Elevador 3</t>
  </si>
  <si>
    <t>Elevador 4</t>
  </si>
  <si>
    <t>Elevador 5</t>
  </si>
  <si>
    <t>Elevador 6</t>
  </si>
  <si>
    <t>Elevador 7</t>
  </si>
  <si>
    <t>Elevador 8</t>
  </si>
  <si>
    <t>Jardim</t>
  </si>
  <si>
    <t>ÁREA TOTAL</t>
  </si>
  <si>
    <t>SUBESTAÇÃO</t>
  </si>
  <si>
    <t>Cobertura</t>
  </si>
  <si>
    <t xml:space="preserve">Vaso sanitario </t>
  </si>
  <si>
    <t>Assento p/ vaso</t>
  </si>
  <si>
    <t>Chuveiro</t>
  </si>
  <si>
    <t>Lavatório louça</t>
  </si>
  <si>
    <t>Pia de expurgo</t>
  </si>
  <si>
    <t>Tanque de inox</t>
  </si>
  <si>
    <t>Banheiro masc 01</t>
  </si>
  <si>
    <t>Banheiro fem 01</t>
  </si>
  <si>
    <t>Banheiro PNE fem 01</t>
  </si>
  <si>
    <t>Banheiro PNE masc 01</t>
  </si>
  <si>
    <t>Banheiro 01</t>
  </si>
  <si>
    <t xml:space="preserve">Estar funcionarios </t>
  </si>
  <si>
    <t>Lavagem de panelas</t>
  </si>
  <si>
    <t>Nutrição enteral</t>
  </si>
  <si>
    <t>Lavagem de material</t>
  </si>
  <si>
    <t>Guardas Panelas</t>
  </si>
  <si>
    <t>Preparo Verduras/ Massas/ Lanches</t>
  </si>
  <si>
    <t>Bufe</t>
  </si>
  <si>
    <t>Degelo Pre Preparo</t>
  </si>
  <si>
    <t>PLANTA BAIXA DO TERREO</t>
  </si>
  <si>
    <t>Banheiro Func</t>
  </si>
  <si>
    <t>Banheiro 02</t>
  </si>
  <si>
    <t>Banheiro 03</t>
  </si>
  <si>
    <t>Banheiro 04</t>
  </si>
  <si>
    <t>Banheiro 05</t>
  </si>
  <si>
    <t xml:space="preserve">Banheiro PNE </t>
  </si>
  <si>
    <t>Laboratorio</t>
  </si>
  <si>
    <t>Cardiotocografia</t>
  </si>
  <si>
    <t xml:space="preserve"> 2 Repouso</t>
  </si>
  <si>
    <t>2BWC</t>
  </si>
  <si>
    <t>Consultorio 01</t>
  </si>
  <si>
    <t>Consultorio 02</t>
  </si>
  <si>
    <t>Consultorio 03</t>
  </si>
  <si>
    <t>Consultorio 04</t>
  </si>
  <si>
    <t>Consultorio 05</t>
  </si>
  <si>
    <t>Consultorio 06</t>
  </si>
  <si>
    <t>Consultorio 07</t>
  </si>
  <si>
    <t>Consultorio 08</t>
  </si>
  <si>
    <t>Consultorio 09</t>
  </si>
  <si>
    <t>Sala de exame</t>
  </si>
  <si>
    <t>Banheiro masc 03</t>
  </si>
  <si>
    <t>Banheiro fem 03</t>
  </si>
  <si>
    <t>Banheiro PNE fem 02</t>
  </si>
  <si>
    <t>Banheiro PNE masc 02</t>
  </si>
  <si>
    <t>Cons. Indif</t>
  </si>
  <si>
    <t>Preparo Cadaver</t>
  </si>
  <si>
    <t>BWC FEM PNE</t>
  </si>
  <si>
    <t>BWC MAS PNE</t>
  </si>
  <si>
    <t>PLANTA BAIXA DO 2º PAVIMENTO</t>
  </si>
  <si>
    <t>BWC MAS 06</t>
  </si>
  <si>
    <t>BWC FEM 06</t>
  </si>
  <si>
    <t>2 Salas de Postos de Serviço</t>
  </si>
  <si>
    <t>Guarda e prep. Anest</t>
  </si>
  <si>
    <t>BWC masculino 06</t>
  </si>
  <si>
    <t>BWC femenino 06</t>
  </si>
  <si>
    <t>Presc.Medica</t>
  </si>
  <si>
    <t>PLANTA BAIXA DO 3º PAVIMENTO</t>
  </si>
  <si>
    <t>2Copa</t>
  </si>
  <si>
    <t>4 Salas de  Repouso</t>
  </si>
  <si>
    <t>4BWC</t>
  </si>
  <si>
    <t xml:space="preserve">2Hall Acesso </t>
  </si>
  <si>
    <t>2 BWC</t>
  </si>
  <si>
    <t>Sala de Estar</t>
  </si>
  <si>
    <t>Sala de coleta de leite</t>
  </si>
  <si>
    <t>3Posto de enfermagem</t>
  </si>
  <si>
    <t>Posto de serviço</t>
  </si>
  <si>
    <t>14Salas de Enfermaria 04 leitos</t>
  </si>
  <si>
    <t>14BWC</t>
  </si>
  <si>
    <t>2 Postos de Serviço</t>
  </si>
  <si>
    <t xml:space="preserve">2 salas de repouso </t>
  </si>
  <si>
    <t>Banheiro masc 02</t>
  </si>
  <si>
    <t>Banheiro fem 02</t>
  </si>
  <si>
    <t>Enfermaria 01 leito</t>
  </si>
  <si>
    <t>PLANTA BAIXA 8° PAVIMENTO</t>
  </si>
  <si>
    <t>Diretoria Geral</t>
  </si>
  <si>
    <t>PLANTA DO ANEXO 2 VELORIO</t>
  </si>
  <si>
    <t>Espera Familiar</t>
  </si>
  <si>
    <t>PLANTA DO ANEXO 4 CPN</t>
  </si>
  <si>
    <t xml:space="preserve"> 2 Banheiro Func</t>
  </si>
  <si>
    <t>Serviços enf.</t>
  </si>
  <si>
    <t xml:space="preserve">Exames </t>
  </si>
  <si>
    <t>PLANTA DO ANEXO 5 BANCO DE LEITE</t>
  </si>
  <si>
    <t>RESUMO GERAL DE REVESTIMENTO DE PAREDES</t>
  </si>
  <si>
    <t>SELADOR</t>
  </si>
  <si>
    <t>EMASSAMENTO</t>
  </si>
  <si>
    <t>REVESTIMENTO EXTERNO 01</t>
  </si>
  <si>
    <t>REVESTIMENTO EXTERNO 02</t>
  </si>
  <si>
    <t>Vigar Capela interna</t>
  </si>
  <si>
    <t>Vigar Capela externa</t>
  </si>
  <si>
    <t>Pilar Central</t>
  </si>
  <si>
    <t>Rampa - mureta interna</t>
  </si>
  <si>
    <t>Rampa - mureta externa</t>
  </si>
  <si>
    <t>Espelho D'água interno</t>
  </si>
  <si>
    <t>Espelho D'água externo</t>
  </si>
  <si>
    <t>Câmera Fria</t>
  </si>
  <si>
    <t>Preparo de Cadáveres</t>
  </si>
  <si>
    <t>Espera Familiares</t>
  </si>
  <si>
    <t>WC PNE Masc</t>
  </si>
  <si>
    <t>WC PNE fem</t>
  </si>
  <si>
    <t>Platibanda interno</t>
  </si>
  <si>
    <t>Platibanda externo</t>
  </si>
  <si>
    <t>REVESTIMENTO EXTERNO 03</t>
  </si>
  <si>
    <t>REVESTIMENTO EXTERNO 04</t>
  </si>
  <si>
    <t>REVESTIMENTO EXTERNO 05</t>
  </si>
  <si>
    <t>REVESTIMENTO EXTERNO 06</t>
  </si>
  <si>
    <t>REVESTIMENTO EXTERNO 07</t>
  </si>
  <si>
    <t>Terminal Cx. Eletr.</t>
  </si>
  <si>
    <t>Corredor Primário 01</t>
  </si>
  <si>
    <t>Corredor Primário 02 - Urgência</t>
  </si>
  <si>
    <t>Poço de Iluminação e Ventilação Fechado</t>
  </si>
  <si>
    <t>Duto Ventilação Entrada</t>
  </si>
  <si>
    <t>Duto Ventilação Saída</t>
  </si>
  <si>
    <t>REVESTIMENTO EXTERNO 08 - OESTE</t>
  </si>
  <si>
    <t>REVESTIMENTO EXTERNO 08 - NORTE</t>
  </si>
  <si>
    <t>REVESTIMENTO EXTERNO 08 - LESTE</t>
  </si>
  <si>
    <t>REVESTIMENTO EXTERNO 08 - SUL</t>
  </si>
  <si>
    <t>REVESTIMENTO EXTERNO 09 - OESTE</t>
  </si>
  <si>
    <t>REVESTIMENTO EXTERNO 09 - NORTE</t>
  </si>
  <si>
    <t>REVESTIMENTO EXTERNO 09 - LESTE</t>
  </si>
  <si>
    <t>REVESTIMENTO EXTERNO 09 - SUL</t>
  </si>
  <si>
    <t>REVESTIMENTO EXTERNO 10 - OESTE</t>
  </si>
  <si>
    <t>REVESTIMENTO EXTERNO 10 - NORTE</t>
  </si>
  <si>
    <t>REVESTIMENTO EXTERNO 10 - LESTE</t>
  </si>
  <si>
    <t>REVESTIMENTO EXTERNO 10 - SUL</t>
  </si>
  <si>
    <t>BWC 38</t>
  </si>
  <si>
    <t>BWC 37</t>
  </si>
  <si>
    <t>REVESTIMENTO EXTERNO 11 - OESTE</t>
  </si>
  <si>
    <t>REVESTIMENTO EXTERNO 11 - NORTE</t>
  </si>
  <si>
    <t>REVESTIMENTO EXTERNO 11 - LESTE</t>
  </si>
  <si>
    <t>REVESTIMENTO EXTERNO 11 - SUL</t>
  </si>
  <si>
    <t>REVESTIMENTO EXTERNO 12 - OESTE</t>
  </si>
  <si>
    <t>REVESTIMENTO EXTERNO 13 - NORTE</t>
  </si>
  <si>
    <t>REVESTIMENTO EXTERNO 13 - LESTE</t>
  </si>
  <si>
    <t>REVESTIMENTO EXTERNO 13 - SUL</t>
  </si>
  <si>
    <t>Acervo/Biblioteca</t>
  </si>
  <si>
    <t>Espaço Administrativo/Corredor Secundário</t>
  </si>
  <si>
    <t>REVESTIMENTO EXTERNO 14 - OESTE</t>
  </si>
  <si>
    <t>REVESTIMENTO EXTERNO 14 - NORTE</t>
  </si>
  <si>
    <t>REVESTIMENTO EXTERNO 14 - LESTE</t>
  </si>
  <si>
    <t>REVESTIMENTO EXTERNO 14 - SUL</t>
  </si>
  <si>
    <t>Abrigo de Maquinas + Escada (acesso abrigo máquinas)</t>
  </si>
  <si>
    <t>Duto Ventilação</t>
  </si>
  <si>
    <t>REVESTIMENTO EXTERNO - laterais e posterior</t>
  </si>
  <si>
    <t>REVESTIMENTO EXTERNO - frente</t>
  </si>
  <si>
    <t xml:space="preserve">PINTURA ACRÍLICA </t>
  </si>
  <si>
    <t>PINTURA EPÓXI</t>
  </si>
  <si>
    <t>ENCUNHAMENTO</t>
  </si>
  <si>
    <t>COMP. TOTAL (M)</t>
  </si>
  <si>
    <t>ENCUNHAMENTO:</t>
  </si>
  <si>
    <t>Especificações</t>
  </si>
  <si>
    <t>Tipo</t>
  </si>
  <si>
    <t>Material</t>
  </si>
  <si>
    <t>Dimensões</t>
  </si>
  <si>
    <t>Quantidade</t>
  </si>
  <si>
    <t>Área total</t>
  </si>
  <si>
    <t>Porta com 2 folhas</t>
  </si>
  <si>
    <t>Abrir</t>
  </si>
  <si>
    <t>2,00 x 2,10</t>
  </si>
  <si>
    <t>Porta com 1 folha</t>
  </si>
  <si>
    <t>A definir</t>
  </si>
  <si>
    <t>0,80 x 2,10</t>
  </si>
  <si>
    <t>0,90 x 2,10</t>
  </si>
  <si>
    <t>1,20 x 2,10</t>
  </si>
  <si>
    <t>1,60 x 2,10</t>
  </si>
  <si>
    <t>2,10 x 2,10</t>
  </si>
  <si>
    <t>2,20 x 2,10</t>
  </si>
  <si>
    <t>Corta fogo</t>
  </si>
  <si>
    <t>1,00 x 2,10</t>
  </si>
  <si>
    <t>*</t>
  </si>
  <si>
    <t>Sanfonada</t>
  </si>
  <si>
    <t>PVC</t>
  </si>
  <si>
    <t>0,60 x 1,80</t>
  </si>
  <si>
    <t>0,90 x 1,80</t>
  </si>
  <si>
    <t>0,60 x 2,10</t>
  </si>
  <si>
    <t>Janelas em geral</t>
  </si>
  <si>
    <t>Alumínio e vidro</t>
  </si>
  <si>
    <t>Ver projeto</t>
  </si>
  <si>
    <t>Janelas dos dutos de ventilação</t>
  </si>
  <si>
    <t>Fixo</t>
  </si>
  <si>
    <t>Metálica</t>
  </si>
  <si>
    <t>Divisórias de Vidros</t>
  </si>
  <si>
    <t>Tijolos de vidro</t>
  </si>
  <si>
    <t>GRADIL</t>
  </si>
  <si>
    <t>Abrigo de máquinas</t>
  </si>
  <si>
    <t>Espera/Galeria Interna</t>
  </si>
  <si>
    <t>Posto de Enfermagem/Corredor Secundário</t>
  </si>
  <si>
    <t>J 65</t>
  </si>
  <si>
    <t>J 72</t>
  </si>
  <si>
    <t xml:space="preserve"> Sala Conviv. Pac. Ucinca/Galeria Interna</t>
  </si>
  <si>
    <t>J 49</t>
  </si>
  <si>
    <t>J 40</t>
  </si>
  <si>
    <t>J 41</t>
  </si>
  <si>
    <t>J 88</t>
  </si>
  <si>
    <t>J 89</t>
  </si>
  <si>
    <t>J 90</t>
  </si>
  <si>
    <t>J 91</t>
  </si>
  <si>
    <t>J 92</t>
  </si>
  <si>
    <t>J 67</t>
  </si>
  <si>
    <t>J 99</t>
  </si>
  <si>
    <t>J 100</t>
  </si>
  <si>
    <t>ANEXOS</t>
  </si>
  <si>
    <t>Nº</t>
  </si>
  <si>
    <t xml:space="preserve">CPN </t>
  </si>
  <si>
    <t>P1</t>
  </si>
  <si>
    <t>1.60X2.50</t>
  </si>
  <si>
    <t>ABRIR ( 02 FOLHAS)</t>
  </si>
  <si>
    <t>PORTA EM ALUMINIO E VIDRO</t>
  </si>
  <si>
    <t>P2</t>
  </si>
  <si>
    <t>0.80X2.10</t>
  </si>
  <si>
    <t xml:space="preserve">ABRIR </t>
  </si>
  <si>
    <t>PORTA EM MADEIRA LISA</t>
  </si>
  <si>
    <t>P3</t>
  </si>
  <si>
    <t>1.10X2.10</t>
  </si>
  <si>
    <t>CORRER</t>
  </si>
  <si>
    <t>P4</t>
  </si>
  <si>
    <t>2.00X2.10</t>
  </si>
  <si>
    <t>P5</t>
  </si>
  <si>
    <t>P6</t>
  </si>
  <si>
    <t>0.70X2.10</t>
  </si>
  <si>
    <t>ABRIR</t>
  </si>
  <si>
    <t>P7</t>
  </si>
  <si>
    <t>0.60X2.10</t>
  </si>
  <si>
    <t>P8</t>
  </si>
  <si>
    <t>J1</t>
  </si>
  <si>
    <t>1.50X1.50X1.00</t>
  </si>
  <si>
    <t>CORRER (02FOLHAS)</t>
  </si>
  <si>
    <t>JANELA EM ALUMINIO E VIFRO</t>
  </si>
  <si>
    <t>J2</t>
  </si>
  <si>
    <t>0.70X2.00X0.50</t>
  </si>
  <si>
    <t>J3</t>
  </si>
  <si>
    <t>1.00X0.50X1.60</t>
  </si>
  <si>
    <t>J4</t>
  </si>
  <si>
    <t>0.80X0.80X1.30</t>
  </si>
  <si>
    <t>J5</t>
  </si>
  <si>
    <t>0.90X0.60X1.50</t>
  </si>
  <si>
    <t>J6</t>
  </si>
  <si>
    <t>1.20X1.10X1.00</t>
  </si>
  <si>
    <t>CAPELA ECUMÊNICA</t>
  </si>
  <si>
    <t>1,74X103,86</t>
  </si>
  <si>
    <t>ALUMINIO</t>
  </si>
  <si>
    <t>VAI E VEM ( 02 FOLHAS)</t>
  </si>
  <si>
    <t>1.60X2.10</t>
  </si>
  <si>
    <t>0.90X2.10</t>
  </si>
  <si>
    <t>PORTA EM MADEIRA LISA COM BARRA DE APOIO</t>
  </si>
  <si>
    <t>PORTA EM ALUMINIO</t>
  </si>
  <si>
    <t>1.00X2.10</t>
  </si>
  <si>
    <t>PORTA FRIGORÍFICA EM POLIURETANO</t>
  </si>
  <si>
    <t>3.35X1.10X1.00</t>
  </si>
  <si>
    <t>CORRER ( 04 FOLHAS)</t>
  </si>
  <si>
    <t>5.60X1.10X1.00</t>
  </si>
  <si>
    <t>CORRER ( 08 FOLHAS)</t>
  </si>
  <si>
    <t>1.60X0.50X1.60</t>
  </si>
  <si>
    <t>PIVOTANTE ( 03 FOLHAS)</t>
  </si>
  <si>
    <t>SUBSTAÇÃO</t>
  </si>
  <si>
    <t>0.90X2.50</t>
  </si>
  <si>
    <t>PORTA EM ALUMINIO VENEZIANO</t>
  </si>
  <si>
    <t>2.00X2.50</t>
  </si>
  <si>
    <t>ABRIR ( 02 FOLHAS )</t>
  </si>
  <si>
    <t>PORTA EM GRADE METALICA</t>
  </si>
  <si>
    <t>1.30X2.50</t>
  </si>
  <si>
    <t>G1</t>
  </si>
  <si>
    <t>1.90X2.50</t>
  </si>
  <si>
    <t>CORRER ( 02 FOLHAS )</t>
  </si>
  <si>
    <t>G2</t>
  </si>
  <si>
    <t>3.00X2.50</t>
  </si>
  <si>
    <t>G3</t>
  </si>
  <si>
    <t>4.50X2.50</t>
  </si>
  <si>
    <t>G4</t>
  </si>
  <si>
    <t>5.70X2.50</t>
  </si>
  <si>
    <t>BANCO DE LEITE</t>
  </si>
  <si>
    <t>VAI E VEM (02 FOLHAS)</t>
  </si>
  <si>
    <t>0.9X2.10</t>
  </si>
  <si>
    <t>6.40X1.00X1.10</t>
  </si>
  <si>
    <t>CORRER (08 FOLHAS )</t>
  </si>
  <si>
    <t>3.15X1.00X1.10</t>
  </si>
  <si>
    <t>CORRER (04 FOLHAS )</t>
  </si>
  <si>
    <t>2.50X1.00X1.10</t>
  </si>
  <si>
    <t>2.30X0.50X1.60</t>
  </si>
  <si>
    <t>PIVOTANTE ( 03 FOHAS )</t>
  </si>
  <si>
    <t>1.95X1.00X1.10</t>
  </si>
  <si>
    <t>CORRER (02 FOLHAS )</t>
  </si>
  <si>
    <t>4.00X1.00X1.10</t>
  </si>
  <si>
    <t>CORRER ( 04 FOLHAS )</t>
  </si>
  <si>
    <t>J7</t>
  </si>
  <si>
    <t>2.70X1.10X1.00</t>
  </si>
  <si>
    <t>J8</t>
  </si>
  <si>
    <t>2.25X1.00X1.10</t>
  </si>
  <si>
    <t>J9</t>
  </si>
  <si>
    <t>2.25X0.50X1.60</t>
  </si>
  <si>
    <t>J10</t>
  </si>
  <si>
    <t>4.10X1.10X1.00</t>
  </si>
  <si>
    <t>LIXEIRA</t>
  </si>
  <si>
    <t>PF1</t>
  </si>
  <si>
    <t>ESPECIFICAÇÃO</t>
  </si>
  <si>
    <t>TAMANHO</t>
  </si>
  <si>
    <t>9º PAVIMENTO - HELIPONTO DA MATERNIDADE</t>
  </si>
  <si>
    <t>JANELA EM ALUMINIO E VIDRO</t>
  </si>
  <si>
    <t>GRADE</t>
  </si>
  <si>
    <t>Madeira</t>
  </si>
  <si>
    <t>RESUMO GERAL - ESQUADRIAS</t>
  </si>
  <si>
    <t>RESUMO - PISO</t>
  </si>
  <si>
    <t>PSB</t>
  </si>
  <si>
    <t>PB 1</t>
  </si>
  <si>
    <t>PB 2</t>
  </si>
  <si>
    <t>PB PNE</t>
  </si>
  <si>
    <t>Visor 1</t>
  </si>
  <si>
    <t>Visor 2</t>
  </si>
  <si>
    <t>Visor 3</t>
  </si>
  <si>
    <t>Visor 4</t>
  </si>
  <si>
    <t>V1</t>
  </si>
  <si>
    <t>V2</t>
  </si>
  <si>
    <t>V3</t>
  </si>
  <si>
    <t>V4</t>
  </si>
  <si>
    <t>V5</t>
  </si>
  <si>
    <t>JR1</t>
  </si>
  <si>
    <t>JPNE 1</t>
  </si>
  <si>
    <t>JX1</t>
  </si>
  <si>
    <t>JX2</t>
  </si>
  <si>
    <t>JX3</t>
  </si>
  <si>
    <t>JX4</t>
  </si>
  <si>
    <t>JX5</t>
  </si>
  <si>
    <t>JX6</t>
  </si>
  <si>
    <t>JX7</t>
  </si>
  <si>
    <t>JX8</t>
  </si>
  <si>
    <t>JX9</t>
  </si>
  <si>
    <t>JX10</t>
  </si>
  <si>
    <t>JX11</t>
  </si>
  <si>
    <t>C</t>
  </si>
  <si>
    <t>L</t>
  </si>
  <si>
    <t>UND</t>
  </si>
  <si>
    <t>73910/009</t>
  </si>
  <si>
    <t>73736/001</t>
  </si>
  <si>
    <t>DOBRADICA TIPO VAI E VEM EM LATAO POLIDO 3" - P/ PORTA DE 120X210CM</t>
  </si>
  <si>
    <t>PORTA EM ALUMÍNIO DE ABRIR TIPO VENEZIANA COM GUARNIÇÃO, FIXAÇÃO COM PARAFUSOS - FORNECIMENTO E INSTALAÇÃO. AF_08/2015</t>
  </si>
  <si>
    <t>PORTAS EM MADEIRA</t>
  </si>
  <si>
    <t>PORTAS EM ALUMÍNIO</t>
  </si>
  <si>
    <t>PORTAS EM VIDRO</t>
  </si>
  <si>
    <t>PORTAS EM FERRO</t>
  </si>
  <si>
    <t>PORTA CORTA-FOGO 90X210X4CM - FORNECIMENTO E INSTALAÇÃO. AF_08/2015</t>
  </si>
  <si>
    <t>RESUMO GERAL DE BATE-MACAS</t>
  </si>
  <si>
    <t>BATE-MACAS</t>
  </si>
  <si>
    <t>---------------------------------------------------------------</t>
  </si>
  <si>
    <t xml:space="preserve">TOTAL </t>
  </si>
  <si>
    <t>COMPRIMENTO (M)</t>
  </si>
  <si>
    <t>SUBTOTAL</t>
  </si>
  <si>
    <t>Galeria Interna/Hall Saída</t>
  </si>
  <si>
    <t>Corredor Primário - Urgência</t>
  </si>
  <si>
    <t>Corredor Primário 02</t>
  </si>
  <si>
    <t>Galeria Interna/Espera</t>
  </si>
  <si>
    <t>Corredor Secundário 02</t>
  </si>
  <si>
    <t>Área de Deambulação</t>
  </si>
  <si>
    <t>Hall Acesso 01</t>
  </si>
  <si>
    <t>Hall Acesso 02</t>
  </si>
  <si>
    <t>Uninco - 30 Leitos</t>
  </si>
  <si>
    <t>Uninco - 15 Leitos</t>
  </si>
  <si>
    <t>Posto de Efrmagem</t>
  </si>
  <si>
    <t>UTI Adulto - 20 Leitos</t>
  </si>
  <si>
    <t>ACESSÓRIOS</t>
  </si>
  <si>
    <t>FECHADURA DE EMBUTIR COM CILINDRO, EXTERNA, COMPLETA, ACABAMENTO PADRÃO MÉDIO, INCLUSO EXECUÇÃO DE FURO - FORNECIMENTO E INSTALAÇÃO. AF_08/2015</t>
  </si>
  <si>
    <t>REVESTIMENTO EM LAMINADO MELAMINICO TEXTURIZADO, ESPESSURA 0,8 MM, FIXADO COM COLA</t>
  </si>
  <si>
    <t>VISOR PLUMBÍFERO, COM MOLDURA DE 100 X 60 CM, ESP: 60MM</t>
  </si>
  <si>
    <t>MARQUISES</t>
  </si>
  <si>
    <t>HELIPONTO</t>
  </si>
  <si>
    <t>ENTRADA MATERNIDADE - FACES</t>
  </si>
  <si>
    <t>ENTRADA MATERNIDADE - FORRO</t>
  </si>
  <si>
    <t>C2222</t>
  </si>
  <si>
    <t>REVESTIMENTO EM ACM (MARQUISES), CONFORME DETALHAMENTO EM PROJETO -  FORNECIMENTO E INSTALAÇÃO</t>
  </si>
  <si>
    <t>marquise</t>
  </si>
  <si>
    <t>TOTAL &gt;</t>
  </si>
  <si>
    <t>Subsolo - Estacionamento</t>
  </si>
  <si>
    <t>Subsolo - Áreas Principais</t>
  </si>
  <si>
    <t>Local</t>
  </si>
  <si>
    <t>Instalações</t>
  </si>
  <si>
    <t>Hidráulicas</t>
  </si>
  <si>
    <t>Sanitárias</t>
  </si>
  <si>
    <t>Alarme, Detecção e Combate a Incêndio</t>
  </si>
  <si>
    <t>Gases Medicinais</t>
  </si>
  <si>
    <t>Climatização</t>
  </si>
  <si>
    <t>Sistema de Detecção de Alarme de incêndio</t>
  </si>
  <si>
    <t>PLANTA BAIXA DO SUB SOLO</t>
  </si>
  <si>
    <t>Mictorio</t>
  </si>
  <si>
    <t>Divisória de Granito (m²)</t>
  </si>
  <si>
    <t>Lavatório de inox</t>
  </si>
  <si>
    <t>Guarda Corpo de Vidro (m)</t>
  </si>
  <si>
    <t>Utin</t>
  </si>
  <si>
    <t>PLANTA BAIXA DO 4º PAVIMENTO</t>
  </si>
  <si>
    <t xml:space="preserve"> Salas de  Repouso</t>
  </si>
  <si>
    <t>UTI adulto 20 leitos</t>
  </si>
  <si>
    <t>Ambulatório 01</t>
  </si>
  <si>
    <t>Ambulatório 02</t>
  </si>
  <si>
    <t>Ambulatório 03</t>
  </si>
  <si>
    <t>Ambulatório 04</t>
  </si>
  <si>
    <t>Ambulatório 05</t>
  </si>
  <si>
    <t>Ambulatório 06</t>
  </si>
  <si>
    <t>Ambulatório 07</t>
  </si>
  <si>
    <t>Ambulatório 08</t>
  </si>
  <si>
    <t>Ambulatório 09</t>
  </si>
  <si>
    <t>WC PNE Fem 01</t>
  </si>
  <si>
    <t>WC PNE Mas 01</t>
  </si>
  <si>
    <t>2Laboratório</t>
  </si>
  <si>
    <t>2UTI Isolada</t>
  </si>
  <si>
    <t>2BWC PNE</t>
  </si>
  <si>
    <t>Hemoterapia/ Hematologia</t>
  </si>
  <si>
    <t>Posto de enfermagem</t>
  </si>
  <si>
    <t>Planta baixa 9 pavimento</t>
  </si>
  <si>
    <t>Planta de cobertura</t>
  </si>
  <si>
    <t>Cuba de Embutir - louça</t>
  </si>
  <si>
    <t>Cuba de Sobrepor - louça</t>
  </si>
  <si>
    <t>Cuba de inox</t>
  </si>
  <si>
    <t>Torneira pia</t>
  </si>
  <si>
    <t>Torneira lavatório</t>
  </si>
  <si>
    <t>Engate Flexivel</t>
  </si>
  <si>
    <t>Sifão</t>
  </si>
  <si>
    <t>Válvula cromada</t>
  </si>
  <si>
    <t>CHUVEIRO ELETRICO COMUM CORPO PLASTICO TIPO DUCHA, FORNECIMENTO E INSTALACAO</t>
  </si>
  <si>
    <t>DIVISORIA EM GRANITO CINZA, ESP = 3CM, ASSENTADO COM ARGAMASSA TRACO 1:4, ARREMATE EM CIMENTO BRANCO, EXCLUSIVE FERRAGENS</t>
  </si>
  <si>
    <t>Bancadas: fator p/ bordas, espelhos e encaixe na parede:</t>
  </si>
  <si>
    <t>PLANTIO DE GRAMA</t>
  </si>
  <si>
    <t>Jardim da Capela</t>
  </si>
  <si>
    <t>Jardineira</t>
  </si>
  <si>
    <t>Frente</t>
  </si>
  <si>
    <t>Lateral Norte</t>
  </si>
  <si>
    <t>Lateral Sul</t>
  </si>
  <si>
    <t>Posterior</t>
  </si>
  <si>
    <t>PLANTIO DE ARBUSTO COM ALTURA 50 A 100 CM</t>
  </si>
  <si>
    <t>PLANTIO DE ARBUSTO COM ALTURA MAIOR QUE 1,00 M</t>
  </si>
  <si>
    <t>PLANTIO DE ARBUSTO COM ALTURA MAIOR QUE 2,00 M</t>
  </si>
  <si>
    <t>MEIO FIO</t>
  </si>
  <si>
    <t>PINTURA VAGA ESTACIONAMENTO</t>
  </si>
  <si>
    <t>Parametrização</t>
  </si>
  <si>
    <t>BANCADAS EM GRANITO CINZA - COLOCADO</t>
  </si>
  <si>
    <t>Cuba de semi-encaixe, dim. 49 x 40cm, INCEPA, linha ocean pacific, ref. 63027 ou siimilar, exclusive sifão, engate, válvula e torneira</t>
  </si>
  <si>
    <t>SARJETA</t>
  </si>
  <si>
    <t xml:space="preserve">CALÇADA </t>
  </si>
  <si>
    <t>BANCO CONCRETO</t>
  </si>
  <si>
    <t>BANCO DE CONCRETO</t>
  </si>
  <si>
    <t>PRAÇA</t>
  </si>
  <si>
    <t>ENTRADA</t>
  </si>
  <si>
    <t>Banco de concreto em alvenaria de tijolos, assento em concreto armado, sem encosto, pintado com tinta acrílica, 2 demãos</t>
  </si>
  <si>
    <t>PISO EM CONCRETO , PREPARO MECÂNICO, ESPESSURA 7CM, COM JUNTA DE DILATAÇÃO EM MADEIRA, INCLUSO LANÇAMENTO E ADENSAMENTO - EXTERNO: ESTACIONAMENTO E CALÇADA</t>
  </si>
  <si>
    <t>PISO EXTERNO</t>
  </si>
  <si>
    <t>ÁREA DE IMPERMEABILIZAÇÃO</t>
  </si>
  <si>
    <t>CALÇADA</t>
  </si>
  <si>
    <t>DEMAIS ÁREAS</t>
  </si>
  <si>
    <t>CIMENTADO</t>
  </si>
  <si>
    <t>TOTAL DE AMBIENTES:</t>
  </si>
  <si>
    <t>CLARABÓIA</t>
  </si>
  <si>
    <t>JARDIM</t>
  </si>
  <si>
    <t>CLARABÓIA EM CHAPA DE POLICARBONATO, COR CRISTAL, PARA ILUMINAÇÃO E VENTILAÇÃO DO SUBSOLO</t>
  </si>
  <si>
    <t>DEMOLIÇÕES E RETIRADAS DE PRÉDIOS EXISTENTES</t>
  </si>
  <si>
    <t>DEMOLIÇÕES DE CONSTRUÇÕES EM ALVENARIA</t>
  </si>
  <si>
    <t>DEMOLIÇÃO DE MURO EM ALVENARIA H = 2,00M</t>
  </si>
  <si>
    <t>ELABORAÇÃO DE  PCMAT / PCMSO</t>
  </si>
  <si>
    <t>ESCAVACAO MANUAL VALA/CAVA MAT 1A CAT ATE 1,5M PARA FUNDAÇOES SUPERFICIAIS - SAPATAS, CINTAS E FUNDAÇÃO DA CORTINA</t>
  </si>
  <si>
    <t>REATERRO APILOADO - FUNDAÇÕES EM SAPATAS, CINTAMENTO E CORTINA</t>
  </si>
  <si>
    <t>FORMA DE MADEIRA EM TÁBUAS PARA FUNDAÇÕES UTILIZAÇÃO 5X</t>
  </si>
  <si>
    <t>CINTAMENTO DE TRAVAMENTO DOS PILARES</t>
  </si>
  <si>
    <t>CORTINA DO SUBSOLO</t>
  </si>
  <si>
    <t>TOTAL DEMOLIÇÕES E RETIRADAS DE PRÉDIOS EXISTENTES</t>
  </si>
  <si>
    <t>TOTAL CORTINA DO SUBSOLO</t>
  </si>
  <si>
    <t>LEVANTAMENTO PLANIALTIMÉTRICO DE ÁREAS - EXCEDENTE A 10.000M2</t>
  </si>
  <si>
    <t>M2</t>
  </si>
  <si>
    <t>UN</t>
  </si>
  <si>
    <t>DESLOCAMENTO DE EQUIPAMENTO ENTRE FUROS EM TERRENO PLANO, CONSIDERANDO A DISTÂNCIA ATÉ 100M, PARA SONDAGEM A PERCUSSÃO</t>
  </si>
  <si>
    <t xml:space="preserve">M </t>
  </si>
  <si>
    <t>73804/001</t>
  </si>
  <si>
    <t>73775/001</t>
  </si>
  <si>
    <t>73775/002</t>
  </si>
  <si>
    <t>ELEVADOR DE OBRA COM TORRE DE *2,00 X 2,00* M, ALTURA DE 50 M, CARGA MAXIMA IGUAL A 1500 KG, CABINESEMI-FECHADA PARA MATERIAL, COM GUINCHO DE CORRENTE E ENGRENAGEM E MOTOR ELETRICO TRIFASICO DE 10 CV (LOCACAO)</t>
  </si>
  <si>
    <t>73843/001</t>
  </si>
  <si>
    <t>MURO DE ARRIMO DE CONCRETO CICLOPICO COM 30% DE PEDRA DE MAO</t>
  </si>
  <si>
    <t>PROTECAO MECANICA DE SUPERFICIE COM ARGAMASSA DE CIMENTO E AREIA, TRAC1:4, E=2 CM - SISTEMA DE IMPERMEABILIZAÇÃO COM PRESSÃO POSITIVA.</t>
  </si>
  <si>
    <t>79517/001</t>
  </si>
  <si>
    <t>ESCAVACAO PARA EXECUÇÃO DO SUBSOLO  - ESCAVACAO E CARGA MATERIAL 1A CATEGORIA, UTILIZANDO TRATOR DE ESTEIRAS DE 110 A 160HP COM LAMINA, PESO OPERACIONAL * 13T E PA CARREGADEIRA COM 170 HP.</t>
  </si>
  <si>
    <t>74151/001</t>
  </si>
  <si>
    <t>ARMAÇÃO DE FUNDAÇÕES E ESTRUTURAS DE CONCRETO ARMADO, EXCETO VIGAS, PILARES E LAJES (DE EDIFÍCIOS DE MÚLTIPLOS PAVIMENTOS, EDIFICAÇÃO TÉRREA OU SOBRADO), UTILIZANDO AÇO CA-50 DE 10.0 MM - MONTAGEM. AF_12/2015</t>
  </si>
  <si>
    <t>TOTAL FUNDAÇÃO EM SAPATAS</t>
  </si>
  <si>
    <t>73960/001</t>
  </si>
  <si>
    <t>INSTAL/LIGACAO PROVISORIA ELETRICA BAIXA TENSAO P/CANT OBRA           OBRA,M3-CHAVE 100A CARGA 3KWH,20CV EXCL FORN MEDIDOR</t>
  </si>
  <si>
    <t>SEINFRA-CE</t>
  </si>
  <si>
    <t>LIGAÇÃO PROVISÓRIA DE ÁGUA E SANITÁRIO</t>
  </si>
  <si>
    <t>MAQUINA DE CORTAR ACO TIPO SOGEMAT OU EQUIV (MANUAL)</t>
  </si>
  <si>
    <t>CARGA E DESCARGA MECANIZADAS DE ENTULHO EM CAMINHAO BASCULANTE 6 M3</t>
  </si>
  <si>
    <t>MONTAGEM E DESMONTAGEM DE FÔRMA DE VIGA, ESCORAMENTO METÁLICO, PÉ-DIREITO DUPLO, EM CHAPA DE MADEIRA PLASTIFICADA, 10 UTILIZAÇÕES. AF_12/2015</t>
  </si>
  <si>
    <t>ARMAÇÃO DE LAJE DE UMA ESTRUTURA CONVENCIONAL DE CONCRETO ARMADO EM UM EDIFÍCIO DE MÚLTIPLOS PAVIMENTOS UTILIZANDO AÇO CA-50 DE 10.0 MM - MONTAGEM. AF_12/2015_P</t>
  </si>
  <si>
    <t>ARMAÇÃO DE LAJE DE UMA ESTRUTURA CONVENCIONAL DE CONCRETO ARMADO EM UM EDIFÍCIO DE MÚLTIPLOS PAVIMENTOS UTILIZANDO AÇO CA-50 DE 8.0 MM - MONTAGEM. AF_12/2015_P</t>
  </si>
  <si>
    <t>CINTAMENTO EM CONCRETO NA ALTURA DE PORTAS E JANELAS - H=2,10M</t>
  </si>
  <si>
    <t>PROJETOS EXECUTIVOS DE INSTALAÇÕES ELÉTRICAS DE BAIXA TENSÃO E/OU ALTA TENSAO, LUMINOTÉCNICO E SPDA (SISTEMAS DE PROTEÇÃO CONTRA DESCARGAS ATMOSFÉRICAS), SUBESTAÇÃO ABRIGADA</t>
  </si>
  <si>
    <t>ESTUDOS E PROJETOS DE INSTALAÇÕES ELETRÔNICAS, INSTALAÇÕES DE CABEAMENTO ESTRUTURADO (VOZ, DADOS E IMAGEM)/ REDE ESTABILIZADA POR  EQUIPAMENTOS NO BREAK/ CFTV/ CATV, MONITORAMENTO CARDÍACO, CHAMADA DE ENFERMEIRAS/ SISTEMAS DE CONTROLE/ IT MÉDICO</t>
  </si>
  <si>
    <t>PROJETO EXECUTIVO INSTALAÇÕES MECÂNICAS/AR CONDICIONADO CENTRAL, SISTEMAS DE VENTILAÇÃO FORÇADA E EXAUSTÃO MECÂNICA, SISTEMA DE FILTRAGEM DE AR NAS ÁREAS CRÍTICAS, AUTOMAÇÃO DO SISTEMA DE AR-CONDICIONADO</t>
  </si>
  <si>
    <t>MANTA VÍNILICA</t>
  </si>
  <si>
    <t>MANTA CONDUTIVA</t>
  </si>
  <si>
    <t>1.6.4</t>
  </si>
  <si>
    <t>1.6.5</t>
  </si>
  <si>
    <t>1.6.6</t>
  </si>
  <si>
    <t>1.6.7</t>
  </si>
  <si>
    <t>1.7</t>
  </si>
  <si>
    <t>1.7.1</t>
  </si>
  <si>
    <t>1.7.2</t>
  </si>
  <si>
    <t>1.7.3</t>
  </si>
  <si>
    <t>1.7.4</t>
  </si>
  <si>
    <t>1.8</t>
  </si>
  <si>
    <t>1.8.1</t>
  </si>
  <si>
    <t>1.8.2</t>
  </si>
  <si>
    <t>1.8.3</t>
  </si>
  <si>
    <t>1.8.4</t>
  </si>
  <si>
    <t>1.8.5</t>
  </si>
  <si>
    <t>1.8.6</t>
  </si>
  <si>
    <t>1.8.7</t>
  </si>
  <si>
    <t>1.8.8</t>
  </si>
  <si>
    <t>1.8.9</t>
  </si>
  <si>
    <t>1.9</t>
  </si>
  <si>
    <t>PROJETOS DE AS BUILT</t>
  </si>
  <si>
    <t>PORTA CORTA-FOGO 200X210X4CM 2F- FORNECIMENTO E INSTALAÇÃO. AF_08/2016</t>
  </si>
  <si>
    <t>74139/002</t>
  </si>
  <si>
    <t>TARJETA TIPO LIVRE/OCUPADO PARA PORTA DE BANHEIRO</t>
  </si>
  <si>
    <t>74046/002</t>
  </si>
  <si>
    <t>4.2.20</t>
  </si>
  <si>
    <t>H</t>
  </si>
  <si>
    <t>Prego polido com cabeca 18 x 27</t>
  </si>
  <si>
    <t>KG</t>
  </si>
  <si>
    <t>Cola contato p/ chapa vinílica/borracha</t>
  </si>
  <si>
    <t>Ripa de imbuia 3,5 x 1,5 cm</t>
  </si>
  <si>
    <t>Guarnição em padrão imbuia  tipo meia moldura  3 cm</t>
  </si>
  <si>
    <t>Ajudante de carpinteiro com encargos</t>
  </si>
  <si>
    <t>Carpinteiro de ESQUADRIAS com encargos</t>
  </si>
  <si>
    <t>Vidro liso incolor 4mm  sem colocacao</t>
  </si>
  <si>
    <t>VISOR FIXO COM VIDRO E REQUADRO DE MADEIRA PARA PORTA - 40X90CM</t>
  </si>
  <si>
    <t>4.2.21</t>
  </si>
  <si>
    <t>4.2.22</t>
  </si>
  <si>
    <t>OBRA: NOVA MATERNIDADE ESTADUAL DE REFERÊNCIA</t>
  </si>
  <si>
    <t>ENDEREÇO: Avenida Presidente Kennedy esquina com Rua Valdemar Martins, Bairro São Cristóvão, Teresina Piauí</t>
  </si>
  <si>
    <r>
      <rPr>
        <b/>
        <sz val="12"/>
        <rFont val="Arial Narrow"/>
        <family val="2"/>
      </rPr>
      <t>ÁREA DO TERRENO:</t>
    </r>
    <r>
      <rPr>
        <sz val="12"/>
        <rFont val="Arial Narrow"/>
        <family val="2"/>
      </rPr>
      <t xml:space="preserve"> 13.389,40 M2;  </t>
    </r>
    <r>
      <rPr>
        <b/>
        <sz val="12"/>
        <rFont val="Arial Narrow"/>
        <family val="2"/>
      </rPr>
      <t>ÁREA CONSTRUÍDA:</t>
    </r>
    <r>
      <rPr>
        <sz val="12"/>
        <rFont val="Arial Narrow"/>
        <family val="2"/>
      </rPr>
      <t xml:space="preserve"> 33.482,29 M2;  </t>
    </r>
    <r>
      <rPr>
        <b/>
        <sz val="12"/>
        <rFont val="Arial Narrow"/>
        <family val="2"/>
      </rPr>
      <t xml:space="preserve">PRAZO DA OBRA: </t>
    </r>
    <r>
      <rPr>
        <sz val="12"/>
        <rFont val="Arial Narrow"/>
        <family val="2"/>
      </rPr>
      <t>06 MESES PARA PROJETOS E 30 MESES PARA CONSTRUÇÃO</t>
    </r>
  </si>
  <si>
    <t>Metragem da área construída que serão servidas por instalações de gases. CME (área de preparo e expurgo); Setor de nutrição e dietético; Laboratório; Centro Cirúgico, UTIs, UCIs, Sala de Inalação, Internação.(áreas do pavimento térreo ao 8º pavimento)</t>
  </si>
  <si>
    <t xml:space="preserve"> SUBESTAÇÃO ABRIGADA 2000KVA</t>
  </si>
  <si>
    <t>2 ensaios por dia (Total de 42 ensaios no mês) x 15 meses de obra (período com concretagem significativa)</t>
  </si>
  <si>
    <t>Conferência da Rc nos 15 primeiros meses. 6 dosagens por mês com rompimento de testemunhos com 7,14 e 21 dias de idade.</t>
  </si>
  <si>
    <t>Conferência da Resistência à Tração nos 15 primeiros meses. Apenas 3 dosagens por mês com rompimento de testemunhos com 21 dias de idade.</t>
  </si>
  <si>
    <t>Conferência do Módulo nos 15 primeiros meses. Apenas 3 dosagens por mês com ensaios nos testemunhos com 7,14 e 21 dias de idade.</t>
  </si>
  <si>
    <t xml:space="preserve">Previsão de plotagem de 8 jogos de pranchas formato A1 (estimativa de 255 pranchas - engloba todos os projetos) </t>
  </si>
  <si>
    <t xml:space="preserve">Fechamento de todo o perímetro da obra ( perímetro 481,68 m) x com chapas de 2,10m de altura. </t>
  </si>
  <si>
    <t>Previsão: 2 escritório de 5m x 6m; local para guarda de cimento de 5m x 15m; local para guarda de materiais diversos de 5m x 10m e almoxarifado; Refeitório e instalações de apoio aos operários de 6m x 15m.</t>
  </si>
  <si>
    <t>Dimensões da placa 4,0 m por 2,50m - 2 unidades</t>
  </si>
  <si>
    <t>Locação do subsolo = A = 8.543,27 m2</t>
  </si>
  <si>
    <t>LOCACAO DA OBRA, COM USO DE EQUIPAMENTOS TOPOGRAFICOS, INCLUSIVE NIVELADOR - PAVIMENTO TÉRREO</t>
  </si>
  <si>
    <t xml:space="preserve"> =</t>
  </si>
  <si>
    <t>Locação dos prédios anexos: capela (113,09m²); cpn (403,87m²); banco de leite/almoxarifado (510,51m²); central de resíduos (171,36m²); subestação/grupo gerador (367,70m²);velório (127,69m²)</t>
  </si>
  <si>
    <t>LOCACAO DA OBRA, POR TRANSFERÊNCIA DOS EIXOS DE LOCAÇÃO, PAVIMENTO TÉRREO E   PAVIMENTOS SUPERIORES</t>
  </si>
  <si>
    <t xml:space="preserve"> +</t>
  </si>
  <si>
    <t xml:space="preserve">Áreas: Área da edificação hospitalar Pav. Térreo: 2.236,56 m² ;  Área da edificação hospitalar Pav. 2º AO 8º = 8 x 2.236,56 m² ;  PAVIMENTO TÉCNICO (701,07 m² ); HELIPONTO (313,29 m² );  </t>
  </si>
  <si>
    <t>LOCAÇÃO DO ESTACIONAMENTO/ ARRUAMENTOS/ URBANIZAÇÃO</t>
  </si>
  <si>
    <t xml:space="preserve"> -</t>
  </si>
  <si>
    <t>ÁREA DO TERRENO DESCONTADA (13.957,65m²)AS ÁREAS CONSTRUÍDAS DO PAVIMENTO TÉRREO (3.648,96m²)</t>
  </si>
  <si>
    <t>LOCACAO MENSAL DE ANDAIME METALICO, INCLUSIVE MONTAGEM</t>
  </si>
  <si>
    <t>Estimativa de locação de 450 m² de andaime por mês. Utilização de andaimes por 20 meses (não considerado 10 meses de obra referente a execução de fundações o obras térreas)</t>
  </si>
  <si>
    <t>Estimativa de locação de 1 Elevador de obra por mês ao longo de 24 meses de obra (contabilizando 220 horas mensais de locação). Não foi considerado 3 meses de obra referente a execução de fundações o obras térreas.</t>
  </si>
  <si>
    <t>ELEVADOR DE OBRA COM TORRE DE *2,00 X 2,00* M, ALTURA DE 50 M, CARGA MAXIMA IGUAL A 1500 KG, CABINE FECHADA PARA PASSAGEIROS, COM GUINCHO DE CORRENTE E ENGRENAGEM E MOTOR ELETRICO TRIFASICO DE 10 CV (LOCACAO)</t>
  </si>
  <si>
    <t>DEMOLIÇÕES E RETIRADAS</t>
  </si>
  <si>
    <t>DEMOLIÇÕES DE CONSTRUÇÕES</t>
  </si>
  <si>
    <t>CLUBE</t>
  </si>
  <si>
    <t xml:space="preserve"> X</t>
  </si>
  <si>
    <t>ÁREA DE CONSTRUÇÃO DO CLUBE EM ALVENARIA E COBERTURA COM TELHA CERÂMICA</t>
  </si>
  <si>
    <t>PISCINA ADULTA</t>
  </si>
  <si>
    <t>ÁREA DE PROJEÇÃO DA PISCINA INFANTIL</t>
  </si>
  <si>
    <t>PISCINA INFANTIL</t>
  </si>
  <si>
    <t>ÁREA DE PROJEÇÃO DA PISCINA ADULTA</t>
  </si>
  <si>
    <t>QUADRA ESPORTIVA</t>
  </si>
  <si>
    <t>ÁREA DE PROJEÇÃO DA QUADRA DESCOBERTA</t>
  </si>
  <si>
    <t>DEPÓSITOS</t>
  </si>
  <si>
    <t>ÁREA DE PROJEÇÃO DOS DEPÓSITOS</t>
  </si>
  <si>
    <t>CASA</t>
  </si>
  <si>
    <t>ÁREA DE PROJEÇÃO DA CASA DO VIGIA</t>
  </si>
  <si>
    <t>DEMOLIÇÃO DE MURO ALVENARIA H=2,00M</t>
  </si>
  <si>
    <t>MURO AV. PRESIDENTE KENNEDY (91,37M) E RUA VALDEMAR MARTINS (138,36M)</t>
  </si>
  <si>
    <t>RETIRADA DE ENTULHOS</t>
  </si>
  <si>
    <t xml:space="preserve"> x</t>
  </si>
  <si>
    <t>DEMOLIÇÃO DAS CONSTRUÇÕES EXISTENTES</t>
  </si>
  <si>
    <t>MURO</t>
  </si>
  <si>
    <t>Conforme ATO NORMATIVO CREA-PI 05-89 (art. 1º) - Minimo de 60 horas/mês = 18 meses x 60 horas</t>
  </si>
  <si>
    <t>Conforme ATO NORMATIVO CREA-PI 05-89 (art. 1º) - Minimo de 60 horas/mês = 30 meses x 60 horas</t>
  </si>
  <si>
    <t>30 meses x 220 horas x  1 Profissional</t>
  </si>
  <si>
    <t>30 meses x 220 horas x 2 Encarregados</t>
  </si>
  <si>
    <t>30 meses x 220 horas x 2 Estagiarios</t>
  </si>
  <si>
    <t>30 meses x 220 horas x 2 Profissionais (01 Apontador + 01 Almoxarife)</t>
  </si>
  <si>
    <t>Média de 100 trabalhadores x 22 dias uteis/mês x 30 meses</t>
  </si>
  <si>
    <t>Média de 100 trabalhadores x 22 dias uteis/mês x 2 vales/dia x 30 meses</t>
  </si>
  <si>
    <t>30 meses x 300m³ consumo mês</t>
  </si>
  <si>
    <t>30 meses x 180m³ consumo mês</t>
  </si>
  <si>
    <t>30 meses x 5.000 Kwh mês</t>
  </si>
  <si>
    <t>Estimado 2 cm por m² de área construída, ou seja, 26.881,36x0,02</t>
  </si>
  <si>
    <t>(Perímetro das paredes externas) x 8 pavimentos x altura da tela de 1,20, ou seja, 204,54m x 8,00x1,20</t>
  </si>
  <si>
    <t>ESCAVACAO INTERNA PARA EXECUÇÃO DO SUBSOLO DA OBRA E TRANSPORTE DE MATERIAL DE 2A CAT DMT 50M COM TRATOR SOBRE ESTEIRAS 305 HP COM LAMINA E ESCARIFICADOR</t>
  </si>
  <si>
    <t>Retirado através de 6 cortes feitos na obra através do autocad levando-se em consideração o nível acabado da obra e curvas de nível. Calculado as áreas dos cortes pelo autocad, obtivemos os volumes pela multiplicação das áreas pela distância média entre as seções (10, 20, 20, 20, 20, 5,5 metros). Nos seis cortes, obtivemos valores de área de 711,65 m², 527,61 m², 483,38 m², 366,84 m², 279,67 m² e 333,42 m². Após as multiplicações  obtivemos o volume de 40.701 m³.</t>
  </si>
  <si>
    <t xml:space="preserve">Cortes e escavações menos aterros com 25% de compactação. Considerado 30 % de empolamento, dist 8 km bota fora. </t>
  </si>
  <si>
    <t>Aterro da área de circulação no contorno do terreno - lado interno - A = 2772 m2, Altura média de 60cm.</t>
  </si>
  <si>
    <t>volume de material transportado</t>
  </si>
  <si>
    <t xml:space="preserve">Médidas: 61,00 m - borda do estacionamento para a av. pres. Kennedy - 107, m - lateral da rua interna - conteção entre o subsolo e  a calçada - altura do muro - média - 1,00m </t>
  </si>
  <si>
    <t xml:space="preserve">Mesma área de impermeabilização </t>
  </si>
  <si>
    <t>ESCAVACAO MANUAL VALA - BASE DA CORTINA DO SUBSOLO - PRF. 50CM; LARG = 1,00M</t>
  </si>
  <si>
    <t xml:space="preserve">COMPRIMENTO DA CORTINA DO SUBSOLO = </t>
  </si>
  <si>
    <t>REATERRO APILOADO PARA ÁREA DAS FUNDAÇÕES</t>
  </si>
  <si>
    <t>REATERRO - ESCAVAÇÃO PARA FUNDAÇÕES - VOLUME CONCRETO FUNDAÇÃO DA CORTINA (0,20M3/MX383,05M)</t>
  </si>
  <si>
    <t>Comprimento linear total de vigas baldrames = 1442,63m. Largura da escavação para execução da baldrame de 0,30 m. Fundo da escavação a ser apiloada =&gt; 1442,63m x 0,40 m = 1.616,55m² - Apiloamento do fundo das sapatas - 239 un x 1,00 x 1,00 + 100un x  2,00 x 2,00 = 639m2</t>
  </si>
  <si>
    <t>CONCRETO MAGRO PARA REGULARIZAÇÃO DE BASE - E=5CM</t>
  </si>
  <si>
    <t>área da base da cortina (1,00m) multiplicado pelo comprimento da cortina e pela espessura da camada - 5cm</t>
  </si>
  <si>
    <t>Comprimento da cortina = 383,05m - altura - 5,00m (4,50m pé-direito + 0,50m fundação) - largura da fundação = 50cm - espessura da cortina - 15 cm - forma = 5,00 x 2 = 10,00m2</t>
  </si>
  <si>
    <t>Estimativa de 65g de aço CA 50 com bitolas entre 6,3 (1/4") À 12,5MM(1/2") por m³ de concreto</t>
  </si>
  <si>
    <t>ESCAVACAO MANUAL CAMPO ABERTO P/SAPATAS -PILARES SUBSOLO (PARA TODAS AS PROFUNDIDADES) - HM = 1,50M</t>
  </si>
  <si>
    <t>Soma da escavação de 239 pilares do subsolo - sapatas de 100x100cm profundidade 1,50m;</t>
  </si>
  <si>
    <t>ESCAVACAO MANUAL CAMPO ABERTO P/SAPATAS -PILARES PRÉDIO PRINCIPAL (PARA TODAS AS PROFUNDIDADES) - HM = 2,50M</t>
  </si>
  <si>
    <t>Considerando o laudo de sondagem a percussão, o solo foi classificado como impenetrável na faixa entre 4 e 5 m; portanto uma base de 2,00 x 2,00m. Adotando-se a estimativa de 90 SAPATAS</t>
  </si>
  <si>
    <t>FORMA PARA FUNDACAO EM SAPATA - TÁBUAS  -  SAPATAS - 1,00x1,00M E 2,00 X2,00m</t>
  </si>
  <si>
    <t>Sapatas 1,00x1,00m - 0,30x1,00x4 = 1,20m²;
Sapatas 2,00x2,00m - 0,40x2,00x4 = 3,20m²</t>
  </si>
  <si>
    <t>M³</t>
  </si>
  <si>
    <t>Sapatas 1,00x1,00m = (1,00 X 1,00) X (0,30 + 0,40/2) = 0,50m³
Sapatas 2,00x2,00m =  (2,00 X 2,00) X (0,40+0,80/2) =  3,20m³</t>
  </si>
  <si>
    <t>CONSIDERADO 45kG DE AÇO POR M3 DE CONCRETO PARA AS SAPATAS</t>
  </si>
  <si>
    <t>CINTAMENTO</t>
  </si>
  <si>
    <t>ESCAVAÇÃO MANUAL PARA CINTAS DE TRAVAMENTO DOS PILARES ESTACIONAMENTO - LARG - 30CM - PROF- 50CM</t>
  </si>
  <si>
    <t>TRAVAMENTO DE TODOS OS PILARES DA ÁREA DE GARAGEM DO SUBSOLO COM CINTA DE 20X40CM - ESCAVAÇÃO DE 30X50CM</t>
  </si>
  <si>
    <t>ESCAVAÇÃO MANUAL PARA CINTAS DE TRAVAMENTO DO PREDIO - LARG - 30CM - PROF- 60CM</t>
  </si>
  <si>
    <t>TRAVAMENTO DE TODOS OS PILARES DA ÁREA DO PRÉDIO COM CINTA DE 20X50CM - ESCAVAÇÃO DE 30X60CM</t>
  </si>
  <si>
    <t>COMPRIMENTO DO CINTAMENTO MULTIPLICADO PELA ÁREA DE BASE E MULTIPLICADO PELA ESPESSURA DA CAMADA - 5CM</t>
  </si>
  <si>
    <t>FORMA PARA FUNDACAO E BALDRAME DE MADEIRA COMPENSADA RESINADA 21 MM, PARA ESTRUTURAS DE CONCRETO. - CINTAS ESTACIONAMENTO - 20X40CM</t>
  </si>
  <si>
    <t>FORMA PARA FUNDACAO E BALDRAME DE MADEIRA COMPENSADA RESINADA 21 MM, PARA ESTRUTURAS DE CONCRETO. - CINTAS PRÉDIO - 20X50CM</t>
  </si>
  <si>
    <t xml:space="preserve"> X </t>
  </si>
  <si>
    <t>COMPRIMENTO DA CORTINA MULTIPLICADO PELA ALTURA (H = 4,30M) - DOIS LADOS</t>
  </si>
  <si>
    <r>
      <t xml:space="preserve">Volume dos pilares estimados: </t>
    </r>
    <r>
      <rPr>
        <b/>
        <sz val="11.5"/>
        <rFont val="Arial Narrow"/>
        <family val="2"/>
      </rPr>
      <t xml:space="preserve">Pilares da edificação: </t>
    </r>
    <r>
      <rPr>
        <sz val="11.5"/>
        <rFont val="Arial Narrow"/>
        <family val="2"/>
      </rPr>
      <t xml:space="preserve">100x47,50x((0,30*0,9).   </t>
    </r>
    <r>
      <rPr>
        <b/>
        <sz val="11.5"/>
        <rFont val="Arial Narrow"/>
        <family val="2"/>
      </rPr>
      <t>Pilares do subsolo:</t>
    </r>
    <r>
      <rPr>
        <sz val="11.5"/>
        <rFont val="Arial Narrow"/>
        <family val="2"/>
      </rPr>
      <t xml:space="preserve"> 239x6,00x(0,30x0,3). </t>
    </r>
    <r>
      <rPr>
        <b/>
        <sz val="11.5"/>
        <rFont val="Arial Narrow"/>
        <family val="2"/>
      </rPr>
      <t/>
    </r>
  </si>
  <si>
    <r>
      <rPr>
        <b/>
        <sz val="11.5"/>
        <rFont val="Arial Narrow"/>
        <family val="2"/>
      </rPr>
      <t>ESTIMATIVA:</t>
    </r>
    <r>
      <rPr>
        <sz val="11.5"/>
        <rFont val="Arial Narrow"/>
        <family val="2"/>
      </rPr>
      <t xml:space="preserve"> </t>
    </r>
    <r>
      <rPr>
        <b/>
        <u/>
        <sz val="11.5"/>
        <rFont val="Arial Narrow"/>
        <family val="2"/>
      </rPr>
      <t xml:space="preserve">Pilares da edificação: </t>
    </r>
    <r>
      <rPr>
        <sz val="11.5"/>
        <rFont val="Arial Narrow"/>
        <family val="2"/>
      </rPr>
      <t xml:space="preserve">Previsão de um total de um conjunto de pilares de aproximadamente 100 (PRÉDIO PRINCIPAL) .e 239 PILARES DA ÁREA DE ESTACIONAMENTO. Os pilares podem não seguir o mesmo alinhamento entre os pisos, porém adota-se na média a altura total da edificação até a laje superior como altura de cálculo dos pilares = 46,50M (2,50M DE PESCOÇO DE PILARES, 44,05m ALTURA DA EDIFICAÇÃO -  + ÁREA DA COBERTURA). Adotando-se pilares de seção média retangular de  30 cm x 90 cm =&gt; Área de forma: 100x46,50x((0,30+0,9)x2).   </t>
    </r>
    <r>
      <rPr>
        <b/>
        <u/>
        <sz val="11.5"/>
        <rFont val="Arial Narrow"/>
        <family val="2"/>
      </rPr>
      <t>Pilares do Subsolo:</t>
    </r>
    <r>
      <rPr>
        <sz val="11.5"/>
        <rFont val="Arial Narrow"/>
        <family val="2"/>
      </rPr>
      <t xml:space="preserve"> 239 pilaretes de seção de 30cm x 30cm de 6,00M de altura (PÉ-DIREITO 4,50M +1,50 FUNDAÇÃO) =&gt; Área de forma: 239x6,00x((0,30+0,3)x2).- PILARES PRÉDIOS AUXILIARES - 113 UN - 15X30CM - H = 4,50M (AF = 113*0,90*4,50 = 457,63M2) - VC = 113*0,15*0,30*4,5 = 22,90M3)</t>
    </r>
  </si>
  <si>
    <t>Estima-se uma taxa de aço média de 140 kg de aço por m3 de concreto para os pilares.</t>
  </si>
  <si>
    <t>Estimativa de 60 DO PESO de aço CA 50 com bitolas entre 16,0 (5/8") À 25,0MM (1") por m³ de concreto</t>
  </si>
  <si>
    <t xml:space="preserve"> + </t>
  </si>
  <si>
    <t>Formas dos pavimentos: subsolo (20.333m2), térreo (7.357m2); 2º ao 8º pavimento (33.263m2); Cobertura e heliponto (7.721m2); Reservatório enterrado (2.289m2).</t>
  </si>
  <si>
    <t>Concreto dos pavimentos: subsolo (1.452m3), térreo (550m3); 2º ao 8º pavimento (2.376m3); Cobertura e heliponto (551m3); Reservatório enterrado (552m3).</t>
  </si>
  <si>
    <t>Estimativa de 60 kg de aço CA 50 com bitolas entre 16,0 (5/8") À 25,0MM (1") por m³ de concreto</t>
  </si>
  <si>
    <t>Estimativa de 30 kg de aço CA 50 com bitolas entre 6,3 (1/4") À 12,5MM(1/2") por m³ de concreto</t>
  </si>
  <si>
    <t>LAGES, ESCADAS E RAMPAS</t>
  </si>
  <si>
    <t>4.3.1</t>
  </si>
  <si>
    <t>4.4.1</t>
  </si>
  <si>
    <t>7.1.7</t>
  </si>
  <si>
    <t>7.1.8</t>
  </si>
  <si>
    <t>RODAPE VINILICO ALTURA 5CM, ESPESSURA 1MM, FIXADO COM COLA</t>
  </si>
  <si>
    <t>30 meses x 220 horas x (1 Profissional por toda obra e 1 profissional após a metade da obra)</t>
  </si>
  <si>
    <t>3.6</t>
  </si>
  <si>
    <t>3.6.1</t>
  </si>
  <si>
    <t>3.6.2</t>
  </si>
  <si>
    <t>3.6.3</t>
  </si>
  <si>
    <t>3.6.4</t>
  </si>
  <si>
    <t>RESERVATÓRIO INFERIOR</t>
  </si>
  <si>
    <t>PISO EM CONCRETO 20MPA PREPARO MECANICO, ESPESSURA 7 CM, COM ARMACAO E M TELA SOLDADA - SUBSOLO</t>
  </si>
  <si>
    <t>RODAPÉ - VÍNILICO CONDUTIVO EM MANTA, ESPESSURA 2MM, RODAPÉ BOLEADO TIPO HOSPITALAR, COM DESENHOS EM TRÊS PADRÕES DE CORES.</t>
  </si>
  <si>
    <t>PISO</t>
  </si>
  <si>
    <t>COMPOSICAO</t>
  </si>
  <si>
    <t>88309</t>
  </si>
  <si>
    <t>PEDREIRO COM ENCARGOS COMPLEMENTARES</t>
  </si>
  <si>
    <t>88316</t>
  </si>
  <si>
    <t>SERVENTE COM ENCARGOS COMPLEMENTARES</t>
  </si>
  <si>
    <t>INSUMO</t>
  </si>
  <si>
    <t>4791</t>
  </si>
  <si>
    <t>COLA CONTATO P/ CHAPA VINÍLICA/BORRACHA</t>
  </si>
  <si>
    <t>cotação</t>
  </si>
  <si>
    <t>PISO VINILICO EM MANTA CONDUTIVA, E = 2 MM (SEM COLOCACAO)</t>
  </si>
  <si>
    <t>IMPERMEABILIZACAO DAS CALHAS COM MANTA ASFALTICA (COM POLIMEROS TIPO APP), E=3 MM</t>
  </si>
  <si>
    <t>PAVIMENTAÇÃO DE VIAS EM TSD DUPLO - ORÇAMENTO SINAPI DE REFERÊNCIA</t>
  </si>
  <si>
    <t>CONSULTORIA PARA ESTUDOS TÉCNICOS E APROVAÇÃO DE PROJETO NOS ÓRGÃOS COMPETENTES - ENGENHEIRO/ARQUITETO CONSULTOR ESPECIAL - FAIXA C</t>
  </si>
  <si>
    <t>ELABORAÇÃO DE PROJETOS - HELIPONTO</t>
  </si>
  <si>
    <t>HOLOFOTES COM PERSIANAS ANTI-OFUSCANTES PARA HELIPONTO HOMOLOGADO</t>
  </si>
  <si>
    <t>CONSTRUÇÃO DE HELIPONTO INCLUINDO ELABORAÇÃO E APROVAÇÃO DE PROJETO E HOMOLOGAÇÃO NA ANAC</t>
  </si>
  <si>
    <t>BIRUTA ILUMINADA E MASTRO DE 3,00 M COM INCLUSAO AS SINALIZAÇAO PARA OPERAÇAO VISUAL NOTURNA E SINALIZAÇAO DE OBSTÁCULOS EM CONFORMIDADE COM OACI</t>
  </si>
  <si>
    <t>FORNECIMENTO E INSTALAÇAO DE DESCONECTOR DE IMPACTO BIPOLAR MACHO E FEMEA, INCLUSIVE FIOS, FITA ISOLANTE E CABOS</t>
  </si>
  <si>
    <t>ATERRAMENTO</t>
  </si>
  <si>
    <t>PLACA DE ORIENTAÇAO EM ACRÍLICO 1,00 X 0,80 M</t>
  </si>
  <si>
    <t>PLACA DE AVISO DE HELIPONTO 0,30 X 0,30 M</t>
  </si>
  <si>
    <t>PLACA DE AVISO DE EXTINTORES 0,15 X 0,45 M</t>
  </si>
  <si>
    <t>PLACA DE AVISO DE MATERIAL DE ARROMBAMENTO 0,30 X 0,30 M</t>
  </si>
  <si>
    <t>PLACA DE PROIBIDO FUMAR 0,30 X 0,30 M</t>
  </si>
  <si>
    <t>FORNECIMENTO E INSTALAÇAO DE TELA DE SEGURANÇA DE 1,50M X 1,50 M</t>
  </si>
  <si>
    <t>FORNECIMENTO E INSTALAÇAO DE TELA DE SEGURANÇA DE 1,50M X 1,50 M, CANTO</t>
  </si>
  <si>
    <t>CONSULTORIA TÉCNICA E DOCUMENTAÇAO PARA HOMOLOGAÇAO JUNTO A ANAC - ENGENHEIRO/ARQUITETO CONSULTOR ESPECIAL - FAIXA C</t>
  </si>
  <si>
    <t>TT - TOTEM ACESSO PRINCIPAL EXTERNO - CAIXA EXTRUTURADA EM PERFIS METÁLICOS E FECHAMENTO EM CHAPA DE AÇO GALVANIZADO 2MM. PINTURA AUTOMOTIVA NA COR BRANCA POR 4,20x1,20M. TEXTO EM LETRA BLOCO COM 8MM DE ESPESSURA NA COR TURQUESA. REF: TURQUESA 74 GENERAL MOTORS POLIDURA OU EQUIVALENTE</t>
  </si>
  <si>
    <t>BASE EM CAIXA EM CHAPA DE AÇO GALVANIZADO ESTRUTIRADA COM PINTURA AUTOMOTIVA NA COR PRATA POR 1,00x4,90M: REF: CINZA NOBRE MET. 84 VOLKSWAGEN POLIDURA OU EQUIVALENTE</t>
  </si>
  <si>
    <t>TI - TOTEM IDENTIFICATIVO DE ACESSO - CAIXA EXTRUTURADA EM PERFIS METÁLICOS E FECHAMENTO EM CHAPA DE AÇO GALVANIZADO 2MM. PINTURA AUTOMOTIVA NA COR BRANCA POR 2,40x0,70M. TEXTO EM FIGURAS EM IMPRESSÃO DIGITAL 600 DPI COM LAMINAÇÃO FOSCA SOBRE VINIL ADESIVO NA COR BRANCO COLADO PELA FRENTE.</t>
  </si>
  <si>
    <t>BASE EM CAIXA EM CHAPA DE AÇO GALVANIZADO ESTRUTIRADA COM PINTURA AUTOMOTIVA NA COR PRATA POR  0,60X2,90M. REF: CINZA NOBRE MET. 84 VOLKSWAGEN POLIDURA OU EQUIVALENTE</t>
  </si>
  <si>
    <t>TE - TOTEM ESTACIONAMENTO - CAIXA EXTRUTURADA EM PERFIS METÁLICOS E FECHAMENTO EM CHAPA DE AÇO GALVANIZADO 2MM. PINTURA AUTOMOTIVA NA COR BRANCA POR 0,70x1,00. TEXTO E SETAS EM SILKSCREEN.</t>
  </si>
  <si>
    <t>BASE EM CAIXA EM CHAPA DE AÇO GALVANIZADO ESTRUTIRADA COM PINTURA AUTOMOTIVA NA COR PRATA POR  0,40x1,40M. REF: CINZA NOBRE MET. 84 VOLKSWAGEN POLIDURA OU EQUIVALENTE</t>
  </si>
  <si>
    <t>COMUNICAÇÃO VISUAL</t>
  </si>
  <si>
    <t>TOTAL COMUNICAÇÃO VISUAL</t>
  </si>
  <si>
    <t>TOTAL LIMPEZA FINAL DA OBRA</t>
  </si>
  <si>
    <t>SECRETARIA DE ESTADO DA SAÚDE</t>
  </si>
  <si>
    <t>NÚCLEO DE INFRAESTRUTURA EM SAÚDE</t>
  </si>
  <si>
    <t>%</t>
  </si>
  <si>
    <t>1.10</t>
  </si>
  <si>
    <t>1.10.1</t>
  </si>
  <si>
    <t>1.10.2</t>
  </si>
  <si>
    <t>1.10.3</t>
  </si>
  <si>
    <t>ELEVADORES ( BDI 15,76%)</t>
  </si>
  <si>
    <t>TEXTURA ACRILICA</t>
  </si>
  <si>
    <t>TEXTURA ACRÍLICA</t>
  </si>
  <si>
    <t>PINTURA EPOXI INCLUSO EMASSAMENTO E FUNDO PREPARADOR</t>
  </si>
  <si>
    <t>2.3.5</t>
  </si>
  <si>
    <t>2.3.7</t>
  </si>
  <si>
    <t>2.3.12</t>
  </si>
  <si>
    <t>2.3.13</t>
  </si>
  <si>
    <t>2.3.14</t>
  </si>
  <si>
    <t>2.3.15</t>
  </si>
  <si>
    <t>2.3.17</t>
  </si>
  <si>
    <t>2.3.18</t>
  </si>
  <si>
    <t>2.3.19</t>
  </si>
  <si>
    <t>2.3.20</t>
  </si>
  <si>
    <t>2.3.21</t>
  </si>
  <si>
    <t>TOTAL CINTAMENTO DE TRAVAMENTO DOS PILARES</t>
  </si>
  <si>
    <t>TOTAL DAS FUNDAÇÕES</t>
  </si>
  <si>
    <t>INEL</t>
  </si>
  <si>
    <t>88247</t>
  </si>
  <si>
    <t>AUXILIAR DE ELETRICISTA COM ENCARGOS COMPLEMENTARES</t>
  </si>
  <si>
    <t>88264</t>
  </si>
  <si>
    <t>ELETRICISTA COM ENCARGOS COMPLEMENTARES</t>
  </si>
  <si>
    <t>COMP - 01</t>
  </si>
  <si>
    <t>COMP-02</t>
  </si>
  <si>
    <t>COMP- 03</t>
  </si>
  <si>
    <t>COMP-04</t>
  </si>
  <si>
    <t>COMP-05</t>
  </si>
  <si>
    <t>COMP ANEXA</t>
  </si>
  <si>
    <t>0RC-10652</t>
  </si>
  <si>
    <t>COMPOSIÇÕES DE CUSTOS UNITÁRIOS</t>
  </si>
  <si>
    <t>9.1.2</t>
  </si>
  <si>
    <t>9.1.3</t>
  </si>
  <si>
    <t>Bancadas 
GRANITO(m²)</t>
  </si>
  <si>
    <t>Bancadas 
INOX (m²)</t>
  </si>
  <si>
    <t>Central de esterilização</t>
  </si>
  <si>
    <t>Sala de expurgo</t>
  </si>
  <si>
    <t>HALL DE ACESSO UTI</t>
  </si>
  <si>
    <t>Guarda Corpo de INOX (m)</t>
  </si>
  <si>
    <t>ACABAMENTO</t>
  </si>
  <si>
    <t>COMP-06</t>
  </si>
  <si>
    <t>BATE MACAS EM PVC - L = 20CM</t>
  </si>
  <si>
    <t>RESUMO GERAL DE CORRIMÃOS</t>
  </si>
  <si>
    <t>CORRIMÃOS</t>
  </si>
  <si>
    <t>ESCADAS - 3X</t>
  </si>
  <si>
    <t>CORRIMÃO EM TUBO DE AÇO INDUSTRIAL (DIAMETRO DE 2 1/2") - FORNECIMENTO E INSTALAÇÃO</t>
  </si>
  <si>
    <t>6.3.3</t>
  </si>
  <si>
    <t>6.3.4</t>
  </si>
  <si>
    <t>COMP-07</t>
  </si>
  <si>
    <t>GUARDA CORPO EM ALUMÍNIO E VIDRO LAMINADO DE 8MM</t>
  </si>
  <si>
    <t>CAIXILHO EM ALUMÍNIO FIXO</t>
  </si>
  <si>
    <t>BANCADAS EM AÇO INOXIDÁVEL 304, INCLUSIVE RODABANCADA</t>
  </si>
  <si>
    <t>BATE MACAS EM PVC -20MM - FORNECIMENTO E INSTALAÇÃO</t>
  </si>
  <si>
    <t>TOTAL CÂMARAS FRIGORÍFICAS</t>
  </si>
  <si>
    <t>PAINEL DE CONTROLE DE 3 NIVEIS</t>
  </si>
  <si>
    <t>INSTALAÇÕES ELÉTRICAS EM ALTA TENSÃO - (Subestação Abrigada em alvenaria de 1000kva/13800-380/220v, entrada áerea, com posto de medição, disjunção e transformação, fornecida )</t>
  </si>
  <si>
    <t>INSTALAÇÕES ELÉTRICAS DE BAIXA TENSÃO (Luminárias, interruptors, tomadas, fios e cabos, quadros de distribuição, barramentos, eletrocalhas, pára-raios e spda)</t>
  </si>
  <si>
    <t>INSTALAÇÕES DE COMBATE A INCÊNDIO, DETECÇÃO E ALARME - tubulações em aço galvanizado, rede de hidrantes/splinkers, extintores, rede gás glp, bombas, sinalização de rotas de fuga, iluminação de emergência, sistema de detecção e alarme de incêndio)</t>
  </si>
  <si>
    <t>INSTALACOES GASES ESPECIAIS E MEDICINAIS</t>
  </si>
  <si>
    <t>RAIMUNDO RODRIGUES SOBREIRA JÚNIOR</t>
  </si>
  <si>
    <t>ENGENHEIRO CIVIL - CREA Nº 190.072.936-9</t>
  </si>
  <si>
    <t>_________________________________________________</t>
  </si>
  <si>
    <t>OBRA: CONSTRUÇÃO DA NOVA MATERNIDADE ESTADUAL</t>
  </si>
  <si>
    <t>ENDEREÇO: Avenida Presidente Kennedy esquina com Rua Valdemar Martins, Bairro São Cristóvão - Teresina Piauí</t>
  </si>
  <si>
    <t>PROJETOS EXECUTIVOS DE REDES INSTALAÇÕES HIDROSSÁNITÁRIAS, INSTALAÇÕES DE GASES MEDICINAIS, PROJETOS DE GÁS COMBUSTÍVEL, PROJETO DE COMBATE A INCÊNDIOS,  PROJETO DE ÁGUAS PLUVIAIS;</t>
  </si>
  <si>
    <t>I-5554</t>
  </si>
  <si>
    <t>EXECUÇÃO DE ESCRITÓRIO EM CANTEIRO DE OBRA EM CHAPA DE MADEIRA COMPENSADA, NÃO INCLUSO MOBILIÁRIO E EQUIPAMENTOS. AF_02/2016</t>
  </si>
  <si>
    <t>EXECUÇÃO DE ALMOXARIFADO EM CANTEIRO DE OBRA EM CHAPA DE MADEIRA COMPENSADA, INCLUSO PRATELEIRAS. AF_02/2016</t>
  </si>
  <si>
    <t>EXECUÇÃO DE REFEITÓRIO EM CANTEIRO DE OBRA EM CHAPA DE MADEIRA COMPENSADA, NÃO INCLUSO MOBILIÁRIO E EQUIPAMENTOS. AF_02/2016</t>
  </si>
  <si>
    <t>EXECUÇÃO DE SANITÁRIO E VESTIÁRIO EM CANTEIRO DE OBRA EM ALVENARIA, NÃO INCLUSO MOBILIÁRIO. AF_02/2016</t>
  </si>
  <si>
    <t>EXECUÇÃO DE RESERVATÓRIO ELEVADO DE ÁGUA (3000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</si>
  <si>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</si>
  <si>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</si>
  <si>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SUBESTAÇÃO AÉREA DE 15 KVA / 13.800-380/220V COM QUADRO DE MEDIÇÃO E PROTEÇÃO GERAL</t>
  </si>
  <si>
    <t>C4240</t>
  </si>
  <si>
    <t>SERV PRELIM</t>
  </si>
  <si>
    <t>COMP-08</t>
  </si>
  <si>
    <t>LOCAÇÃO DE PRAÇAS COM PIQUETES DE MADEIRA</t>
  </si>
  <si>
    <t>Prego 1 1/2" x 13 (15 x 18)</t>
  </si>
  <si>
    <t>Servente</t>
  </si>
  <si>
    <t>Topografo com encargos complementares</t>
  </si>
  <si>
    <t>Auxiliar topografia com encargos complementares</t>
  </si>
  <si>
    <t>PECA DE MADEIRA NATIVA/REGIONAL 8 X 8CM NAO APARELHADA (PONTALETE-P/ESCORAMENTO)</t>
  </si>
  <si>
    <t>insumo</t>
  </si>
  <si>
    <t>comp-08</t>
  </si>
  <si>
    <t>ELEVADOR DE CREMALHEIRA CABINE, SIMPLES FECHADA 1,5 X 2,5 X 2,35 M (UMA POR TORRE), CAPACIDADE DE CARGA *1200* KG (15 PESSOAS), TORRE 24 M (16 MODULOS), FREIOS DE SEGURANCA, LIMITADOR DE VELOCIDADE E DE CARGA</t>
  </si>
  <si>
    <t xml:space="preserve">SINAPI </t>
  </si>
  <si>
    <t>I</t>
  </si>
  <si>
    <t>SINAPI -</t>
  </si>
  <si>
    <t>COMP-09</t>
  </si>
  <si>
    <t>DEMOLIÇÃO DE CONSTRUÇÕES EM ALVENARIA</t>
  </si>
  <si>
    <t>DEMOLICAO DE TELHAS CERAMICAS OU DE VIDRO</t>
  </si>
  <si>
    <t>RETIRADA DE ESTRUTURA DE MADEIRA COM TESOURAS PARA TELHAS CERAMICAS OU DE VIDRO</t>
  </si>
  <si>
    <t>73899/002</t>
  </si>
  <si>
    <t>DEMOLICAO DE ALVENARIA DE TIJOLOS FURADOS S/REAPROVEITAMENTO</t>
  </si>
  <si>
    <t>COMP-10</t>
  </si>
  <si>
    <t>DEMOLIÇÃO DE MUROS EM ALVENARIA TIJOLO CERÂMICO</t>
  </si>
  <si>
    <t>TRANSPORTE DE ENTULHO - DMT - 10 KM</t>
  </si>
  <si>
    <t>M3XKM</t>
  </si>
  <si>
    <t>SEDI</t>
  </si>
  <si>
    <t>COMP-11</t>
  </si>
  <si>
    <t>ESTAGIÁRIO COM ENCARGOS COMPLEMENTARES</t>
  </si>
  <si>
    <t>MES</t>
  </si>
  <si>
    <t>EPI (ENCARGOS COMPLEMENTARES) - MENSALISTA</t>
  </si>
  <si>
    <t>EXAMES - MENSALISTA (ENCARGOS COMPLEMENTARES (COLETADO CAIXA)</t>
  </si>
  <si>
    <t>SEGURO - MENSALISTA (ENCARGOS COMPLEMENTARES) (COLETADO CAIXA)</t>
  </si>
  <si>
    <t>ESTAGIARIO EM ENGENHARIA / ARQUITETURA (MENSALISTA)</t>
  </si>
  <si>
    <t>COMP-12</t>
  </si>
  <si>
    <t>ENGENHEIRO ELETRICISTA COM ENCARGOS COMPLEMENTARES</t>
  </si>
  <si>
    <t>ENGENHEIRO ELETRICISTA (MENSALISTA)</t>
  </si>
  <si>
    <t>ALMOXARIFE COM ENCARGOS COMPLEMENTARES</t>
  </si>
  <si>
    <t>APONTADOR OU APROPRIADOR COM ENCARGOS COMPLEMENTARES</t>
  </si>
  <si>
    <t>VIGIA NOTURNO COM ENCARGOS COMPLEMENTARES - 3 UNIDADES</t>
  </si>
  <si>
    <t>COMP-13</t>
  </si>
  <si>
    <t>VIGIA NOTURNO (MENSALISTA) COM ENCARGOS COMPLEMENTARES</t>
  </si>
  <si>
    <t>AUXILIAR DE ALMOXARIFE COM ENCARGOS COMPLEMENTARES</t>
  </si>
  <si>
    <t>COMP-14</t>
  </si>
  <si>
    <t>ALIMENTACAO - MENSALISTA (ENCARGOS COMPLEMENTARES) (COLETADO CAIXA)</t>
  </si>
  <si>
    <t>TRANSPORTE - MENSALISTA (ENCARGOS COMPLEMENTARES) (COLETADO CAIXA)</t>
  </si>
  <si>
    <t>AUXILIAR TÉCNICO DE ENGENHARIA COM ENCARGOS COMPLEMENTARES</t>
  </si>
  <si>
    <t>COMP-15</t>
  </si>
  <si>
    <t>AUXILIAR TECNICO / ASSISTENTE DE ENGENHARIA (MENSALISTA)</t>
  </si>
  <si>
    <t>CÁLCULO CONSUMO DE ÁGUA E ENERGIA DA OBRA</t>
  </si>
  <si>
    <t>QTE</t>
  </si>
  <si>
    <t>POTÊNCIA
KWH</t>
  </si>
  <si>
    <t>DIÁRIO
H</t>
  </si>
  <si>
    <t>MENSAL
(DIAS)</t>
  </si>
  <si>
    <t>PRAZO
(MÊS)</t>
  </si>
  <si>
    <t>TEMPO DE UTILIZAÇÃO</t>
  </si>
  <si>
    <t>ELEVADOR DE OBRAS</t>
  </si>
  <si>
    <t>ELEVADOR DE PASSAGEIROS</t>
  </si>
  <si>
    <t>MÁQUINA DE SOLDA</t>
  </si>
  <si>
    <t>GERAL - CENTRAL CARPINTEIRA/ARMAÇÃO</t>
  </si>
  <si>
    <t>BOMBAS, BETONEIRAS</t>
  </si>
  <si>
    <t>INDUSTRIAL</t>
  </si>
  <si>
    <t>ESCRITÓRIO</t>
  </si>
  <si>
    <t>COMPUTADOR</t>
  </si>
  <si>
    <t>AR-CONDICIONADO</t>
  </si>
  <si>
    <t>IMPRESSORAS</t>
  </si>
  <si>
    <t>LÂMPADAS</t>
  </si>
  <si>
    <t>DIVERSOS: GELADEIRA, TELEFONE, ETC</t>
  </si>
  <si>
    <t>APOIO</t>
  </si>
  <si>
    <t>LABORATÓRIO</t>
  </si>
  <si>
    <t>TREINAMENTO</t>
  </si>
  <si>
    <t>AMBULATÓRIO</t>
  </si>
  <si>
    <t>GUARITA</t>
  </si>
  <si>
    <t>REFEITÓRIO</t>
  </si>
  <si>
    <t>ILUMINAÇÃO NOTURNA</t>
  </si>
  <si>
    <t>HOLOFOTES - 500W</t>
  </si>
  <si>
    <t>DIVERSOS</t>
  </si>
  <si>
    <t>ENERGIA
(KWH)</t>
  </si>
  <si>
    <t>QUANTIDADE TOTAL CONSUMIDA</t>
  </si>
  <si>
    <t>ÁGUA
(M3)</t>
  </si>
  <si>
    <t>CONSUMO
(L/H)</t>
  </si>
  <si>
    <t>ÁGUA INDUSTRIAL E CURA DE CONCRETO</t>
  </si>
  <si>
    <t>TERRAPLENAGEM</t>
  </si>
  <si>
    <t>ATERRO</t>
  </si>
  <si>
    <t>PESSOAS</t>
  </si>
  <si>
    <t>QTE
(M3)</t>
  </si>
  <si>
    <t>CONSUMO
(L/M3)</t>
  </si>
  <si>
    <t>QTE
(UND)</t>
  </si>
  <si>
    <t>CONSUMO
(M3/DIA)</t>
  </si>
  <si>
    <t>TRANSPORTE LOCAL COM CAMINHÃO BASCULANTE 6 M3, RODOVIA COM REVESTIMENTO PRIMARIO - (DMT 10,0KM)</t>
  </si>
  <si>
    <t>COMP-16</t>
  </si>
  <si>
    <t>DESLOCAMENTO DE EQUIPAMENTO ENTRE FUROS EM TERRENO PLANO, CONSIDERANDO A DISTÂNCIA ATÉ 100M</t>
  </si>
  <si>
    <t>AJUDANTE COM ENCARGOS COMPLEMENTARES</t>
  </si>
  <si>
    <t>TECNICO EM SONDAGENS COM ENCARGOS COMPLEMENTARES</t>
  </si>
  <si>
    <t>C2290</t>
  </si>
  <si>
    <t>73992/001</t>
  </si>
  <si>
    <t>LOCACAO CONVENCIONAL DE OBRA, ATRAVÉS DE GABARITO DE TABUAS CORRIDAS PONTALETADAS A CADA 1,50M, SEM REAPROVEITAMENTO</t>
  </si>
  <si>
    <t>VIGIA NOTURNO, HORA EFETIVAMENTE TRABALHADA DE 22 H AS 5 H (COM ADICIONAL NOTURNO)</t>
  </si>
  <si>
    <t>LIMPEZA PERMANENTE DE OBRA (RETIRADA PERIÓDICA DE ENTULHOS - REVOLVIMENTO MANUAL DE SOLO, PROFUNDIDADE ATÉ 20CM</t>
  </si>
  <si>
    <t>ESCAVACAO MANUAL VALA - BASE DA CORTINA DO SUBSOLO - PRF. 100CM; LARG = 100cM</t>
  </si>
  <si>
    <t>base de 100x30cm - parede com espessura de 20cm</t>
  </si>
  <si>
    <t>Volume de concreto da base da cortina (1,00x0,30 + 0,70 x 0,20) x 383,05m</t>
  </si>
  <si>
    <t>(1</t>
  </si>
  <si>
    <t>0,2)</t>
  </si>
  <si>
    <t>FUNDAÇÃO DA CORTINA DO SUBSOLO - BASE DE 100 X 30CM - ESPESSURA PAREDE 20CM - PROF. 100CM</t>
  </si>
  <si>
    <t>REATERRO MANUAL DE VALAS COM COMPACTAÇÃO MECANIZADA</t>
  </si>
  <si>
    <t>REGULARIZACAO E COMPACTACAO MANUAL DE TERRENO COM SOQUETE</t>
  </si>
  <si>
    <t>73907/003</t>
  </si>
  <si>
    <t>LASTRO DE CONCRETO NÃO ESTRUTURAL, E= 5CM PARA REGULARIZAÇÃO DE BASE PARA ESTRUTURAS DE CONCRETO ARMADO</t>
  </si>
  <si>
    <t>CONCRETAGEM DE PILARES, FCK = 25 MPA, COM USO DE BOMBA EM EDIFICAÇÃO COM SEÇÃO MÉDIA DE PILARES MENOR OU IGUAL A 0,25 M² - LANÇAMENTO, ADENSAMENTO E ACABAMENTO. AF_12/2015</t>
  </si>
  <si>
    <t>SAPATAS/ARRANQUES DE PILARES</t>
  </si>
  <si>
    <t>FORMA PARA FUNDACAO - ARRANQUE DE PILARES DO SUBSOLO -  - TÁBUAS  -  PILARES - 20X30CM E 30 X90 Cm</t>
  </si>
  <si>
    <t>SAPATAS - CONCRETO USINADO BOMBEADO FCK=20MPA, INCLUSIVE LANCAMENTO E ADENSAMENTO</t>
  </si>
  <si>
    <t>ARRANQUE PILARES - CONCRETO USINADO BOMBEADO FCK=20MPA, INCLUSIVE LANCAMENTO E ADENSAMENTO</t>
  </si>
  <si>
    <t>ARRANQUES - 30X30CM H= 1,00M NOS PILARES DO SUBSOLO - 30X90CM NOS PILARES DO PRÉDIO</t>
  </si>
  <si>
    <t>SAPATAS - ARMACAO ACO CA-50, DIAM. 6,3 (1/4) À 12,5MM(1/2) -FORNECIMENTO/ CORTE PERDA DE 10%) / DOBRA / COLOCAÇÃO - PARA FUNDAÇÃO EM SAPATAS</t>
  </si>
  <si>
    <t xml:space="preserve">ARRANQUE DE PILARES  - ARMACAO ACO CA-50, DIAM. 6,3 (1/4) À 12,5MM(1/2) -FORNECIMENTO/ CORTE PERDA DE 10%) / DOBRA / COLOCAÇÃO </t>
  </si>
  <si>
    <t>CONCRETAGEM DE EDIFICAÇÕES (PAREDES E LAJES) FEITAS COM SISTEMA DE FÔRMAS MANUSEÁVEIS COM CONCRETO USINADO BOMBEÁVEL, FCK 20 MPA, LANÇADO COM BOMBA LANÇA - LANÇAMENTO, ADENSAMENTO E ACABAMENTO. AF_06/2015</t>
  </si>
  <si>
    <t>CONCRETO USINADO BOMBEADO FCK=25MPA, INCLUSIVE LANCAMENTO E ADENSAMENTO</t>
  </si>
  <si>
    <t xml:space="preserve">MONTAGEM E DESMONTAGEM DE FÔRMA DE PILARES RETANGULARES E ESTRUTURAS SIMILARES COM ÁREA MÉDIA DAS SEÇÕES MAIOR QUE 0,25 M², PÉ-DIREITO SIMPLES, EM CHAPA DE MADEIRA COMPENSADA PLASTIFICADA, 10 UTILIZAÇÕES. </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</si>
  <si>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</si>
  <si>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</si>
  <si>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</si>
  <si>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CONCRETAGEM DE VIGAS E LAJES, FCK=20 MPA, PARA LAJES MACIÇAS OU NERVURADAS COM USO DE BOMBA EM EDIFICAÇÃO COM ÁREA MÉDIA DE LAJES MAIOR QUE 20 M² - LANÇAMENTO, ADENSAMENTO E ACABAMENTO. AF_12/2015</t>
  </si>
  <si>
    <t>VERGA MOLDADA IN LOCO EM CONCRETO PARA JANELAS COM MAIS DE 1,5 M DE VÃO. AF_03/2016</t>
  </si>
  <si>
    <t>PARE</t>
  </si>
  <si>
    <t>87335</t>
  </si>
  <si>
    <t>ARGAMASSA TRAÇO 1:2:8 (CIMENTO, CAL E AREIA MÉDIA) PARA EMBOÇO/MASSA ÚNICA/ASSENTAMENTO DE ALVENARIA DE VEDAÇÃO, PREPARO MECÂNICO COM MISTURADOR DE EIXO HORIZONTAL DE 300 KG. AF_06/2014</t>
  </si>
  <si>
    <t>COMP-17</t>
  </si>
  <si>
    <t>COMP-18</t>
  </si>
  <si>
    <t>COMP-19</t>
  </si>
  <si>
    <t>ALVENARIA EM TIJOLO CERAMICO FURADO 9X19X19CM 1/2 VEZ (ESPESSURA 9CM), ASSENTADO COM ARGAMASSA TRACO 1:2:8 (CIMENTO, CAL E AREIA)</t>
  </si>
  <si>
    <t>BLOCO CERAMICO FURADO *9 X 19 X 19* CM - 8 furos</t>
  </si>
  <si>
    <t>73935/002</t>
  </si>
  <si>
    <t>88274</t>
  </si>
  <si>
    <t>MARMORISTA/GRANITEIRO COM ENCARGOS COMPLEMENTARES</t>
  </si>
  <si>
    <t>88631</t>
  </si>
  <si>
    <t>ARGAMASSA TRAÇO 1:4 (CIMENTO E AREIA MÉDIA), PREPARO MANUAL. AF_08/2014</t>
  </si>
  <si>
    <t>1380</t>
  </si>
  <si>
    <t>CIMENTO BRANCO</t>
  </si>
  <si>
    <t>DIVISORIA EM GRANITO CINZA POLIDO, ESP = 3CM, ASSENTADO COM ARGAMASSA TRACO 1:4, ARREMATE EM CIMENTO BRANCO, EXCLUSIVE FERRAGENS - SIMILAR SINAPI 79627</t>
  </si>
  <si>
    <t>DIVISÓRIA DE GRANITO CINZA E=3CM</t>
  </si>
  <si>
    <t>INSUMO-SEINFRA-CE</t>
  </si>
  <si>
    <t>FIXAÇÃO (ENCUNHAMENTO) DE ALVENARIA DE VEDAÇÃO COM ARGAMASSA APLICADA COM COLHER. AF_03/2016</t>
  </si>
  <si>
    <t>ESQV</t>
  </si>
  <si>
    <t>88261</t>
  </si>
  <si>
    <t>CARPINTEIRO DE ESQUADRIA COM ENCARGOS COMPLEMENTARES</t>
  </si>
  <si>
    <t>88627</t>
  </si>
  <si>
    <t>ARGAMASSA TRAÇO 1:0,5:4,5 (CIMENTO, CAL E AREIA MÉDIA) PARA ASSENTAMENTO DE ALVENARIA, PREPARO MANUAL. AF_08/2014</t>
  </si>
  <si>
    <t>183</t>
  </si>
  <si>
    <t>BATENTE/ PORTAL/ ADUELA/ MARCO MACICO, E= *3 CM, L= *13 CM, *60 CM A 120* CM X *210 CM,  EM CEDRINHO/ ANGELIM COMERCIAL/ EUCALIPTO/ CURUPIXA/ PEROBA/ CUMARU OU EQUIVALENTE DA REGIAO</t>
  </si>
  <si>
    <t>JG</t>
  </si>
  <si>
    <t>4419</t>
  </si>
  <si>
    <t>!EM PROCESSO DE DESATIVACAO! PECA DE MADEIRA NAO APARELHADA *10 X 10 X 3* CM, MACARANDUBA, ANGELIM OU EQUIVALENTE DA REGIAO</t>
  </si>
  <si>
    <t>11058</t>
  </si>
  <si>
    <t>PARAFUSO ROSCA SOBERBA ZINCADO CABECA CHATA FENDA SIMPLES 5,5 X 65 MM (2.1/2 ")</t>
  </si>
  <si>
    <t>20017</t>
  </si>
  <si>
    <t>GUARNICAO/ ALIZAR/ VISTA MACICA, E= *1* CM, L= *4,5* CM, EM CEDRINHO/ ANGELIM COMERCIAL/  EUCALIPTO/ CURUPIXA/ PEROBA/ CUMARU OU EQUIVALENTE DA REGIAO</t>
  </si>
  <si>
    <t>20247</t>
  </si>
  <si>
    <t>PREGO DE ACO POLIDO COM CABECA 15 X 15 (1 1/4 X 13)</t>
  </si>
  <si>
    <t>PORTA DE MADEIRA SEMI-OCA ENCABECADA, FOLHA LISA PARA VERNIZ, *80 X 210 X 3,5* CM</t>
  </si>
  <si>
    <t>PORTA DE MADEIRA COMPENSADA LISA PARA CERA OU VERNIZ, 160X210X3,5CM, 2 FOLHAS, INCLUSO ADUELA 1A, ALIZAR 1A E DOBRADICAS VAI-E-VEM - FORNECIMENTO E INSTALAÇÃO, INCLUSIVE VISOR 30X30CM</t>
  </si>
  <si>
    <t>DOBRADICA TIPO VAI-E-VEM EM ACO/FERRO, TAMANHO 3'', GALVANIZADO, COM PARAFUSOS</t>
  </si>
  <si>
    <t>COMP-20</t>
  </si>
  <si>
    <t>PORTA DE MADEIRA COMPENSADA LISA PARA CERA OU VERNIZ, 200X210X3,5CM, 2 FOLHAS, INCLUSO ADUELA 1A, ALIZAR 1A E DOBRADICAS VAI-E-VEM - FORNECIMENTO E INSTALAÇÃO, INCLUSIVE VISOR 30X30CM</t>
  </si>
  <si>
    <t>PORTA DE MADEIRA SEMI-OCA ENCABECADA, FOLHA LISA PARA VERNIZ, *100 X 210 X 3,5* CM</t>
  </si>
  <si>
    <t>88239</t>
  </si>
  <si>
    <t>AJUDANTE DE CARPINTEIRO COM ENCARGOS COMPLEMENTARES</t>
  </si>
  <si>
    <t>184</t>
  </si>
  <si>
    <t>BATENTE/ PORTAL/ ADUELA/ MARCO MACICO, E= *3* CM, L= *13* CM, *60 CM A 120* CM X *210* CM, EM PINUS/ TAUARI/ VIROLA OU EQUIVALENTE DA REGIAO</t>
  </si>
  <si>
    <t>5067</t>
  </si>
  <si>
    <t>PREGO DE ACO POLIDO COM CABECA 16 X 24 (2 1/4 X 12)</t>
  </si>
  <si>
    <t>11573</t>
  </si>
  <si>
    <t>RODIZIO PARA TRILHO (TIPO NAPOLEAO),  EM LATAO, COM ROLAMENTO EM ACO, 6 MM, PARA JANELA DE CORRER</t>
  </si>
  <si>
    <t>11580</t>
  </si>
  <si>
    <t>TRILHO QUADRADO EM ALUMINIO (VERGALHAO MACICO), 1/4", (*6 X 6* CM), PARA RODIZIOS.</t>
  </si>
  <si>
    <t>COMP-21</t>
  </si>
  <si>
    <t>PORTA DE MADEIRA COMPENSADA LISA PARA CERA OU VERNIZ, DE CORRER, COM ADUELA E ALIZAR DE 1A, TRILHO E RODIZIOS</t>
  </si>
  <si>
    <t>FECHADURA BICO DE PAPAGAIO PARA PORTA DE CORRER INTERNA, CHAVE BIPARTIDA, ACABAMENTO PADRAO MEDIO</t>
  </si>
  <si>
    <t>94805</t>
  </si>
  <si>
    <t>PORTA DE ALUMÍNIO DE ABRIR PARA VIDRO SEM GUARNIÇÃO, 87X210CM, FIXAÇÃO COM PARAFUSOS, INCLUSIVE VIDROS - FORNECIMENTO E INSTALAÇÃO. AF_08/2015</t>
  </si>
  <si>
    <t>142</t>
  </si>
  <si>
    <t>SELANTE ELASTICO MONOCOMPONENTE A BASE DE POLIURETANO PARA JUNTAS DIVERSAS</t>
  </si>
  <si>
    <t>310ML</t>
  </si>
  <si>
    <t>7568</t>
  </si>
  <si>
    <t>BUCHA DE NYLON SEM ABA S10, COM PARAFUSO DE 6,10 X 65 MM EM ACO ZINCADO COM ROSCA SOBERBA, CABECA CHATA E FENDA PHILLIPS</t>
  </si>
  <si>
    <t>39024</t>
  </si>
  <si>
    <t>PORTA DE ABRIR EM ALUMINIO COM DIVISAO HORIZONTAL  PARA VIDROS,  ACABAMENTO ANODIZADO NATURAL, VIDROS INCLUSOS, SEM GUARNICAO/ALIZAR/VISTA , 87 X 210 CM</t>
  </si>
  <si>
    <t>COMP-22</t>
  </si>
  <si>
    <t>73838/1</t>
  </si>
  <si>
    <t>PORTA DE VIDRO TEMPERADO, 0,9X2,10M, ESPESSURA 10MM, INCLUSIVE ACESSORIOS</t>
  </si>
  <si>
    <t>COMP-23</t>
  </si>
  <si>
    <t>PORTA DE VIDRO TEMPERADO, ESPESSURA 10MM, INCLUSIVE ACESSORIOS</t>
  </si>
  <si>
    <t>88629</t>
  </si>
  <si>
    <t>ARGAMASSA TRAÇO 1:3 (CIMENTO E AREIA MÉDIA), PREPARO MANUAL. AF_08/2014</t>
  </si>
  <si>
    <t>COMP-24</t>
  </si>
  <si>
    <t>INSUMO/ORSE</t>
  </si>
  <si>
    <t>PORTA CORTA-FOGO 200X210X4CM - 2 FOLHAS - FORNECIMENTO E INSTALAÇÃO. AF_08/2015</t>
  </si>
  <si>
    <t>PORTA CORTA-FOGO PARA SAIDA DE EMERGENCIA, COM FECHADURA, VAO LUZ DE 200 X 210 CM, CLASSE P-90 (NBR 11742) - DUAS FOLHAS</t>
  </si>
  <si>
    <t>COMP-25</t>
  </si>
  <si>
    <t>VIDRO COMUM LAMINADO LISO INCOLOR DUPLO, ESPESSURA TOTAL 8 MM (CADA CAMADA DE 4 MM) - COLOCADO</t>
  </si>
  <si>
    <t>367</t>
  </si>
  <si>
    <t>AREIA GROSSA - POSTO JAZIDA/FORNECEDOR (RETIRADO NA JAZIDA, SEM TRANSPORTE)</t>
  </si>
  <si>
    <t>601</t>
  </si>
  <si>
    <t>JANELA ALUMINIO MAXIM AR, SERIE 25, 90 X 110CM (INCLUSO GUARNICAO E VIDRO FANTASIA).</t>
  </si>
  <si>
    <t>1379</t>
  </si>
  <si>
    <t>CIMENTO PORTLAND COMPOSTO CP II-32</t>
  </si>
  <si>
    <t>JANELA DE ALUMINIO TIPO MAXIM AR, INCLUSO GUARNICOES E VIDRO LAMINADO LISO INCOLOR DUPLO 8MM</t>
  </si>
  <si>
    <t>VIDRO FANTASIA TIPO CANELADO, ESPESSURA 4MM</t>
  </si>
  <si>
    <t>COMP-26</t>
  </si>
  <si>
    <t>VISOR FIXO COM VIDRO E REQUADRO DE MADEIRA PARA PORTA - 20X90CM</t>
  </si>
  <si>
    <t>COMP-27</t>
  </si>
  <si>
    <t>VISOR PLUMBIFERO COM MOLDURA, ESP=60MM (NACIONAL)</t>
  </si>
  <si>
    <t>INSUMO - ORSE</t>
  </si>
  <si>
    <t>TELHAMENTO COM TELHA METÁLICA TERMOACÚSTICA, COM ATÉ 2 ÁGUAS, INCLUSO IÇAMENTO. AF_06/2016</t>
  </si>
  <si>
    <t>COBE</t>
  </si>
  <si>
    <t>ARMADOR COM ENCARGOS COMPLEMENTARES</t>
  </si>
  <si>
    <t>CARPINTEIRO DE FORMAS COM ENCARGOS COMPLEMENTARES</t>
  </si>
  <si>
    <t>ARAME RECOZIDO 18 BWG, 1,25 MM (0,01 KG/M)</t>
  </si>
  <si>
    <t>AREIA GROSSA - POSTO JAZIDA/FORNECEDOR (SEM FRETE)</t>
  </si>
  <si>
    <t>PEDRA BRITADA N. 2 (19 A 38 MM) POSTO PEDREIRA/FORNECEDOR, SEM FRETE</t>
  </si>
  <si>
    <t>!EM PROCESSO DE DESATIVACAO! PREGO POLIDO COM CABECA 2 1/2 X 10</t>
  </si>
  <si>
    <t>TABUA MADEIRA 2A QUALIDADE 2,5 X 30,0CM (1 X 12") NAO APARELHADA</t>
  </si>
  <si>
    <t>COMP-28</t>
  </si>
  <si>
    <t>88245</t>
  </si>
  <si>
    <t>88262</t>
  </si>
  <si>
    <t>39</t>
  </si>
  <si>
    <t>ACO CA-60, 5,0 MM, VERGALHAO</t>
  </si>
  <si>
    <t>337</t>
  </si>
  <si>
    <t>2692</t>
  </si>
  <si>
    <t>DESMOLDANTE PROTETOR PARA FORMAS DE MADEIRA, DE BASE OLEOSA EMULSIONADA EM AGUA</t>
  </si>
  <si>
    <t>2751</t>
  </si>
  <si>
    <t>PECA DE MADEIRA ROLICA SEM TRATAMENTO (EUCALIPTO OU REGIONAL EQUIVALENTE) D = 12 A 15 CM, P/ESCORAMENTOS,  H = 6 M</t>
  </si>
  <si>
    <t>4506</t>
  </si>
  <si>
    <t>!EM PROCESSO DE DESATIVACAO! PECA DE MADEIRANATIVA/REGIONAL 2,5 X 10CM (1X4") NAO APARELHADA (SARRAFO-P/FORMA)</t>
  </si>
  <si>
    <t>4718</t>
  </si>
  <si>
    <t>5064</t>
  </si>
  <si>
    <t>6189</t>
  </si>
  <si>
    <t>RUFO EM CONCRETO ARMADO, LARGURA 40CM, ESPESSURA 3CM</t>
  </si>
  <si>
    <t>CHAPISCO APLICADO EM ALVENARIAS E ESTRUTURAS DE CONCRETO INTERNAS, COM COLHER DE PEDREIRO. ARGAMASSA TRAÇO 1:3 COM PREPARO EM BETONEIRA 400L. AF_06/2014</t>
  </si>
  <si>
    <t>REBOCO
INTERNO</t>
  </si>
  <si>
    <t>REVESTIMENTO EXTERNO - emboco + cerâmica</t>
  </si>
  <si>
    <t>COMP-01</t>
  </si>
  <si>
    <t>6.2.2</t>
  </si>
  <si>
    <t>REVESTIMENTO INTERNO EM PAREDES</t>
  </si>
  <si>
    <t>REVESTIMENTO EXTERNO EM PAREDES</t>
  </si>
  <si>
    <t>REVESTIMENTO EM PORCELANATO  RETIFICADO 60X60 CM, COM REJUNTE NA COR BRANCO, A BASE DE EPÓXI, ELIANE - BIANCO PLUS, OU EQUIVALENTE TÉCNICA</t>
  </si>
  <si>
    <t>88256</t>
  </si>
  <si>
    <t>AZULEJISTA OU LADRILHISTA COM ENCARGOS COMPLEMENTARES</t>
  </si>
  <si>
    <t>37595</t>
  </si>
  <si>
    <t>ARGAMASSA COLANTE TIPO ACIII</t>
  </si>
  <si>
    <t>38195</t>
  </si>
  <si>
    <t>PISO PORCELANATO, BORDA RETA, EXTRA, FORMATO MAIOR QUE 2025 CM2</t>
  </si>
  <si>
    <t>REJUNTE EPOXI BRANCO</t>
  </si>
  <si>
    <t>REVESTIMENTO CERÂMICO PARA PISO COM PLACAS TIPO PORCELANATO DE DIMENSÕES 60X60 CM APLICADA EM AMBIENTES DE ÁREA MAIOR QUE 10 M². AF_06/2014 - REJUNTE EPOXI - SIMILAR COMP - 87263</t>
  </si>
  <si>
    <t>COMP-29</t>
  </si>
  <si>
    <t>CHAPISCO APLICADO EM ALVENARIA (COM PRESENÇA DE VÃOS) E ESTRUTURAS DE CONCRETO DE FACHADA, COM COLHER DE PEDREIRO. ARGAMASSA TRAÇO 1:3 COM PREPARO EM BETONEIRA 400L. AF_06/2014</t>
  </si>
  <si>
    <t>1381</t>
  </si>
  <si>
    <t>ARGAMASSA COLANTE AC I PARA CERAMICAS</t>
  </si>
  <si>
    <t>RODAPÉ CERÂMICO DE 7CM DE ALTURA COM PLACAS TIPO PORCELANATO DE DIMENSÕES 60X60CM. AF_06/2014 - SIMILAR COMP- 88650</t>
  </si>
  <si>
    <t>COMP-30</t>
  </si>
  <si>
    <t>EMBOÇO OU MASSA ÚNICA EM ARGAMASSA TRAÇO 1:2:8, PREPARO MECÂNICO COM BETONEIRA 400 L, APLICADA MANUALMENTE EM PANOS DE FACHADA COM PRESENÇA DE VÃOS, ESPESSURA DE 35 MM. AF_06/2014</t>
  </si>
  <si>
    <t>REVESTIMENTO CERÂMICO PARA PAREDES EXTERNAS EM PASTILHAS DE PORCELANA 5 X 5 CM (PLACAS DE 30 X 30 CM), ALINHADAS A PRUMO, APLICADO EM PANOS COM VÃOS. AF_06/2014</t>
  </si>
  <si>
    <t>COMP-31</t>
  </si>
  <si>
    <t>REVESTIMENTO CERÂMICO PARA PAREDES, GAIL - LINHA SPORT, PLACA EXTRUDADA, REF. 1009, DIMENSÕES 24X11,6CM, OU EQUIVALENTE TÉCNICA, APLICADO COM ARGAMASSA INDUSTRIALIZADA AC-III, REJUNTADO, EXCLUSIVE REGULARIZAÇÃO DE BASE OU EMBOÇO (ORSE - 09117 ADAPTADA)</t>
  </si>
  <si>
    <t>Cerâmica 24 x 11,6 cm, e= 9mm, Gail, linha sport, placa extrudada, ref. 1009 ou similar</t>
  </si>
  <si>
    <t>Rejunte acrílico para revestimentos cerâmicos</t>
  </si>
  <si>
    <t>FOR GESSO remov</t>
  </si>
  <si>
    <t>FOR GESSO ACUSTICO</t>
  </si>
  <si>
    <t>REBOCO TETO</t>
  </si>
  <si>
    <t>MASSA ÚNICA, PARA RECEBIMENTO DE PINTURA, EM ARGAMASSA TRAÇO 1:2:8, PREPARO MECÂNICO COM BETONEIRA 400L, APLICADA MANUALMENTE EM TETO, ESPESSURA DE 20MM, COM EXECUÇÃO DE TALISCAS. AF_03/2015</t>
  </si>
  <si>
    <t>CHAPISCO APLICADO NO TETO, COM ROLO PARA TEXTURA ACRÍLICA. ARGAMASSA TRAÇO 1:4 E EMULSÃO POLIMÉRICA (ADESIVO) COM PREPARO EM BETONEIRA 400L.</t>
  </si>
  <si>
    <t>6.2.3</t>
  </si>
  <si>
    <t>6.2.4</t>
  </si>
  <si>
    <t>6.2.5</t>
  </si>
  <si>
    <t>74072/002</t>
  </si>
  <si>
    <t>comp-07</t>
  </si>
  <si>
    <t>PISO VINILICO SEMIFLEXIVEL EM MANTA, LINHA IQ OPTIMA CLASSIC - MARCA TARKETT , ESPESSURA 2,0MM, FIXADO COM COLA OU EQUIVALENTE TÉCNICO</t>
  </si>
  <si>
    <t>COMP-03</t>
  </si>
  <si>
    <t>PISO VINILICO SEMIFLEXIVEL EM MANTA, LINHA IQ OPTIMA CLASSIC -  TARKETT FADEMAC , ESPESSURA 2,0MM, FIXADO COM COLA OU EQUIVALENTE TÉCNICO</t>
  </si>
  <si>
    <t>PISO VINILICO SEMIFLEXIVEL EM MANTA TARKETT FADEMAC, IQ TORO SC CONDUTIVO, ESPESSURA 2MM, FIXADO COM COLA</t>
  </si>
  <si>
    <t>PISO EM CARPETE NYLON ESPESSURA 6MM, COLOCADO SOBRE ARGAMASSA - AUDITÓRIO</t>
  </si>
  <si>
    <t>7.1.9</t>
  </si>
  <si>
    <t>INHI</t>
  </si>
  <si>
    <t>COMP-32</t>
  </si>
  <si>
    <t>4823</t>
  </si>
  <si>
    <t>MASSA PLASTICA ADESIVA PARA MARMORE/GRANITO</t>
  </si>
  <si>
    <t>11795</t>
  </si>
  <si>
    <t>GRANITO CINZA POLIDO P/BANCADA E=2,5 CM</t>
  </si>
  <si>
    <t>37329</t>
  </si>
  <si>
    <t>37591</t>
  </si>
  <si>
    <t>SUPORTE MAO-FRANCESA EM ACO, ABAS IGUAIS 40 CM, CAPACIDADE MINIMA 70 KG, BRANCO</t>
  </si>
  <si>
    <t>BANCADA DE GRANITO CINZA POLIDO PARA PIA/LAVATÓRIOS- FORNECIMENTO E INSTALAÇÃO. AF_12/2013</t>
  </si>
  <si>
    <t>COMP-33</t>
  </si>
  <si>
    <t>ASSENTO PLÁSTICO, UNIVERSAL, BRANCO, PARA VASO SANITÁRIO, TIPO CONVENCIONAL</t>
  </si>
  <si>
    <t>ASSENTO SANITÁRIO DE PLÁSTICO, TIPO CONVENCIONAL</t>
  </si>
  <si>
    <t>COMP-34</t>
  </si>
  <si>
    <t>ENCANADOR COM ENCARGOS COMPLEMENTARES</t>
  </si>
  <si>
    <t>Cuba de semi-encaixe, dim. 49 x 40cm, INCEPA, linha ocean pacific, ref. 63027 ou siimilar</t>
  </si>
  <si>
    <t>COMP-35</t>
  </si>
  <si>
    <t>INSUMO-COTAÇÃO</t>
  </si>
  <si>
    <t>COMP-035</t>
  </si>
  <si>
    <t>COMP-36</t>
  </si>
  <si>
    <t>Fixação para vaso sanitário, Incepa ou similar</t>
  </si>
  <si>
    <t>COMP-036</t>
  </si>
  <si>
    <t>88267</t>
  </si>
  <si>
    <t>ENCANADOR OU BOMBEIRO HIDRÁULICO COM ENCARGOS COMPLEMENTARES</t>
  </si>
  <si>
    <t>4351</t>
  </si>
  <si>
    <t>PARAFUSO NIQUELADO P/ FIXAR PECA SANITARIA - INCL PORCA CEGA, ARRUELA E BUCHA DE NYLON S-8</t>
  </si>
  <si>
    <t>COMP-37</t>
  </si>
  <si>
    <t>TANQUE ACO INOXIDAVEL (ACO 304) COM ESFREGADOR E VALVULA, DE *50 X 40 X 22* CM</t>
  </si>
  <si>
    <t>TANQUE DE AÇO INOX (AÇO 304) COM ESFREGADOR E VÁLVULA DE 50X40X22CM, INCLUSIVE TORNEIRA METÁLICA E SIFÃO METÁLICO - FORNECIMENTO E INSTALAÇÃO. AF_12/2013</t>
  </si>
  <si>
    <t>TORNEIRA CROMADA 1/2" OU 3/4" PARA TANQUE, PADRÃO MÉDIO - FORNECIMENTO E INSTALAÇÃO. AF_12/2013</t>
  </si>
  <si>
    <t>SIFÃO DO TIPO GARRAFA EM METAL CROMADO 1 X 1.1/2" - FORNECIMENTO E INSTALAÇÃO. AF_12/2013</t>
  </si>
  <si>
    <t>COMP-037</t>
  </si>
  <si>
    <t>BANHEIRA
BEBÊ</t>
  </si>
  <si>
    <t>TORNEIRA
CIRURGICA</t>
  </si>
  <si>
    <t>UCINCA</t>
  </si>
  <si>
    <t>UCINCO</t>
  </si>
  <si>
    <t>PIA COM CONE PARA EXPURGO, inclusive valvula de descarga</t>
  </si>
  <si>
    <t>PIA COM CONE PARA EXPURGO, COM TAMPA E GRELHA - hidronox</t>
  </si>
  <si>
    <t>EXPURGO HOSPITALAR EM INOX 70X55, INCLUSIVE VÁLVULA DE DESCARGA</t>
  </si>
  <si>
    <t>VALVULA DESCARGA 1.1/2" COM REGISTRO, ACABAMENTO EM METAL CROMADO - FORNECIMENTO E INSTALAÇÃO</t>
  </si>
  <si>
    <t>86904</t>
  </si>
  <si>
    <t>LAVATÓRIO LOUÇA BRANCA SUSPENSO, 29,5 X 39CM OU EQUIVALENTE, PADRÃO POPULAR - FORNECIMENTO E INSTALAÇÃO. AF_12/2013</t>
  </si>
  <si>
    <t>COMP-38</t>
  </si>
  <si>
    <t>LAVATÓRIO LOUÇA BRANCA SUSPENSO, 29,5 X 39CM OU EQUIVALENTE, PADRÃO MÉDIO, INCLUSO SIFÃO TIPO GARRAFA EM METAL, VÁLVULA METÁLICA E ENGATE FLEXÍVEL 30CM EM PLÁSTICO E TORNEIRA CROMADA DE MESA, PADRÃO MÉDIO - FORNECIMENTO E INSTALAÇÃO. AF_12/2013 - SIMILAR COMP 86942</t>
  </si>
  <si>
    <t>VÁLVULA EM METAL CROMADO 1.1/2" X 1.1/2" PARA TANQUE OU LAVATÓRIO, COM OU SEM LADRÃO - FORNECIMENTO E INSTALAÇÃO. AF_12/2013</t>
  </si>
  <si>
    <t>SIFÃO DO TIPO GARRAFA EM METAL CROMADO 1 X 1.1/2" - FORNECIMENTO E INSTALAÇÃO</t>
  </si>
  <si>
    <t>ENGATE FLEXÍVEL EM INOX, 1/2 X 40CM - FORNECIMENTO E INSTALAÇÃO. AF_1</t>
  </si>
  <si>
    <t>TORNEIRA CROMADA DE MESA, 1/2" OU 3/4", PARA LAVATÓRIO, PADRÃO MÉDIO - FORNECIMENTO E INSTALAÇÃO. AF_12/2013</t>
  </si>
  <si>
    <t>LAVATÓRIO CIRÚRGICO EM AÇO INOX 304 - INCLUSIVE VALVULA METÁLICA - 2,00M</t>
  </si>
  <si>
    <t>COMP-038</t>
  </si>
  <si>
    <t>LAVATÓRIO EM AÇO INOX, AISI 304, DIMENSÃO 540X410X595CM, ACIONAMENTO COM JOELHO, INCLUSIVE TORNEIRA</t>
  </si>
  <si>
    <t>COMP-39</t>
  </si>
  <si>
    <t>LAVATÓRIO CIRURGICO EM INOX SUSPENSO, 200CM, INCLUINDO SIFÃO METÁLICO E VÁLVULA DE ESCOAMENTO</t>
  </si>
  <si>
    <t>COMP-40</t>
  </si>
  <si>
    <t>LAVATÓRIO CIRURGICO EM INOX SUSPENSO, 300CM, INCLUINDO SIFÃO METÁLICO E VÁLVULA DE ESCOAMENTO</t>
  </si>
  <si>
    <t>LAVATÓRIO CIRÚRGICO EM AÇO INOX 304 - INCLUSIVE VALVULA METÁLICA - 3,00M</t>
  </si>
  <si>
    <t>COMP-41</t>
  </si>
  <si>
    <t>BANHEIRA INOX BERÇÁRIOS (100X56CM) COM CUBA (70X40X20/23CM) - HIDRONOX</t>
  </si>
  <si>
    <t>BANHEIRA INOX BERÇÁRIOS (100X56CM) COM CUBA (70X40X20/23CM) - HIDRONOX, INCLUSIVA VALVULA AMERICANA</t>
  </si>
  <si>
    <t>VÁLVULA EM METAL CROMADO TIPO AMERICANA 3.1/2" X 1.1/2" PARA PIA - FOR</t>
  </si>
  <si>
    <t>LAVATÓRIO EM AÇO INOX 540X410X595, TORNEIRA E ACIONAMENTO POR JOELHO -  UTI'S/URGÊNCIA</t>
  </si>
  <si>
    <t>VÁLVULA AMERICANA</t>
  </si>
  <si>
    <t>VÁLVULA EM METAL CROMADO  1.1/2'X1.1/2' PARA CUBAS DE LOUÇA</t>
  </si>
  <si>
    <t>ENGATE FLEXÍVEL EM INOX 1/2" X 40CM - FORNECIMENTO E INSTALAÇÃO - CUBAS DE LOUÇA</t>
  </si>
  <si>
    <t>TORNEIRA CROMADA DE MESA, 1/2" OU 3/4", PARA LAVATÓRIO, PADRÃO MÉDIO - FORNECIMENTO E INSTALAÇÃO - CUBAS DE LOUÇA EMBUTIR E SOBREPOR</t>
  </si>
  <si>
    <t>TORNEIRA CROMADA TUBO MÓVEL, DE PAREDE, 1/2" OU 3/4", PARA PIA DE COZINHA, PADRÃO MÉDIO - FORNECIMENTO E INSTALAÇÃO. AF_12/2013 - CUBAS DE INOX E BANHEIRA DE BEBÊS</t>
  </si>
  <si>
    <t>ASSENTAMENTO DE GUIA (MEIO-FIO) EM TRECHO RETO, CONFECCIONADA EM CONCRETO PRÉ-FABRICADO, DIMENSÕES 100X15X13X30 CM (COMPRIMENTO X BASE INFERIOR X BASE SUPERIOR X ALTURA), PARA VIAS URBANAS (USO VIÁRIO). AF_06/2</t>
  </si>
  <si>
    <t>EXECUÇÃO DE SARJETA DE CONCRETO USINADO, MOLDADA IN LOCO EM TRECHO RETO, 30 CM BASE X 15 CM ALTURA. AF_06/2016</t>
  </si>
  <si>
    <t>PINTURA DA FACE EM TINTA ACRÍLICA NA COR AZUL, COM 02 DEMAOS E PINTURA AERONÁUTICA NA COR AMARELA COM DUAS DEMAOS EM TINTA COM MICRO ESFERAS DE VIDRO, INCLUSIVE DEMARCAÇOES DOS SINAIS DELIMITADORES DE ÁREA DE TOQUE, ÁREA DE POUSO E DECOLAGEM , TIPO E CAPACIDADE DO HELIPONTO, PINTURA DA CRUZ EM VERMELHO COM APLICAÇAO DE MICRO ESFERAS DE VIDRO PARA REFLEXAO (PINTURA COM TINTA A BASE DE BORRACHA CLORADA - SIMILAR)</t>
  </si>
  <si>
    <t>ANEXA</t>
  </si>
  <si>
    <t>COMP-42</t>
  </si>
  <si>
    <t>COTAÇÃO</t>
  </si>
  <si>
    <t>LUMINARIA SINALIZADOR TIPO SN-5 - HPL-3 DE LITMITE</t>
  </si>
  <si>
    <t>LUMINÁRIA DE SINALIZAÇAO SN-05 - HPL-3 - DE LIMITE</t>
  </si>
  <si>
    <t>88325</t>
  </si>
  <si>
    <t>VIDRACEIRO COM ENCARGOS COMPLEMENTARES</t>
  </si>
  <si>
    <t>3104</t>
  </si>
  <si>
    <t>JOGO DE FERRAGENS CROMADAS P/ PORTA DE VIDRO TEMPERADO, UMA FOLHA COMPOSTA: DOBRADICA SUPERIOR (101) E INFERIOR (103),TRINCO (502), FECHADURA (520),CONTRA FECHADURA (531),COM CAPUCHINHO</t>
  </si>
  <si>
    <t>CJ</t>
  </si>
  <si>
    <t>11499</t>
  </si>
  <si>
    <t>MOLA HIDRAULICA DE PISO P/ VIDRO TEMPERADO 10MM</t>
  </si>
  <si>
    <t>PORTA DE VIDRO TEMPERADO, 2,00X2,10M, ESPESSURA 10MM, INCLUSIVE ACESSORIOS - SIMILAR COMP 73838/1</t>
  </si>
  <si>
    <t>VIDRO TEMPERADO VERDE E = 10 MM, SEM COLOCACAO</t>
  </si>
  <si>
    <t>PUXADOR TUBULAR RETO, DUPLO, EM ALUMINIO POLIDO, DIAMETRO APROX.DE 1", COMPRIMENTO APROX. DE 400 MM, PARA PORTAS DE MADEIRA OU VIDRO</t>
  </si>
  <si>
    <t>COMP-43</t>
  </si>
  <si>
    <t>COMP-44</t>
  </si>
  <si>
    <t>COMP-45</t>
  </si>
  <si>
    <t>Aterramento composto de 3 hastes de cobre l = 2,40m, interligada com cabo de cobre tipo cordoalha</t>
  </si>
  <si>
    <t>Fio de cobre nu tipo cordoalha para aterramento - 10mm2</t>
  </si>
  <si>
    <t>Haste cobreada copperweld p/aterramento d= 5/8" x 2,40m, excluso conector</t>
  </si>
  <si>
    <t>GRAMPO METALICO TIPO OLHAL PARA HASTE DE ATERRAMENTO DE 5/8'', CONDUTOR DE *10* A 50 MM2</t>
  </si>
  <si>
    <t>PINT</t>
  </si>
  <si>
    <t>GL</t>
  </si>
  <si>
    <t>PREPARO DE SUPERFÍCIE DE CONCRETO COM FUNDO PREPARADOR EPÓXI</t>
  </si>
  <si>
    <t>PINTOR COM ENCARGOS COMPLEMENTARES</t>
  </si>
  <si>
    <t>88310</t>
  </si>
  <si>
    <t>11149</t>
  </si>
  <si>
    <t>PRIMER EPOXI</t>
  </si>
  <si>
    <t>LIXA EM FOLHA PARA PAREDE OU MADEIRA, NUMERO 120 (COR VERMELHA</t>
  </si>
  <si>
    <t>COMP-46</t>
  </si>
  <si>
    <t>DILUENTE EPOXI</t>
  </si>
  <si>
    <t>FUNDO PREPARADOR DE CONCRETO A BASE DE EPÓXI</t>
  </si>
  <si>
    <t>EMASSAMENTO COM MASSA EPOXI, 2 DEMAOS</t>
  </si>
  <si>
    <t>COMP-47</t>
  </si>
  <si>
    <t>10851</t>
  </si>
  <si>
    <t>Placa em acrílico branco leitoso dupla, tipo sanduiche, com aplicação de adesivo sobreposto</t>
  </si>
  <si>
    <t>COMP-48</t>
  </si>
  <si>
    <t>COMP-49</t>
  </si>
  <si>
    <t>COMP-50</t>
  </si>
  <si>
    <t>73932/001</t>
  </si>
  <si>
    <t>GRADE DE FERRO EM BARRA CHATA 3/16"</t>
  </si>
  <si>
    <t>COMP-51</t>
  </si>
  <si>
    <t>CABO FLEXIVEL PVC 750 V, 4 CONDUTORES DE 1,5 MM2</t>
  </si>
  <si>
    <t>URBEX</t>
  </si>
  <si>
    <t>COMP-52</t>
  </si>
  <si>
    <t>ABRAÇADEIRAS EM FERRO BARRA CHATA 1/4" PINTURA EPOXI COM PARAFUSOS</t>
  </si>
  <si>
    <t>PLACA EM CHAPA GALV C/ESTRUTURA INTERNA METALON, PINTURA ESMALTE SINTETICO E IMPRESSÃO EM VINIL DUAS FACES</t>
  </si>
  <si>
    <t>I6699</t>
  </si>
  <si>
    <t>I6700</t>
  </si>
  <si>
    <t>COMP-53</t>
  </si>
  <si>
    <t>COMP-54</t>
  </si>
  <si>
    <t>COMP-55</t>
  </si>
  <si>
    <t>COMP-56</t>
  </si>
  <si>
    <t>COMP-57</t>
  </si>
  <si>
    <t>COMP-58</t>
  </si>
  <si>
    <t>INSUMO-ORSE</t>
  </si>
  <si>
    <t>COMP-59</t>
  </si>
  <si>
    <t>PLACA INAUGURACAO EM ALUMINIO 0,40X0,60M FORNECIMENTO E COLOCACAO</t>
  </si>
  <si>
    <t>LIMPEZA VIDRO COMUM</t>
  </si>
  <si>
    <t>73948/008</t>
  </si>
  <si>
    <t>LIMPEZA PISO CERAMICO</t>
  </si>
  <si>
    <t>73948/011</t>
  </si>
  <si>
    <t>LIMPEZA E LAVAGEM DE PASTILHAS</t>
  </si>
  <si>
    <t>73948/004</t>
  </si>
  <si>
    <t>LIMPEZA LOUCAS E METAIS</t>
  </si>
  <si>
    <t>74086/001</t>
  </si>
  <si>
    <t>PISO PODOTÁTIL INTERNO EM BORRACHA 25x 25cm ASSENTAMENTO COM COLA VINIL (FORNECIMENTO E ASSENTAMENTO)</t>
  </si>
  <si>
    <t>PISO TATIL DIRECIONAL DE BORRACHA, 25 X 25 CM, E = 5 MM, PARA COLA, PRETO</t>
  </si>
  <si>
    <t>ADESIVO ACRILICO/COLA DE CONTATO</t>
  </si>
  <si>
    <t>PISO PODOTÁTIL EXTERNO EM PMC ESP. 3CM, ASSENTADO COM ARGAMASSA (FORNECIMENTO E ASSENTAMENTO)</t>
  </si>
  <si>
    <t>LADRILHO HIDRAULICO, *20 X 20* CM, E= 2 CM, TATIL DIRECIONAL, AMARELO</t>
  </si>
  <si>
    <t>AREIA MEDIA - POSTO JAZIDA/FORNECEDOR (RETIRADO NA JAZIDA, SEM TRANSPORTE)</t>
  </si>
  <si>
    <t>CAL HIDRATADA CH-I PARA ARGAMASSAS</t>
  </si>
  <si>
    <t>COMP-60</t>
  </si>
  <si>
    <t>COMP-61</t>
  </si>
  <si>
    <t>6.3.5</t>
  </si>
  <si>
    <t>COMP-62</t>
  </si>
  <si>
    <t>Guarda-corpo em tubo de aço inox ø=1 1/2", duplo, com montantes e fechamento em tubo inox ø=1 1/2", h=96cm, c/acabamento polido, p/fixação em piso</t>
  </si>
  <si>
    <t>Torneira para lavatorio cirúrgico com acionamento cotovelo mod. 455 ou similar</t>
  </si>
  <si>
    <t>FITA VEDA ROSCA 18MMX25M</t>
  </si>
  <si>
    <t>COMP-63</t>
  </si>
  <si>
    <t>COMP-64</t>
  </si>
  <si>
    <t>BARRA DE APOIO EM "L", EM ACO INOX POLIDO 80 X 80 CM, DIAMETRO MINIMO 3 CM</t>
  </si>
  <si>
    <t>BARRA DE APOIO RETA, EM ACO INOX POLIDO, COMPRIMENTO 80CM, DIAMETRO MINIMO 3 CM</t>
  </si>
  <si>
    <t>BARRA DE APOIO LATERAL ARTICULADA, COM TRAVA, EM ACO INOX POLIDO, 70 CM, DIAMETRO MINIMO 3 CM</t>
  </si>
  <si>
    <t>BANCO ARTICULADO PARA BANHO, EM ACO INOX POLIDO, 70* CM X 45* CM</t>
  </si>
  <si>
    <t>BUCHA DE NYLON SEM ABA S12, COM PARAFUSO DE 5/16" X 80 MM EM ACO ZINCADO COM ROSCA SOBERBA E CABECA SEXTAVADA</t>
  </si>
  <si>
    <t>COMP-65</t>
  </si>
  <si>
    <t>COMP-66</t>
  </si>
  <si>
    <t>COMP-67</t>
  </si>
  <si>
    <t>BARRA DE APOIO LAVATORIO, EM ACO INOX POLIDO, 40* CM X 50* CM, DIAMETRO MINIMO 3 CM</t>
  </si>
  <si>
    <t>COMP-68</t>
  </si>
  <si>
    <t>COMP-69</t>
  </si>
  <si>
    <t>Bancada em aço inoxidável 304, acabamento polido, inclusive rodopia h=7cm</t>
  </si>
  <si>
    <t>PEDREIRO COM ENCARGOS SOCIAIS</t>
  </si>
  <si>
    <t>BANCADA/TAMPO ACO INOX (AISI 304), LARGURA 60 CM, COM RODABANCA (NAO INCLUI PES DE APOIO)</t>
  </si>
  <si>
    <t>CONCRETO FCK=15MPA, PREPARO COM BETONEIRA, SEM LANCAMENTO</t>
  </si>
  <si>
    <t>LANCAMENTO/APLICACAO MANUAL DE CONCRETO EM FUNDACOES</t>
  </si>
  <si>
    <t>74157/004</t>
  </si>
  <si>
    <t>ARMAÇÃO DE LAJE DE UMA ESTRUTURA CONVENCIONAL DE CONCRETO ARMADO EM UMA EDIFÍCAÇÃO TÉRREA OU SOBRADO UTILIZANDO AÇO CA-60 DE 4.2 MM - MONTAGEM. AF_12/2015_P</t>
  </si>
  <si>
    <t>MONTAGEM E DESMONTAGEM DE FÔRMA DE LAJE MACIÇA COM ÁREA MÉDIA MAIOR QUE 20 M², PÉ-DIREITO DUPLO, EM CHAPA DE MADEIRA COMPENSADA PLASTIFICADA , 10 UTILIZAÇÕES. AF_12/2015</t>
  </si>
  <si>
    <t>LAJES, RAMPAS E ESCADAS, RESERVATÓRIO SUPERIOR</t>
  </si>
  <si>
    <t>3.7</t>
  </si>
  <si>
    <t>ESTRUTURA METÁLICA DO MEZANINO DE MAQUINAS DO 2º PAVIMENTO</t>
  </si>
  <si>
    <t>TOTAL ESTRUTURA METÁLICA DO MEZANINO DE MÁQUINAS DO 2º PAVIMENTO</t>
  </si>
  <si>
    <t>ESTR</t>
  </si>
  <si>
    <t>COMP-70</t>
  </si>
  <si>
    <t>Estrutura metálica em aço sac 300, vãos de até 12m</t>
  </si>
  <si>
    <t>MONTADOR DE ESTRUTURA METÁLICA COM ENCARGOS COMPLEMENTARES</t>
  </si>
  <si>
    <t>CHAPA DE ACO XADREZ PARA PISOS, E = 1/4 " (6,30 MM) 54,53 KG/M2</t>
  </si>
  <si>
    <t>Estrutura metálica em aço sac 300, vãos de até 12m, INCLUSIVE CHAPA XADREZ PARA PISOS E=1/4"</t>
  </si>
  <si>
    <t>3.7.1</t>
  </si>
  <si>
    <t>GRANITO ESCADA/RAMPAS</t>
  </si>
  <si>
    <t>ANTECAMARA</t>
  </si>
  <si>
    <t>AREA AO REDOR DO PRÉDIO PRINCIPAL</t>
  </si>
  <si>
    <t>PISO GRANITO CINZA NÃO POLIDO, ASSENTADO SOBRE ARGAMASSA CIMENTO / AREIA TRACO 1:3 INCLUSIVE REJUNTE EM CIMENTO</t>
  </si>
  <si>
    <t>PISO CIMENTADO COM ACABAMENTO RÚSTICO PARA ÁREAS TÉCNICAS, COM ARGAMASSA DE CIMENTO E AREIA GROSSA NO TRAÇO 1:3, ESPESSURA DE 2CM</t>
  </si>
  <si>
    <t>73974/001</t>
  </si>
  <si>
    <t>ESCADA DE ACESSO AO HELIPONTO EM ESTRUTURA METÁLICA EM AÇO SAC 300, VÃOS ATE 12M, INCLUSIVE CHAPA XADREZ PARA PISOS E=1/4"</t>
  </si>
  <si>
    <t>6.3.6</t>
  </si>
  <si>
    <t>7.1.10</t>
  </si>
  <si>
    <t>7.1.11</t>
  </si>
  <si>
    <t>7.1.12</t>
  </si>
  <si>
    <t>COMP-71</t>
  </si>
  <si>
    <t>REVIN</t>
  </si>
  <si>
    <t>REVESTIMENTO DE PAREDES COM PROTEÇÃO RADIOLÓGICA A BASE DE BARITA</t>
  </si>
  <si>
    <t>INSUMO/SEINFRA</t>
  </si>
  <si>
    <t>I0190</t>
  </si>
  <si>
    <t>BARITA - ARGAMASSA BARITADA</t>
  </si>
  <si>
    <t>Barra RETA 80CM</t>
  </si>
  <si>
    <t>Barra ARTIC 80CM</t>
  </si>
  <si>
    <t>Barra 
L 80CM</t>
  </si>
  <si>
    <t>BANCO ARTICULADO</t>
  </si>
  <si>
    <t>BARRA LAVATORIO</t>
  </si>
  <si>
    <t>PORTA SABAO LIQ</t>
  </si>
  <si>
    <t>PORTA PAPEL TOALHA</t>
  </si>
  <si>
    <t>PORTA PAPEL HIGIEN</t>
  </si>
  <si>
    <t>SAB LOUÇA 7,5X15</t>
  </si>
  <si>
    <t>PORTA PAPEL LOUÇA</t>
  </si>
  <si>
    <t>ESPELHOS</t>
  </si>
  <si>
    <t>PORTA PAPEL TOALHA METÁLICO CROMADO</t>
  </si>
  <si>
    <t>PORTA PAPEL HIGIENICO PARA ROLOS GRANDES</t>
  </si>
  <si>
    <t>PORTA PAPEL HIGIÊNICO DE LOUÇA</t>
  </si>
  <si>
    <t>PORTA SABONETE DE LOUÇA 15X15CM</t>
  </si>
  <si>
    <t>COMP-72</t>
  </si>
  <si>
    <t>PORTA-PAPEL DE LOUÇA BRANCA 15X15CM</t>
  </si>
  <si>
    <t>COMP-73</t>
  </si>
  <si>
    <t>SABONETEIRA DE LOUÇA BRANCA 15X15CM</t>
  </si>
  <si>
    <t>COMP-74</t>
  </si>
  <si>
    <t>SABONETEIRA PLASTICA TIPO DISPENSER PARA SABONETE LIQUIDO COM RESERVATORIO 800 A 1500 ML</t>
  </si>
  <si>
    <t>COMP-75</t>
  </si>
  <si>
    <t>Porta-papel higiênico, linha Domus, ref. 102 C40, da Meber ou similar</t>
  </si>
  <si>
    <t>COMP-76</t>
  </si>
  <si>
    <t>Porta papel toalha em aço inox, Moldenox ou similar</t>
  </si>
  <si>
    <t>ESPELHO CRISTAL ESPESSURA 4MM, COM MOLDURA EM ALUMINIO E COMPENSADO 6MM PLASTIFICADO COLADO</t>
  </si>
  <si>
    <t>74125/002</t>
  </si>
  <si>
    <t>LIMPEZA DE REVESTIMENTO EM PAREDE C/ SOLUCAO DE ACIDO MURIATICO/AMONIA</t>
  </si>
  <si>
    <t>LIMPEZA DE PISO VINILICO/BORRACHA</t>
  </si>
  <si>
    <t>73948/013</t>
  </si>
  <si>
    <t>ASSENTAMENTO DE PORTAIS PARA ELEVADORES - 1,20 X 2,20M</t>
  </si>
  <si>
    <t>88315</t>
  </si>
  <si>
    <t>SERRALHEIRO COM ENCARGOS COMPLEMENTARES</t>
  </si>
  <si>
    <t>ASSENTAMENTO DOS PORTAIS DOS ELEVADORES - 120X220CM - COMP. SIMILAR 741362 SINAPI</t>
  </si>
  <si>
    <t>COMP-77</t>
  </si>
  <si>
    <t>6.3.7</t>
  </si>
  <si>
    <t>REVE</t>
  </si>
  <si>
    <t>374</t>
  </si>
  <si>
    <t>ARGAMASSA PRONTA PARA REVESTIMENTO INTERNO EM PAREDES</t>
  </si>
  <si>
    <t>GRANITO PRETO TIJUCA E = 2 CM PARA PISO</t>
  </si>
  <si>
    <t>COMP-78</t>
  </si>
  <si>
    <t>REVESTIMENTO COM GRANITO PRETO TIJUCA, ESPESSURA DE 2CM, ASSENTADO COM ARGAMASSA PRE-FABRICADA DE CIMENTO COLANTE E REJUNTAMENTO COM ARGAMASSA PRE-FABRICADA PARA REJUNTAMENTO - SIMILAR COMP 84097 - SINAPI</t>
  </si>
  <si>
    <t>REVESTIMENTO PAREDES COM GRANITO PRETO TIJUCA, ESPESSURA DE 2CM, ASSENTADO COM ARGAMASSA PRE-FABRICADA DE CIMENTO COLANTE E REJUNTAMENTO COM ARGAMASSA PRE-FABRICADA PARA REJUNTAMENTO - SIMILAR COMP 84097 - SINAPI - ÁREA DOS ELEVADORES DO TERREO</t>
  </si>
  <si>
    <t>PISO EM GRANITO PRETO ESPESSURA 2CM, ASSENTADO COM ARGAMASSA COLANTE DUPLA COLAGEM, COM REJUNTAMENTO EM CIMENTO BRANCO - COMP SIMILAR 72138 - SINAPI</t>
  </si>
  <si>
    <t>COMP-79</t>
  </si>
  <si>
    <t>PISO EM GRANITO DOS ELEVADORES - PISO EM GRANITO PRETO ESPESSURA 2CM, ASSENTADO COM ARGAMASSA COLANTE DUPLA COLAGEM, COM REJUNTAMENTO EM CIMENTO BRANCO - COMP SIMILAR 72138 - SINAPI</t>
  </si>
  <si>
    <t>7.1.13</t>
  </si>
  <si>
    <t>CONJ</t>
  </si>
  <si>
    <t>CONJUNTO DE UMA CÂMARA DE RESFRIAMENTO E DUAS CÂMARAS FRIGORÍFICAS PARA CARNE</t>
  </si>
  <si>
    <t>CONJUNTO CÂMARA FRIGORIFÍCA PARA CONSERVAÇÃO CADÁVERES</t>
  </si>
  <si>
    <t>CONJUNTO CÂMARA FRIGORIFÍCA PARA CONSERVAÇÃO LIXO ORGÂNICO</t>
  </si>
  <si>
    <t>CÂMARAS FRIGORIFICAS (BDI 15,76%)</t>
  </si>
  <si>
    <t>COMP-</t>
  </si>
  <si>
    <t>BARRA DE APOIO RETA, EM ACO INOX POLIDO, COMPRIMENTO 60CM, DIAMETRO MINIMO 3 CM</t>
  </si>
  <si>
    <t>BARRA DE APOIO RETA, EM ACO INOX POLIDO, COMPRIMENTO 60CM, DIAMETRO MINIMO 3 CM - PARA PORTAS DE BANHEIROS PNE</t>
  </si>
  <si>
    <t>COMP-80</t>
  </si>
  <si>
    <t>BARRA DE APOIO RETA, EM ACO INOX POLIDO, COMPRIMENTO 60CM, DIAMETRO MINIMO 3 CM - PARA PORTAS</t>
  </si>
  <si>
    <t>PORTINHOLA DE ABRIR EM ALUMINIO DE 60 X 80 CM, VENEZIANA VENTILADA 1 FOLHA, ACABAMENTO ANODIZADO NATURAL</t>
  </si>
  <si>
    <t>COMP-81</t>
  </si>
  <si>
    <t>CAIXILHO FIXO, DE ALUMINIO, VENEZIANO - SIMILIAR COMP 85010 - SINAPI</t>
  </si>
  <si>
    <t>CAIXILHO FIXO, DE ALUMINIO, VENEZIANO - SIMILIAR COMP 85010 - SINAPI - ENTRADA E SAÍDA DE VENTILAÇÃO ESCADAS</t>
  </si>
  <si>
    <t>BLOCOS DE VIDRO TIPO CANELADO 19X19X8CM, ASSENTADO COM ARGAMASSA TRACO 1:3 (CIMENTO E AREIA GROSSA) PREPARO MECANICO, COM REJUNTAMENTO EM CIMENTO BRANCO E BARRAS DE ACO</t>
  </si>
  <si>
    <t>4.3.4</t>
  </si>
  <si>
    <t>4.2.7</t>
  </si>
  <si>
    <t>GRADIL DE ALUMINIO ANODIZADO TIPO BARRA CHATA</t>
  </si>
  <si>
    <t>88626</t>
  </si>
  <si>
    <t>ARGAMASSA TRAÇO 1:0,5:4,5 (CIMENTO, CAL E AREIA MÉDIA), PREPARO MECÂNICO COM BETONEIRA 400 L. AF_08/2014</t>
  </si>
  <si>
    <t>4922</t>
  </si>
  <si>
    <t>PORTA DE CORRER EM ALUMINIO, DUAS FOLHAS MOVEIS COM VIDRO, FECHADURA E PUXADOR EMBUTIDO, ACABAMENTO ANODIZADO NATURAL, SEM GUARNICAO</t>
  </si>
  <si>
    <t>COMP-82</t>
  </si>
  <si>
    <t>VIDRO LISO INCOLOR 4MM - SEM COLOCACAO</t>
  </si>
  <si>
    <t>VIDRO COMUM LAMINADO, LISO, INCOLOR, DUPLO, ESPESSURA TOTAL 6 MM (CADA CAMADA E= 3 MM) - COLOCADO</t>
  </si>
  <si>
    <t>PORTA DE CORRER EM ALUMINIO, COM DUAS FOLHAS PARA VIDRO, INCLUSO GUARNICAO E VIDRO LAMINADO COLORIDO 6MM (3+3MM) - COMP SIMILAR COMP. SINAPI 68050</t>
  </si>
  <si>
    <t>Porta p/ Câmara Frigorífica, Núcleo em PUR, revestida nas duas faces com aço pré-pintado (RAL9003), acabamento lateral em aluminio, Giratória c/ chave, 2 FOLHAS COM dim. 2,00 x 2,10 x 0,10, manual.</t>
  </si>
  <si>
    <t>COMP-83</t>
  </si>
  <si>
    <t>Técnico em Refrigeração e Câmaras Frigoríficas</t>
  </si>
  <si>
    <t>Porta p/ Câmara Frigorífica, Núcleo em PUR, revestida nas duas faces com aço pré-pintado (RAL9003), acabamento lateral em aluminio, Giratória c/ chave, dim. 1,00 x 2,10 x 0,10, manual.</t>
  </si>
  <si>
    <t>PORTA DE ALUMÍNIO DE ABRIR PARA VIDRO SEM GUARNIÇÃO, FIXAÇÃO COM PARAFUSOS, INCLUSIVE VIDROS LAMINADO 6MM (3+3) - FORNECIMENTO E INSTALAÇÃO. AF_08/2015 - SIMILAR COMP 94805 SINAPI</t>
  </si>
  <si>
    <t>COMP-84</t>
  </si>
  <si>
    <t>COMP-85</t>
  </si>
  <si>
    <t>PORTA DE ALUMÍNIO DE ABRIR PARA VIDRO SEM GUARNIÇÃO, FIXAÇÃO COM PARAFUSOS, INCLUSIVE VIDROS LAMINADO 6MM (3+3) - FORNECIMENTO E INSTALAÇÃO. AF_08/2015 - SIMILAR COMP 94805</t>
  </si>
  <si>
    <t>COMP-86</t>
  </si>
  <si>
    <t>PORTA DE VIDRO LAMINADO BRONZE, 2,00X2,60M,2 FOLHAS, ESPESSURA 8MM (4+4), INCLUSIVE ACESSORIOS - SIMILAR COMP 73838/1</t>
  </si>
  <si>
    <t>COMP-87</t>
  </si>
  <si>
    <t>PORTA DE VIDRO LAMINADO BRONZE, 1,00X2,10M,1 FOLHAS, ESPESSURA 8MM (4+4), INCLUSIVE ACESSORIOS - SIMILAR COMP 73838/1</t>
  </si>
  <si>
    <t>PORTAO EM TELA ARAME GALVANIZADO N.12 MALHA 2" E MOLDURA EM TUBOS DE ACO COM DUAS FOLHAS DE ABRIR, INCLUSO FERRAGENS</t>
  </si>
  <si>
    <t>74238/002</t>
  </si>
  <si>
    <t>4.2.16</t>
  </si>
  <si>
    <t>JANELA EM ALUMINIO TIPO MAXIMAR/CORRER ANODIZADO BRANCO - FACHADA ENTRE VÃOS, INCLUSIVE VIDRO LAMINADO 6MM</t>
  </si>
  <si>
    <t>GUARDA-CORPO EM ALUMÍNIO E VIDRO LAMINADO 8MM</t>
  </si>
  <si>
    <t>599</t>
  </si>
  <si>
    <t>CAIXILHO FIXO ALUMINIO SERIE 25 COMPLETO 60 X 80CM</t>
  </si>
  <si>
    <t>CAIXILHO FIXO, DE ALUMINIO, PARA VIDRO TEMPERADO INCOLOR 6MM, INCLUSIVE - SIMILAR COMP 85010 SINAPI</t>
  </si>
  <si>
    <t>VIDRO TEMPERADO INCOLOR, ESPESSURA 6MM, FORNECIMENTO E INSTALACAO, INCLUSIVE MASSA PARA VEDACAO</t>
  </si>
  <si>
    <t>COMP-88</t>
  </si>
  <si>
    <t>CAIXILHO FIXO, DE ALUMINIO, PARA VIDRO TEMPERADO INCOLOR 6MM, INCLUSIVE - SIMILAR COMP 85010 SINAPI - GUICHES/VISORES DE PAREDES</t>
  </si>
  <si>
    <t>4.2.23</t>
  </si>
  <si>
    <t>4.2.24</t>
  </si>
  <si>
    <t>4.2.25</t>
  </si>
  <si>
    <t>4.2.26</t>
  </si>
  <si>
    <t xml:space="preserve">COMPOSIÇÃO </t>
  </si>
  <si>
    <t>COMP-89</t>
  </si>
  <si>
    <t xml:space="preserve"> CERCA/GRADIL NYLOFOR H=2,43M, MALHA 5 X 20CM - FIO 5,00MM, COM FIXADORES DE POLIAMIDA EM POSTE 40 x 60 MM CHUMBADOS EM BASE DE CONCRETO (EXCLUSIVE ESTA), REVESTIDOS EM POLIESTER POR PROCESSO DE PINTURA ELETROSTÁTICA (GRADIL E POSTE), NAS CORES VERDE OU BRANCA - FORNECIMENTO E INSTALAÇÃO - SEINFRA C4725 -</t>
  </si>
  <si>
    <t>I9048</t>
  </si>
  <si>
    <t>I9039</t>
  </si>
  <si>
    <t>I9045</t>
  </si>
  <si>
    <t>I9049</t>
  </si>
  <si>
    <t>FIXADOR POLIAMIDA PARA POSTE, NAS CORES VERDE OU BRANCA</t>
  </si>
  <si>
    <t>PAINEL NYLOFOR 2,43M x 2,5M (A X L) - MALHA 5 x 20 CM - FIO 5MM, REVESTIDO EM POLIESTER POR PROCESSO DE PINTURA ELETROSTÁTICA, NAS CORES VERDE OU BRANCA</t>
  </si>
  <si>
    <t>POSTE 40 x 60 MM, PINTURA ELETROSTÁTICA EM POLIESTER, NAS CORES VERDE OU BRANCA (H=3,20M - COM TAMPA) CHUMBADO</t>
  </si>
  <si>
    <t>SERVIÇO - COLOCAÇÃO E MONTAGEM DE CERCA/GRADIL NYLOFOR</t>
  </si>
  <si>
    <t>servini</t>
  </si>
  <si>
    <t>COMP-90</t>
  </si>
  <si>
    <t xml:space="preserve">DESENHISTA CADISTA  (SGSP) </t>
  </si>
  <si>
    <t xml:space="preserve">DESENHISTA DE TOPOGRAFIA - NÍVEL TÉCNICO (SGSP) </t>
  </si>
  <si>
    <t xml:space="preserve">TOPÓGRAFO (SGSP) </t>
  </si>
  <si>
    <t>NÍVEL COM PRECISÃO DE 0,7 MM/KM</t>
  </si>
  <si>
    <t>TEODOLITO COM PRECISÃO DE 10 SEGUNDOS</t>
  </si>
  <si>
    <t>AJUDANTE OU AUXILIAR DE TOPOGRAFIA COM ENCARGOS COMPLEMENTARES</t>
  </si>
  <si>
    <t>C3955</t>
  </si>
  <si>
    <t>SONDAGEM ROTATIVA P/ RECONHECIMENTO DO SUBSOLO - (SONDAGEM COMPLEMENTAR - 3 FUROS COM 25M)</t>
  </si>
  <si>
    <t>SONDAGEM À PERCUSSÃO P/RECONHECIMENTO DO SUBSOLO (SONDAGEM COMPLEMENTAR - 5 FUROS COM 10M)</t>
  </si>
  <si>
    <t>COMP-91</t>
  </si>
  <si>
    <t>CARPINTEIRO COM ENCARGOS COMPLEMENTARES</t>
  </si>
  <si>
    <t>AJUDANTE DE ENCANADOR COM ENCARGOS COMPLEMENTARES</t>
  </si>
  <si>
    <t>CAIXA D'AGUA DE FIBROCIMENTO DE 1000 L, COM TAMPA</t>
  </si>
  <si>
    <t>TIJOLO MACIÇO COMUM</t>
  </si>
  <si>
    <t>PONTALETE / BARROTE DE 3"x3"</t>
  </si>
  <si>
    <t>TUBO AÇO GALVANIZADO DE 20MM (3/4')</t>
  </si>
  <si>
    <t>TABUA DE 1" DE 3A. - L = 30cm</t>
  </si>
  <si>
    <t>BACIA TURCA DE LOUÇA COM SIFÃO INTEGRADO</t>
  </si>
  <si>
    <t>HIDROM TIPO TAQUIMÉTRICO 3 m3/h, 3/4"- COMPLETO</t>
  </si>
  <si>
    <t>AREIA MEDIA</t>
  </si>
  <si>
    <t>PREGO 15X15</t>
  </si>
  <si>
    <t>SERVIN</t>
  </si>
  <si>
    <t>74217/001</t>
  </si>
  <si>
    <t>TUBO PVC SERIE NORMAL, DN 100 MM, PARA ESGOTO PREDIAL (NBR 5688)</t>
  </si>
  <si>
    <t>LUMINÁRIA DE SINALIZAÇAO SN-05 - L-861 - DE LIMITE</t>
  </si>
  <si>
    <t>CAIXA SUPORTE PARA INTERCONECÇÃO E INSTALAÇÃO DE LUMINÁRIAS ALUMINIO FUNDIDO</t>
  </si>
  <si>
    <t>PROJETOR LATERAL (FOOD LIGHT) COM ABAS AMTIOFUSCANTES, JUNTA FRAGIVEL, LAMPADA LED 30W, 100/220V,N/TIPO PH 30L</t>
  </si>
  <si>
    <t>GLOBO PRISMATICO FRESNEL EM POLICARBONATO AMBAR SN-05</t>
  </si>
  <si>
    <t>QUADRO DE COMANDO E CONTROLE DE BRILHO EM 3 NIVEIS, COMPLETO, COM DISJUNTORES, CHAVE SELETORA, TRAFO, MONO, 220 VCA, N/TIPO PCH</t>
  </si>
  <si>
    <t>INDICADOR VISUAL DE VENTO (BIRUTA) COM ILUMINAÇÃO LED (4X10w) E LUZ ANTICOLISÃO VERMELHA (LED 10W), ESTRUTURA EM ALUMINIO TUBULAR, CESTO EM AÇO INOX, MANCAIS COM ROLAMENTOS, CONE EM NYLON RESINADO DIAM 300MMX1500MM, ALTURA NOMINAL 3,00M PARA PISTA ELEVADA, N/TIPO WS300</t>
  </si>
  <si>
    <t>CONECTOR P/DESCONECÇÃO RÁPIDA MACHO/FÊMEA N/TIPO TK</t>
  </si>
  <si>
    <t>INSTALACOES DE AR CONDICIONADO CENTRAL COM EXPANSÃO INDIRETA A AR 600 TRS -  3 CHILLERS 200TR , FANCOILS, FANCOLETES,  BOMBAS, VENTILADORS, INSTALAÇÃO ELÉTRICA, DIFUSORES E GRELHAS, SISTEMA DE VENTILAÇÃO COM FILTRAGEM ABSOLUTA NAS UTIS E CENTRO CIRÚRGICO, CONTROLES DIGITAIS E MONITORAMENTO DO SISTEMA, REDE HIDRÁULICA EM TUBOS DE AÇO, REDE DE DUTOS EM CHAPA GALVANIZADA, SPLITS)</t>
  </si>
  <si>
    <t>TR</t>
  </si>
  <si>
    <t>Declaramos para todos os fins que os preços acima cotados estão de acordo com os apresentados nas tabelas SINAPI de CUSTO DE COMPOSIÇÕES - SINTÉTICO (DATA REFERÊNCIA TÉCNICA: 06/2016)  e  PREÇOS DE INSUMOS (Mês de Coleta: 06/2016) e dos valores apresentados nas planilhas da ORSE - CUSTOS DE OBRAS CIVIS - JUNHO/2016 - DESONERADA - SEINFRA-CE - TAB. 024-1 DESONERADA, Data Base: 01 a 08/2016 - Custo Referencial de Mão-de-Obra e Custo Referencial de Serviços), e/ou praticados pelo mercado, não havendo nenhuma discrepância referente aos preços unitários. Os preços correspondem aos praticados em Teresina Piauí, o que torna a obra exeqüível, respeitando o princípio da economicidade.</t>
  </si>
  <si>
    <t>MARQUISE PRINCIPAL</t>
  </si>
  <si>
    <t>EMBOÇO INTERNO</t>
  </si>
  <si>
    <t>REBOCO INTERNO</t>
  </si>
  <si>
    <t>CHAPISCO INTERNO</t>
  </si>
  <si>
    <t>REVESTIMENTO CERÂMICO INTERNO</t>
  </si>
  <si>
    <t>EMBOÇO EXTERNO</t>
  </si>
  <si>
    <t>REBOCO EXTERNO</t>
  </si>
  <si>
    <t>CHAPISCO EXTERNO</t>
  </si>
  <si>
    <t>PASTILHA 5X5 BRANCA</t>
  </si>
  <si>
    <t>PORCELANATO EXTERNO CONCRETISSIMO</t>
  </si>
  <si>
    <t>CERAMICA EXTERNA GAIL</t>
  </si>
  <si>
    <t>APLICAÇÃO MANUAL DE FUNDO SELADOR ACRÍLICO EM PAREDES</t>
  </si>
  <si>
    <t xml:space="preserve">PISO VÍNILICO CONDUTIVO EM MANTA, ESPESSURA 2MM, RODAPÉ BOLEADO TIPO HOSPITALAR, </t>
  </si>
  <si>
    <t>RODAPÉ
VINILICO</t>
  </si>
  <si>
    <t>granito 
escada</t>
  </si>
  <si>
    <t>MANTA 
VÍNILICA</t>
  </si>
  <si>
    <t>RODAPE
VINILICO</t>
  </si>
  <si>
    <t>GESSO 
REMOV</t>
  </si>
  <si>
    <t>GESSO 
ACUST</t>
  </si>
  <si>
    <t>REBOCO 
TETO</t>
  </si>
  <si>
    <t>RODAPE
PORCELAN.</t>
  </si>
  <si>
    <t>Pavimentação TODA A LAJE COBERTURA SUBSOLO</t>
  </si>
  <si>
    <t>COBERTURA DO HELIPONTO</t>
  </si>
  <si>
    <t>COBERTURA DA RAMPA</t>
  </si>
  <si>
    <t>TAMPA DA CAIXA D'AGUA</t>
  </si>
  <si>
    <t>ABRIGO DE MAQUINAS</t>
  </si>
  <si>
    <t>FUNDO DA CAIXA D'ÁGUA</t>
  </si>
  <si>
    <t>PAREDES CAIXA D'AGUA-H=3,60M</t>
  </si>
  <si>
    <t>PLANTA BAIXA DO 7° PAVIMENTO</t>
  </si>
  <si>
    <t>PLANTA BAIXA DO 6° PAVIMENTO</t>
  </si>
  <si>
    <t>PLANTA BAIXA DO 5° PAVIMENTO</t>
  </si>
  <si>
    <t xml:space="preserve"> (PAREDES DE 15 CM) - FACHADA</t>
  </si>
  <si>
    <t xml:space="preserve"> (PAREDES DE 25CM x 8)</t>
  </si>
  <si>
    <t>GOVERNO DO ESTADO DO PIAUI -SESAPI</t>
  </si>
  <si>
    <t>CENTRO MATERNO</t>
  </si>
  <si>
    <t>ESQUADRIAS:</t>
  </si>
  <si>
    <t>DIM</t>
  </si>
  <si>
    <t>DISC</t>
  </si>
  <si>
    <t>1 PAV.</t>
  </si>
  <si>
    <t>2 PAV.</t>
  </si>
  <si>
    <t>3 PAV.</t>
  </si>
  <si>
    <t>4 PAV.</t>
  </si>
  <si>
    <t>5 AO 7</t>
  </si>
  <si>
    <t xml:space="preserve">8 PAV </t>
  </si>
  <si>
    <t xml:space="preserve">9 PAV </t>
  </si>
  <si>
    <t>ANEXO I
CAPELA</t>
  </si>
  <si>
    <t>ANEXO II
VELÓRIO</t>
  </si>
  <si>
    <t xml:space="preserve">ANEXO III
SUBESTAÇÃO
</t>
  </si>
  <si>
    <t>ANEXO IV
CPN</t>
  </si>
  <si>
    <t>ANEXO V
B LEITE</t>
  </si>
  <si>
    <t>QUANT</t>
  </si>
  <si>
    <t>PORTAS DE AÇO TIPO CORTA-FOGO</t>
  </si>
  <si>
    <t>PCF1</t>
  </si>
  <si>
    <t>porta cortafogo 1 fl</t>
  </si>
  <si>
    <t>PCF2</t>
  </si>
  <si>
    <t>porta cortafogo 2 fl</t>
  </si>
  <si>
    <t>PORTAS DE VIDRO TEMPERADO INCOLOR 10MM</t>
  </si>
  <si>
    <t>PV1</t>
  </si>
  <si>
    <t xml:space="preserve">PORTA EM VIDRO TEMPERADO 10mm, ABRIR </t>
  </si>
  <si>
    <t>PORTAS DE VIDRO LAMINADO COR BRONZE 10MM</t>
  </si>
  <si>
    <t>PORTA EM VIDRO LAMINADO 10MM COM MOLAS 1 FOLHA</t>
  </si>
  <si>
    <t>PP2</t>
  </si>
  <si>
    <t>PORTA EM VIDRO TEMPERADO VERDE RAYBAN 10mm - 2 FOLHAS</t>
  </si>
  <si>
    <t>VIDRO TEMPERADO INCOLOR 10MM - FIXO</t>
  </si>
  <si>
    <t>VIDRO FIXO LATERAL PORTA PV1</t>
  </si>
  <si>
    <t>BANDEIRA FIXA SOBRE A PORTA</t>
  </si>
  <si>
    <t xml:space="preserve">PORTA MADEIRA COMPENSADA LISA -  TIPOLOGIA : ABRIR 1 FOLHA </t>
  </si>
  <si>
    <t>P</t>
  </si>
  <si>
    <t>PORTA MADEIRA COMPENSADA LISA -  TIPOLOGIA : ABRIR 1 FOLHA - PORTA BOXS</t>
  </si>
  <si>
    <t>PORTA MADEIRA COMPENSADA LISA , TIPOLOGIA : VAI E VÉM 2 FOLHAS COM REV. LAMINADO MELAMÍNICO</t>
  </si>
  <si>
    <t>PORTA MADEIRA COMPENSADA LISA. TIPOLOGIA: DUAS FOLHAS ASSIMÉTRICAS/ REVETIMENTO EM LAMINADO MELAMÍNICO</t>
  </si>
  <si>
    <t>PORTA DE ABRIR EM MADEIRA LISA</t>
  </si>
  <si>
    <t>PORTA DE CORRER EM MADEIRA LISA</t>
  </si>
  <si>
    <t>PORTA TIPO CORRER 2FLEM MADEIRA LISA</t>
  </si>
  <si>
    <t>JANELAS VENEZIANAS</t>
  </si>
  <si>
    <t>JE</t>
  </si>
  <si>
    <t>JANELA VENEZIANA DE ENTRADA SEM PEITORIL</t>
  </si>
  <si>
    <t>JS</t>
  </si>
  <si>
    <t>JANELA VENEZIANA DE SAÍDA NO NIVEL DA LAJE DE FORRO</t>
  </si>
  <si>
    <t>TIJOLOS DE VIDRO</t>
  </si>
  <si>
    <t>4MM)</t>
  </si>
  <si>
    <t>TIJOLO DE VIDRO</t>
  </si>
  <si>
    <t xml:space="preserve">JANELAS ALUMINIO BRANCO TIPO MAXIMAR, VIDRO LAMINADO 6MM </t>
  </si>
  <si>
    <t>PATAMAR</t>
  </si>
  <si>
    <t>ALUMÍNIO ANODIZADO BRANCO COM VIDRO 6MM</t>
  </si>
  <si>
    <t>ALUMÍNIO ANODIZADO BRANCO E VIDRO LAMINADO 6mm</t>
  </si>
  <si>
    <t>J10A</t>
  </si>
  <si>
    <t>J11</t>
  </si>
  <si>
    <t>ALUMÍNIO ANODIZADO BRANCO COM VIDRO6MM</t>
  </si>
  <si>
    <t>J12</t>
  </si>
  <si>
    <t>J13</t>
  </si>
  <si>
    <t>J14</t>
  </si>
  <si>
    <t>J16</t>
  </si>
  <si>
    <t>J17</t>
  </si>
  <si>
    <t>J18</t>
  </si>
  <si>
    <t>J19</t>
  </si>
  <si>
    <t>J20</t>
  </si>
  <si>
    <t>J21</t>
  </si>
  <si>
    <t>J22</t>
  </si>
  <si>
    <t>J23</t>
  </si>
  <si>
    <t>J24</t>
  </si>
  <si>
    <t>J25</t>
  </si>
  <si>
    <t>J27</t>
  </si>
  <si>
    <t>J28</t>
  </si>
  <si>
    <t>J29</t>
  </si>
  <si>
    <t>J30</t>
  </si>
  <si>
    <t>J31</t>
  </si>
  <si>
    <t>J32</t>
  </si>
  <si>
    <t>J33</t>
  </si>
  <si>
    <t>J34</t>
  </si>
  <si>
    <t>J36</t>
  </si>
  <si>
    <t>ALUMÍNIO ANODIZADO BRANCO  E VIDRO LAMINADO 6mm</t>
  </si>
  <si>
    <t>J37</t>
  </si>
  <si>
    <t>J45</t>
  </si>
  <si>
    <t>ALUMÍNIO ANODIZADO BRANCO ALCOA LINNHA UNIT(TIPOLOGIA ENTRE VÃOS) E VIDRO LAMINADO 6mm</t>
  </si>
  <si>
    <t>J46</t>
  </si>
  <si>
    <t>J60</t>
  </si>
  <si>
    <t>J61</t>
  </si>
  <si>
    <t>J62</t>
  </si>
  <si>
    <t>J65</t>
  </si>
  <si>
    <t>J67</t>
  </si>
  <si>
    <t>ALUMÍNIO ANODIZADO BRANCO ALCOA LINHA UNIT(TIPOLOGIA CORTINA DEVIDRO) E VIDRO LAMINADO 6mm</t>
  </si>
  <si>
    <t>J69</t>
  </si>
  <si>
    <t>J70</t>
  </si>
  <si>
    <t>J71</t>
  </si>
  <si>
    <t>J72</t>
  </si>
  <si>
    <t>J85</t>
  </si>
  <si>
    <t>ALUMÍNIO ANODIZADO BRANCO ALCOA LINNHA UNIT(TIPOLOGIA CORTINA DEVIDRO) E VIDRO LAMINADO 6mm</t>
  </si>
  <si>
    <t>J86</t>
  </si>
  <si>
    <t>J87</t>
  </si>
  <si>
    <t>J88</t>
  </si>
  <si>
    <t>J89</t>
  </si>
  <si>
    <t>J90</t>
  </si>
  <si>
    <t>J91</t>
  </si>
  <si>
    <t>J92</t>
  </si>
  <si>
    <t>J93</t>
  </si>
  <si>
    <t>J98</t>
  </si>
  <si>
    <t>J99</t>
  </si>
  <si>
    <t>J100</t>
  </si>
  <si>
    <t>J101</t>
  </si>
  <si>
    <t>J102</t>
  </si>
  <si>
    <t>J103</t>
  </si>
  <si>
    <t>J104</t>
  </si>
  <si>
    <t>J105</t>
  </si>
  <si>
    <t>J106</t>
  </si>
  <si>
    <t>J107</t>
  </si>
  <si>
    <t>JANELA DE CORRER 4 FL EM ALUMÍNIO E VIDRO 6MM</t>
  </si>
  <si>
    <t>JANELA DE CORRER 8 FL EM ALUMÍNIO E VIDRO 6MM</t>
  </si>
  <si>
    <t>JANELA PIVOTANTE EM ALUMÍNIO E VIDRO 4MM</t>
  </si>
  <si>
    <t>JANELA EM ALUMÍNIO E VIDRO (COORRER 2FL)</t>
  </si>
  <si>
    <t>JANELA EM ALUMÍNIO E VIDRO (ABRIR)</t>
  </si>
  <si>
    <t>JANELA EM ALUMÍNIO E VIDRO (ABRIR 2FL)</t>
  </si>
  <si>
    <t>JANELA EM ALUMÍNIO E VIDRO (CORRER 8 FL)</t>
  </si>
  <si>
    <t>JANELA EM ALUMÍNIO E VIDRO (CORRER 4 FL)</t>
  </si>
  <si>
    <t>JANELA EM ALUMÍNIO E VIDRO (PIVOTANTE 3 FL)</t>
  </si>
  <si>
    <t>JANELA EM ALUMÍNIO E VIDRO (CORRER 2 FL)</t>
  </si>
  <si>
    <t>GUARDA-CORPO EM ALUMINIO BRANCO E VIDRO LAMINADO 10MM</t>
  </si>
  <si>
    <t>GUARDA-CORPO</t>
  </si>
  <si>
    <t>QUADROS FIXOS - VISORES E GUICHêS</t>
  </si>
  <si>
    <t>VISOR</t>
  </si>
  <si>
    <t>VISOR VIDRO TRANSPARENTE 6MM FIXO</t>
  </si>
  <si>
    <t>GUICHÊ</t>
  </si>
  <si>
    <t xml:space="preserve"> VIDRO TRANSPARENTE 6MM FIXO</t>
  </si>
  <si>
    <t>CORTINA EM ALUMÍNIO ANODIZADO ALCOA LINHA CITTA DUE VIDRO LAMINADO 9MM NA COR BRONZE</t>
  </si>
  <si>
    <t>S/R</t>
  </si>
  <si>
    <t>CORTINA EM ALUMINIO ANODIZADO ALCOA LINHA CITTA DUE  VIDRO LAMINADO 9MM NA COR BRONZE</t>
  </si>
  <si>
    <t>GRADIL EM ALUMÍNIO TUBULAR</t>
  </si>
  <si>
    <t>GRADE EM ALUMINIO TUBULAR</t>
  </si>
  <si>
    <t>PORTA VAI-VEM 2 FL EM ALUMÍNIO E VIDRO 6MM</t>
  </si>
  <si>
    <t>PORTA DE ABRIR EM ALUMINIO E VIDRO</t>
  </si>
  <si>
    <t>PORTA DE ABRIR 2 FL EM ALUMÍNIO E VIDRO 6MM</t>
  </si>
  <si>
    <t>PORTA DE CORRER EM ALUMÍNIO E VIDRO</t>
  </si>
  <si>
    <t>PORTA DE ALUMINIO TIPO VENEZIANA</t>
  </si>
  <si>
    <t>PORTA DE ALUMÍNIO</t>
  </si>
  <si>
    <t>PORTA DE COM TELA PARA ALAMBRADO</t>
  </si>
  <si>
    <t>PORTA DE ABRIR EM GRADE METÁLICA</t>
  </si>
  <si>
    <t>PORTA DE CORRER EM GRADE METÁLCA</t>
  </si>
  <si>
    <t>PORTAS DE MADEIRA COM REVESTIMENTO MELAMINICO - ABRIR - BANHEIRO</t>
  </si>
  <si>
    <t>PORTA DE ALUMINIO E VIDRO - ABRIR</t>
  </si>
  <si>
    <t>PORTA DE ALUMINIO E VIDRO -CORRER</t>
  </si>
  <si>
    <t>PORTAS DE MADEIRA PARA REVESTIMENTO MELAMINICO - ABRIR</t>
  </si>
  <si>
    <t>PORTAS DE MADEIRA PARA REVESTIMENTO MELAMINICO - CORRER</t>
  </si>
  <si>
    <t>REVESTIMENTO DE PORTAS COM LAMINADO MELAMINICO</t>
  </si>
  <si>
    <t>PORTAS DE MADEIRA - AREA DAS PORTAS MULTIPLICADO POR 2,15</t>
  </si>
  <si>
    <t>TOTAL
 REBOCO</t>
  </si>
  <si>
    <t>TOTAL
 EMBOÇO</t>
  </si>
  <si>
    <t>EMBOCO
INTERNO</t>
  </si>
  <si>
    <t>LEVANTAMENTO DE CERAMICA FACHADAS</t>
  </si>
  <si>
    <t>PASTILHA BRANCA 5X5</t>
  </si>
  <si>
    <t>FACHADA NORTE</t>
  </si>
  <si>
    <t>FACHADA SUL</t>
  </si>
  <si>
    <t>FACHADA OESTE</t>
  </si>
  <si>
    <t>FACHADA LESTE</t>
  </si>
  <si>
    <t>GAIL BRANCO (D)</t>
  </si>
  <si>
    <t>PORCELANATO CONCRETISSIMO (G)</t>
  </si>
  <si>
    <t>CARPETE</t>
  </si>
  <si>
    <t>4.1.2</t>
  </si>
  <si>
    <t>4.2.27</t>
  </si>
  <si>
    <t>4.2.28</t>
  </si>
  <si>
    <t>4.2.29</t>
  </si>
  <si>
    <t>4.2.30</t>
  </si>
  <si>
    <t>TOTAL REVESTIMENTO INTERNO EM PAREDES</t>
  </si>
  <si>
    <t>TOTAL REVESTIMENTO EXTERNO EM PAREDE</t>
  </si>
  <si>
    <t>6.5</t>
  </si>
  <si>
    <t>6.5.1</t>
  </si>
  <si>
    <t>6.5.2</t>
  </si>
  <si>
    <t>6.5.3</t>
  </si>
  <si>
    <t>6.5.4</t>
  </si>
  <si>
    <t>6.5.5</t>
  </si>
  <si>
    <t>6.5.6</t>
  </si>
  <si>
    <t>6.5.7</t>
  </si>
  <si>
    <t>6.5.8</t>
  </si>
  <si>
    <t>6.5.9</t>
  </si>
  <si>
    <t>COMP-92</t>
  </si>
  <si>
    <t>7.2.1</t>
  </si>
  <si>
    <t>eletrica alta tensão</t>
  </si>
  <si>
    <t>elétrica baixa tensão</t>
  </si>
  <si>
    <t>Eletrônicas, logica, Spda e Monitoramento Cardiaco</t>
  </si>
  <si>
    <t>ÁREA DE URBANIZAÇÃO</t>
  </si>
  <si>
    <t>Á de Const equiv</t>
  </si>
  <si>
    <t>TOTAL INSTALAÇÃO DE AR-CONCIONADO</t>
  </si>
  <si>
    <t>EQUIPAMENTOS</t>
  </si>
  <si>
    <t>12.1.1</t>
  </si>
  <si>
    <t>12.1.2</t>
  </si>
  <si>
    <t>12.1.3</t>
  </si>
  <si>
    <t>12.1.4</t>
  </si>
  <si>
    <t>12.1.5</t>
  </si>
  <si>
    <t>12.1.6</t>
  </si>
  <si>
    <t>12.2.1</t>
  </si>
  <si>
    <t>12.2.2</t>
  </si>
  <si>
    <t>12.2.3</t>
  </si>
  <si>
    <t>12.2.4</t>
  </si>
  <si>
    <t>12.2.5</t>
  </si>
  <si>
    <t>13.1.1</t>
  </si>
  <si>
    <t>13.1.2</t>
  </si>
  <si>
    <t>13.1.3</t>
  </si>
  <si>
    <t>13.1.4</t>
  </si>
  <si>
    <t>13.1.5</t>
  </si>
  <si>
    <t>13.1.6</t>
  </si>
  <si>
    <t>13.1.7</t>
  </si>
  <si>
    <t>13.1.8</t>
  </si>
  <si>
    <t>13.1.9</t>
  </si>
  <si>
    <t>13.1.10</t>
  </si>
  <si>
    <t>13.1.11</t>
  </si>
  <si>
    <t>13.1.12</t>
  </si>
  <si>
    <t>13.1.13</t>
  </si>
  <si>
    <t>13.1.14</t>
  </si>
  <si>
    <t>13.1.15</t>
  </si>
  <si>
    <t>13.1.16</t>
  </si>
  <si>
    <t>13.1.17</t>
  </si>
  <si>
    <t>13.1.18</t>
  </si>
  <si>
    <t>13.1.19</t>
  </si>
  <si>
    <t>13.2.1</t>
  </si>
  <si>
    <t>13.2.2</t>
  </si>
  <si>
    <t>13.2.3</t>
  </si>
  <si>
    <t>13.2.4</t>
  </si>
  <si>
    <t>13.2.5</t>
  </si>
  <si>
    <t>13.2.6</t>
  </si>
  <si>
    <t>13.2.7</t>
  </si>
  <si>
    <t>13.2.8</t>
  </si>
  <si>
    <t>13.2.9</t>
  </si>
  <si>
    <t>13.2.10</t>
  </si>
  <si>
    <t>13.2.11</t>
  </si>
  <si>
    <t>13.3</t>
  </si>
  <si>
    <t>13.3.1</t>
  </si>
  <si>
    <t>13.3.2</t>
  </si>
  <si>
    <t>13.3.3</t>
  </si>
  <si>
    <t>13.3.4</t>
  </si>
  <si>
    <t>13.3.5</t>
  </si>
  <si>
    <t>13.3.6</t>
  </si>
  <si>
    <t>13.3.7</t>
  </si>
  <si>
    <t>9.6.2</t>
  </si>
  <si>
    <t>9.6.3</t>
  </si>
  <si>
    <t>9.6.4</t>
  </si>
  <si>
    <t>9.6.5</t>
  </si>
  <si>
    <t>9.6.6</t>
  </si>
  <si>
    <t>9.6.7</t>
  </si>
  <si>
    <t>9.6.8</t>
  </si>
  <si>
    <t>9.6.9</t>
  </si>
  <si>
    <t>9.6.10</t>
  </si>
  <si>
    <t>9.6.11</t>
  </si>
  <si>
    <t>9.6.12</t>
  </si>
  <si>
    <t>9.6.13</t>
  </si>
  <si>
    <t>9.6.14</t>
  </si>
  <si>
    <t>9.6.15</t>
  </si>
  <si>
    <t>9.6.16</t>
  </si>
  <si>
    <t>9.6.17</t>
  </si>
  <si>
    <t>9.6.18</t>
  </si>
  <si>
    <t>9.6.19</t>
  </si>
  <si>
    <t>9.6.20</t>
  </si>
  <si>
    <t>9.6.21</t>
  </si>
  <si>
    <t>9.6.22</t>
  </si>
  <si>
    <t>9.6.23</t>
  </si>
  <si>
    <t>9.6.24</t>
  </si>
  <si>
    <t>9.6.25</t>
  </si>
  <si>
    <t>9.6.26</t>
  </si>
  <si>
    <t>9.6.27</t>
  </si>
  <si>
    <t>9.6.28</t>
  </si>
  <si>
    <t>9.6.29</t>
  </si>
  <si>
    <t>9.6.30</t>
  </si>
  <si>
    <t>9.6.31</t>
  </si>
  <si>
    <t>9.6.32</t>
  </si>
  <si>
    <t>9.6.33</t>
  </si>
  <si>
    <t>ÁREA DE CONSTRUÇÃO REAL DA NOVA MATERNIDADE DE TERESINA</t>
  </si>
  <si>
    <t>PAVIMENTO</t>
  </si>
  <si>
    <t>SUBSOLO ESTACIONAMENTO</t>
  </si>
  <si>
    <t>SUBSOLO - PRÉDIOS</t>
  </si>
  <si>
    <t>NECROTÉRIO</t>
  </si>
  <si>
    <t>SUBESTAÇÃO GERADOR</t>
  </si>
  <si>
    <t>ANEXO V - BANCO DE LEITE - ALMOXARIFADO</t>
  </si>
  <si>
    <t>ANEXO VI - CENTRAL DE RESÍDUOS</t>
  </si>
  <si>
    <t>TÉRREO - PRÉDIO PRINCIPAL</t>
  </si>
  <si>
    <t>ESTACIONAMENTO DESCOBERTO/ÁREAS URBANIZADAS/VIAS INTERNAS/PAISAGISMO</t>
  </si>
  <si>
    <t>2º PAVIMENTO</t>
  </si>
  <si>
    <t>3º PAVIMENTO</t>
  </si>
  <si>
    <t>4º PAVIMENTO</t>
  </si>
  <si>
    <t>5º PAVIMENTO</t>
  </si>
  <si>
    <t>6º PAVIMENTO</t>
  </si>
  <si>
    <t>7º PAVIMENTO</t>
  </si>
  <si>
    <t>8º PAVIMENTO</t>
  </si>
  <si>
    <t>9º PAVIMENTO - RAMPA DE ACESSO AO HELIPONTO</t>
  </si>
  <si>
    <t>TOTAL GERAL DE ÁREA CONSTRUÍDA</t>
  </si>
  <si>
    <t xml:space="preserve">INSTALACOES  GASES ESPECIAIS E MEDICINAIS - instalações da rede em tubos de cobre, válvulas de segurança, sistema de alarme, centrais de gases medicinais, instalação de pontos de consumo, instalações de painéis modulares das cabeceiras) </t>
  </si>
  <si>
    <t>INSTALAÇÕES HIDRÁULICAS - ÁGUA FRIA E ÁGUA QUENTE - tubulações de água fria, registros e válvulas, drenos de ar-condicionado, boileres, sistema de irrigação, bombas de recalque)</t>
  </si>
  <si>
    <t>comp</t>
  </si>
  <si>
    <t>ATERRO DE CAIXA DE EDIFICAÇÃO</t>
  </si>
  <si>
    <t>CONCRETO SIMPLES USINADO FCK 15 MPA, LANCADO E ADENSADO</t>
  </si>
  <si>
    <t>FORMA PLANA PARA ESTRUTURA EM COMPENSADO RESINADO DE 12MM, 02 USOS, INCLUSIVE ESCORAMENTOS</t>
  </si>
  <si>
    <t>ACO CA-50 DIAM 6.3 A 12,5MM, INCLUSIVE CORTE, DOBRAGEM, MONTAGEM E COLOCAÇÃO DAS FERRAGENS NAS FORMAS, PARA SUPERESTRUTURA E FUNDAÇÕES</t>
  </si>
  <si>
    <t>ALVENARIA BLOCO CERAMICO VEDAÇÃO 9X19X19CM E 9CM</t>
  </si>
  <si>
    <t>REBOCO OU EMBOÇO</t>
  </si>
  <si>
    <t>CHAPISCO</t>
  </si>
  <si>
    <t>PINTURA ACRILICA PARA EXTERIORES</t>
  </si>
  <si>
    <t>74138/001</t>
  </si>
  <si>
    <t>1.4.10</t>
  </si>
  <si>
    <t>1.8.10</t>
  </si>
  <si>
    <t>1.8.11</t>
  </si>
  <si>
    <t>1.8.12</t>
  </si>
  <si>
    <t>1.8.13</t>
  </si>
  <si>
    <t>1.9.1</t>
  </si>
  <si>
    <t>1.9.2</t>
  </si>
  <si>
    <t>2.3.16</t>
  </si>
  <si>
    <t>AREA DE CONSTRUÇÃO</t>
  </si>
  <si>
    <t>VALOR POR M2 QUADRADO</t>
  </si>
  <si>
    <t>CUSTO POR M2 QUADRADO</t>
  </si>
  <si>
    <t>ÁREA DO TERRENO: 16.694 M2;  ÁREA CONSTRUÍDA: 26.881,36 M2;  PRAZO DA OBRA: 06 MESES PARA PROJETOS E 28 MESES PARA CONSTRUÇÃO</t>
  </si>
  <si>
    <t>AUXILIAR TÉCNICO DE ENGENHARIA COM ENCARGOS COMPLEMENTARES - 2 UN</t>
  </si>
  <si>
    <t>MESTRE DE OBRAS - 1 MESTRE - 28 MESES</t>
  </si>
  <si>
    <t>ESTAGIÁRIO - 2 UNIDADES - 28 MESES</t>
  </si>
  <si>
    <t>ENCARREGADOS ARMAÇÃO/ CARPINTARIA/ ALVENARIA E ACABAMENTOS - 3 ENCARREGADOS - 28 MESES</t>
  </si>
  <si>
    <t xml:space="preserve">VÁLVULA EM METAL CROMADO TIPO AMERICANA 3.1/2" X 1.1/2" PARA PIA </t>
  </si>
  <si>
    <t>Teresina Piauí, 26 de agosto de 2016.</t>
  </si>
  <si>
    <t>INSTALACOES SANITARIAS / PLUVIAIS - tubulação em pvc, caixas, drenagens diversas, águas pluviais)</t>
  </si>
  <si>
    <t>ESCADAS E CORRIMÃOS METÁLICOS</t>
  </si>
  <si>
    <t>TOTAL ESCADAS E CORRIMÃOS METÁLICOS</t>
  </si>
  <si>
    <t>ESTUDOS GEOTÉCNICOS E TOPOGRÁFICOS</t>
  </si>
  <si>
    <t>Importa o presente em R$</t>
  </si>
  <si>
    <t>INSTALAÇÕES PROVISÓRIAS PARA CANTEIRO DE OBRAS</t>
  </si>
  <si>
    <t>ENSAIOS TECNOLÓGICOS</t>
  </si>
  <si>
    <t>TOTAL SERVIÇOS ENSAIOS TECNOLÓGICOS</t>
  </si>
  <si>
    <t>TOTAL ESTUDOS GEOTÉCNICOS E TOPOGRÁFICOS</t>
  </si>
  <si>
    <t>FECHAMENTOS, PROTEÇÕES E SINALIZAÇÕES DA OBRA</t>
  </si>
  <si>
    <t>TOTAL FECHAMENTOS, PROTEÇÕES E SINALIZAÇÕES DA OBRA</t>
  </si>
  <si>
    <t>TOTAL INSTALAÇÕES PROVISÓRIAS PARA CANTEIROS DE OBRAS</t>
  </si>
  <si>
    <t>TOTAL MÁQUINAS E FERRAMENTAS E EQUIPAMENTOS</t>
  </si>
  <si>
    <t>TOTAL CONSUMOS</t>
  </si>
  <si>
    <t xml:space="preserve">LIMPEZA DA OBRA </t>
  </si>
  <si>
    <t xml:space="preserve">TOTAL LIMPEZA DA OBRA </t>
  </si>
  <si>
    <t>TOTAL DRENAGENS E CONTENÇÕES INTERNAS À OBRA</t>
  </si>
  <si>
    <t>TOTAL FUNDAÇÃO DA CORTINA DO SUBSOLO - BASE DE 100 X 30CM - ESPESSURA PAREDE 20CM - PROF. 100CM</t>
  </si>
  <si>
    <t>FUNDAÇÃO EM SAPATAS</t>
  </si>
  <si>
    <t>TOTAL LAJES, RAMPAS E ESCADAS, RESERVATÓRIO SUPERIOR</t>
  </si>
  <si>
    <t>TOTAL CINTAMENTO EM CONCRETO NA ALTURA DE PORTAS E JANELAS - H=2,10M</t>
  </si>
  <si>
    <t>TOTAL RESERVATÓRIO INFERIOR</t>
  </si>
  <si>
    <t>TOTAL VIDROS</t>
  </si>
  <si>
    <t>TOTAL ELEMENTOS DE FACHADAS / OUTROS</t>
  </si>
  <si>
    <t>TOTAL COBERTURA/TELHADOS</t>
  </si>
  <si>
    <t>TOTAL REVESTIMENTOS, FORROS, MARCENARIA, SERRALHERIA E PINTURAS</t>
  </si>
  <si>
    <t>TOTAL PAVIMENTAÇÃO E PISOS</t>
  </si>
  <si>
    <t>BANCADAS</t>
  </si>
  <si>
    <t>TOTAL BANCADAS</t>
  </si>
  <si>
    <t>TOTAL INSTALAÇÕES DE GASES ESPECIAIS E MEDICINAIS</t>
  </si>
  <si>
    <t>INSTALAÇÕES HIDRÁULICAS - ÁGUA FRIA E ÁGUA QUENTE</t>
  </si>
  <si>
    <t>TOTAL INSTALAÇÕES HIDRÁULICAS - ÁGUA FRIA E ÁGUA QUENTE</t>
  </si>
  <si>
    <t>TOTAL INSTALAÇÕES SANITÁRIAS/PLUVIAIS</t>
  </si>
  <si>
    <t>TOTAL INSTALAÇÕES ELÉTRICAS/ SUBESTAÇÃO / TELEFÔNICAS / SPDA/EQUIPAMENTOS NO BREAK/ESTABILIZADOR/CABEAMENTO ESTRUTURADO/ CFTV E SISTEMAS ELETRÔNICOS</t>
  </si>
  <si>
    <t>TOTAL EQUIPAMENTOS</t>
  </si>
  <si>
    <t>TOTAL PAISAGISMO - GRAMAS E ARBUSTOS</t>
  </si>
  <si>
    <t>TOTAL PAVIMENTAÇÃO EXTERNA</t>
  </si>
  <si>
    <t>URBANIZAÇÃO, PAISAGISMO E PAVIMENTAÇÃO EXTERNA</t>
  </si>
  <si>
    <t>TOTAL URBANIZAÇÃO, PAISAGISMO E PAVIMENTAÇÃO EXTERNA</t>
  </si>
  <si>
    <t>TOTAL CONSTRUÇÃO DE HELIPONTO INCLUINDO ELABORAÇÃO E APROVAÇÃO DE PROJETO E HOMOLOGAÇÃO NA ANAC</t>
  </si>
  <si>
    <t>TOTAL COMPLEMENTAÇÕES DA OBRA E SERVIÇOS FINAIS</t>
  </si>
  <si>
    <t>FORNECIMENTO E INSTALAÇÃO DE FACHADA EM PELE DE VIDRO, LINHA CITTA DUE ALCOA, OU SIMILAR/QUALIDADE EQUIVALENTE, EM VIDRO LAMINADO 3+3 PRATA</t>
  </si>
  <si>
    <t>CHAPIM DE CONCRETO PRÉ-MOLADADO</t>
  </si>
  <si>
    <t>PORTA EM MADEIRA COMPENSADA (CANELA), LISA, SEMI-ÔCA, 1,60 X 2,10 M, 2 FOLHAS, COM VISOR(30X30CM), TIPO VAI-VEM, INCLUSIVE BATENTES E FERRAGENS</t>
  </si>
  <si>
    <t>PORTA ESPECIAL COM REVESTIMENTO DE CHUMBO, E=2MM</t>
  </si>
  <si>
    <t>PORTA P/ CÂMARA FRIGORÍFICA, NÚCLEO EM PUR, REVESTIDA NAS DUAS FACES COM AÇO PRÉ-PINTADO (RAL9003), ACABAMENTO LATERAL EM ALUMINIO, GIRATÓRIA C/ CHAVE, 2 FOLHAS COM DIM. 2,00 X 2,10 X 0,10, MANUAL.</t>
  </si>
  <si>
    <t>ESTRUTURA METÁLICA EM AÇO SAC 300, VÃOS DE ATÉ 12M, INCLUSIVE CHAPA XADREZ PARA PISOS E=1/4"</t>
  </si>
  <si>
    <t xml:space="preserve">EXTINTOR INCENDIO AGUA-PRESSURIZADA 10L INCL SUPORTE PAREDE CARGA COMPLETA FORNECIMENTO E COLOCACAO                                                                                                     </t>
  </si>
  <si>
    <t xml:space="preserve">EXTINTOR INCENDIO TP PO QUIMICO 4KG FORNECIMENTO E COLOCACAO                                                                                                                                            </t>
  </si>
  <si>
    <t xml:space="preserve">EXTINTOR DE CO2 6KG - FORNECIMENTO E INSTALACAO                                                                                                                                                         </t>
  </si>
  <si>
    <t xml:space="preserve">PROTECAO DE FACHADA COM TELA DE POLIPROPILENO FIXADA EM ESTRUTURA DE MADEIRA COM ARAME GALVANIZADO                                                                                                      </t>
  </si>
  <si>
    <t xml:space="preserve">BANDEJA SALVA-VIDAS/COLETA DE ENTULHOS, COM TABUA                                                                                                                                                       </t>
  </si>
  <si>
    <t>MOBILIZACAO E INSTALACAO DE 01 EQUIPAMENTO DE SONDAGEM, DISTANCIA DE 10KM ATE 20KM</t>
  </si>
  <si>
    <t>PLOTAGEM EM PAPEL FORMATO A-1</t>
  </si>
  <si>
    <t>FORRO DE GESSO ACARTONADO, FGE - FORRO GYPSUM ESTRUTURADO, EM CHAPA GYPSUM DRYWALL, RT BR 12,5MM, DA GYPSUM OU SIMILAR - FORNECIMENTO E APLICAÇÃO</t>
  </si>
  <si>
    <t>FORRO DE GESSO ACARTONADO REMOVÍVEL, COR BRANCO, PLACA 1243 X 618MM, GESSOLYNE GYPSUM OU SIMILAR - FORNECIMENTO E APLICAÇÃO</t>
  </si>
  <si>
    <t>GUARDA-CORPO EM TUBO DE AÇO INOX Ø=1 1/2", DUPLO, COM MONTANTES E FECHAMENTO EM TUBO INOX Ø=1 1/2", H=96CM, C/ACABAMENTO POLIDO, P/FIXAÇÃO EM PISO</t>
  </si>
  <si>
    <t>CORRIMÃO EM TUBO DE AÇO GALVANIZADO (ALTURA = 0,90 M), COM BARRAS VERTICAIS A CADA 2.00M (2"), BARRA HORIZONTAL INTERMEDIÁRIA (1 1/2") E BARRA HORIZONTAL SUPERIOR (1 1/2")</t>
  </si>
  <si>
    <t>RODAPE EM PORCELANATO RETIFICADO H=10 CM - NA MESMA ESPECIFICAÇÃO DO PISO</t>
  </si>
  <si>
    <t>CUBA DE SEMI-ENCAIXE, DIM. 49 X 40CM, INCEPA, LINHA OCEAN PACIFIC, REF. 63027 OU SIIMILAR, EXCLUSIVE SIFÃO, ENGATE, VÁLVULA E TORNEIRA</t>
  </si>
  <si>
    <t>TANQUE EM AÇO INOX, INCLUSO TORNEIRA CROMADA E SIFÃO METÁLICO</t>
  </si>
  <si>
    <t>TORNEIRA PARA LAVATORIO CIRÚRGICO COM ACIONAMENTO COTOVELO MOD. 455 OU SIMILAR</t>
  </si>
  <si>
    <t>BANCO DE CONCRETO EM ALVENARIA DE TIJOLOS, ASSENTO EM CONCRETO ARMADO, SEM ENCOSTO, PINTADO COM TINTA ACRÍLICA, 2 DEMÃOS</t>
  </si>
  <si>
    <t>LETRAS EM AÇO ESCOVADO 40 X 40 CM - (MATERNIDADE DE REFERÊNCIA ESTADUAL DO PIAUÍ)</t>
  </si>
  <si>
    <t>FORNECIMENTO E INSTALAÇÃO DE 8 UNIDADES DE ELEVADORES, SENDO 2 ELEVADORES SOCIAIS COM CAPACIDADE PARA 21 PESSOAS OU 1575 KG - 9 PARADAS; E 6 ELEVADORES PARA MACAS , CAPACIDADE PARA 16 PESSOAS OU 1200 KG, 9 PARADAS . CABINE EM AÇO INOXIDÁVEL, PORTAS EM AÇO INOXIDÁVEL EM TODOS OS PAVIMENTOS - MODELO REFERÊNCIA SCHINDLER 5500, CABINE MODELO TIMES SQUARE, OU EQUIVALENTE TÉCNICO - ELEVADORES SEM CASA DE MÁQUINAS, OU SIMILAR/QUALIDADE EQUIVALENTE</t>
  </si>
  <si>
    <t>BANHEIRA INOX BERÇÁRIOS (100X56CM) COM CUBA (70X40X20/23CM) - HIDRONOX OU SIMILAR/QUALIDADE EQUIVALENTE, INCLUSIVE VÁLVULA AMERICANA</t>
  </si>
  <si>
    <t>REVESTIMENTO CERÂMICO PARA PISO, 60 X 60 CM, PORCELANATO RETIFICADO LINHA BIANCO PLUS, ELIANE OU SIMILAR/QUALIDADE EQUIVALENTE, APLICADO COM ARGAMASSA INDUSTRIALIZADA AC-III, REJUNTADO COM REJUNTE EPÓXI, EXCLUSIVE REGULARIZAÇÃO DE BASE, OU EQUIVALENTE TÉCNICO</t>
  </si>
  <si>
    <t>PISO VINILICO SEMIFLEXIVEL EM MANTA, LINHA IQ OPTIMA CLASSIC - MARCA TARKETT , ESPESSURA 2,0MM, FIXADO COM COLA OU SIMILAR/EQUIVALENTE TÉCNICO</t>
  </si>
  <si>
    <t>FORNECIMENTO E COLOCAÇÃO DE FORRO EM FIBRA MINERAL ARMSTRONG GEORGIAN (RH 90), OU SIMILAR/QUALIDADE EQUIVALENTE</t>
  </si>
  <si>
    <t>REVESTIMENTO CERÂMICO PARA PAREDES, GAIL - LINHA SPORT, PLACA EXTRUDADA, REF. 1009, DIMENSÕES 24X11,6CM, OU SIMILAR/EQUIVALENTE TÉCNICA, APLICADO COM ARGAMASSA INDUSTRIALIZADA AC-III, REJUNTADO, EXCLUSIVE REGULARIZAÇÃO DE BASE OU EMBOÇO (ORSE - 09117 ADAPTADA)</t>
  </si>
  <si>
    <t xml:space="preserve">REVESTIMENTO EXTERNO EM FACHADAS DE PRÉDIOS COM CERÂMICA TIPO PORCELANATO CONCRETÍSSIMO -M 30X90CM OU SIMILAR/EQUIVALENTE TÉCNICO </t>
  </si>
  <si>
    <t>ARMAÇÃO DE PILAR OU VIGA DE UMA ESTRUTURA CONVENCIONAL DE CONCRETO ARMADO EM UM EDIFÍCIO DE MÚLTIPLOS PAVIMENTOS UTILIZANDO AÇO CA-50 DE 20.0 MM - MONTAGEM. AF_12/2015</t>
  </si>
  <si>
    <t>MONTAGEM E DESMONTAGEM DE FÔRMA DE PILARES RETANGULARES E ESTRUTURAS SIMILARES COM ÁREA MÉDIA DAS SEÇÕES MENOR OU IGUAL A 0,25 M², PÉ-DIREITO DUPLO , EM CHAPA DE MADEIRA COMPENSADA PLASTIFICADA, 12 UTILIZAÇÕES. AF_12/2015</t>
  </si>
  <si>
    <t>ALVENARIA EM TIJOLO CERAMICO FURADO 9X19X19CM, 1 VEZ (ESPESSURA 19 CM , ASSENTADO EM ARGAMASSA TRACO 1:4 (CIMENTO E AREIA MEDIA NAO PENEIRADA), PREPARO MANUAL, JUNTA1 CM</t>
  </si>
  <si>
    <t>EMBOÇO, INTERNO E EXTERNO, PARA RECEBIMENTO DE CERÂMICA, EM ARGAMASSA TRAÇO 1:2:8, PREPARO MECÂNICO COM BETONEIRA 400L, APLICADO MANUALMENTE EM FACES INTERNAS DE PAREDES DE AMBIENTES COM ÁREA ENTRE 5M2  E 10M2, ESPESSURA DE 20MM, COM EXECUÇÃO DE TALISCAS.</t>
  </si>
  <si>
    <t>PLACA IDENTIFICATIVA GRANDE - PLACA EM ACRILICO CRISTAL 3MM, TEXTOS E SETAS EM ADESIVO DIGITAL TIPO ESPELHO, DIM. 0,48x0,48M, FIXADA SOBRE A PORTA OU SUSPENSA COM CABOS DE AÇO. TEXTO CENTRALIZADO NA PLACA</t>
  </si>
  <si>
    <t>PDA - PLACA IDENTIFICATIVA AÉREA - PLACA DUPLA FACE CONFECCIONADA EM ACRILICO BRANCO LEITOSO, TIPO SANDUICHE, COM APLICAÇÃO DE ADESIVO SOBREPOSTO (TEXTOS E SETAS EM VINIL ADESIVO) E FIXAÇÃO COM CABOS DE AÇO.-0,50X1,50M</t>
  </si>
  <si>
    <t>Placa em acrilico cristal 3mm, (80x1,20cm), placas direcionais, com aplicação de adesivo digital tipo espelho, fixada com fita dupla face na parede (fornec.e aplicação) - a= 0,96m2 - 1 m2 custa R$ 786,67</t>
  </si>
  <si>
    <t>TRANSPORTE LOCAL COM CAMINHÃO BASCULANTE 6 M3, RODOVIA PAVIMENTADA - (PARA DISTÂNCIAS SUPERIORES A 4 KM)</t>
  </si>
  <si>
    <t>ADMINISTRAÇÃO  LOCAL DA OBRA</t>
  </si>
  <si>
    <t>TOTAL ADMINISTRAÇÃO LOCAL DA OBRA</t>
  </si>
  <si>
    <t>ENGENHEIRO ELETRICISTA - RESIDENTE DE OBRA - 1 ENGENHEIRO - 20 MESES</t>
  </si>
  <si>
    <t>AUXILIAR DE ESCRITORIO COM ENCARGOS COMPLEMENTARES - 3 UNID (ENCARREGADO DE PESSOAL/AUXILIAR ADMINISTRATIVO/COMPRADOR)</t>
  </si>
  <si>
    <t>ENGENHEIRO DE MEDICINA E SEGURANÇA DO TRABALHO DA OBRA - 1 ENGENHEIRO  - 28 MESES - MEIO-EXPEDIENTE</t>
  </si>
  <si>
    <t>TÉCNICO DE SEGURANÇA DO TRABALHO - 1 UN - 28 MESES</t>
  </si>
  <si>
    <t>ENGENHEIRO CIVIL DE OBRA - RESIDENTE DA OBRA (2 ENGENHEIROS (1 ENG PLANEJAMENTO/MEDIÇÃO- 1 ENG PRODUÇÃO)- 28MESES)</t>
  </si>
  <si>
    <t>1.8.14</t>
  </si>
  <si>
    <t>ENGENHEIRO DE OBRA SENIOR - 36 MESES - COORDENADOR/GERENTE CONTRATO</t>
  </si>
  <si>
    <t>BETONEIRAS - CONCRETO E MASSA - 60m³/h</t>
  </si>
  <si>
    <t>ELÉTRICAS, ELETRÔNICAS, LOGICA, SPDA E MONITORAMENTO CARDIACO (Instalações de lógica (dados e voz); Instalações do sistema de sonorização; Sistema de chamada de enfermeiras; Sistema de monitoramento cardíaco; Sistema de controle de acesso; Sistema de CFTV; Sistema de TV aberta; Sistema de ponto)</t>
  </si>
  <si>
    <t>CÓDIGO</t>
  </si>
  <si>
    <t>QUANT.</t>
  </si>
  <si>
    <t>BDI GERAL</t>
  </si>
  <si>
    <t>BDI EQUIPAMENTOS</t>
  </si>
  <si>
    <t>TOTAL GERAL DA OBRA COM BDI</t>
  </si>
  <si>
    <t>QUADRO RESUMO DO BDI</t>
  </si>
  <si>
    <t>TOTAL PAVIMENTAÇÃO, PISOS, BANCADAS</t>
  </si>
  <si>
    <t>(COMPOSIÇÃO REPRESENTATIVA) DO SERVIÇO DE ALVENARIA DE VEDAÇÃO DE BLOCOS VAZADOS DE CERÂMICA DE 9X19X19CM (ESPESSURA 9CM), PARA EDIFICAÇÃO HABITACIONAL MULTIFAMILIAR (PRÉDIO). AF_11/2014</t>
  </si>
  <si>
    <t>TRANSPORTE HORIZONTAL, MASSA/GRANEL, JERICA 90L, 30M. AF_06/2014 - ARGAMASSA PARA ALVENARIA - BETONEIRA ATÉ O ELEVADOR</t>
  </si>
  <si>
    <t>T</t>
  </si>
  <si>
    <t>TRANSPORTE HORIZONTAL, SACOS 20 KG, CARRINHO PLATAFORMA, 50M. AF_06/2014</t>
  </si>
  <si>
    <t>TRANSPORTE HORIZONTAL, PLACAS CERÂMICAS, CARRINHO PLATAFORMA, 50M. AF_06/2014</t>
  </si>
  <si>
    <t>TRANSPORTE HORIZONTAL, BLOCOS CERÂMICOS FURADOS NA HORIZONTAL 9X19X19CM, CARRINHO PLATAFORMA, 50M. AF_06/2014</t>
  </si>
  <si>
    <t>TRANSPORTES DIVERSOS DE MATERIAL NA OBRA - DA PRODUÇÃO À PLATAFORMA DO ELEVADOR</t>
  </si>
  <si>
    <t>1.10.4</t>
  </si>
  <si>
    <t>TOTAL TRANSPORTES DIVERSOS DE MATERIAL NA OBRA - DA PRODUÇÃO À PLATAFORMA DO ELEVADOR</t>
  </si>
  <si>
    <t>1.11</t>
  </si>
  <si>
    <t>1.11.1</t>
  </si>
  <si>
    <t>1.11.2</t>
  </si>
  <si>
    <t>1.11.3</t>
  </si>
  <si>
    <t>NOVENTA E SEIS MILHÕES, SETECENTOS E DOIS MIL, SEISCENTOS E NOVENTA REAIS, DEZOITO CENTAVOS)</t>
  </si>
  <si>
    <t>Preço Total
 (R$)</t>
  </si>
  <si>
    <t>Preço Unitário
 SEM BDI
 (R$)</t>
  </si>
  <si>
    <t>Preço Unitário
 COM BDI 
(R$)</t>
  </si>
  <si>
    <r>
      <t xml:space="preserve">KIT DE PORTA DE MADEIRA PARA PINTURA, SEMI-OCA (LEVE OU MÉDIA), PADRÃO MÉDIO, </t>
    </r>
    <r>
      <rPr>
        <b/>
        <u/>
        <sz val="9"/>
        <rFont val="Franklin Gothic Medium Cond"/>
        <family val="2"/>
      </rPr>
      <t>60X210CM</t>
    </r>
    <r>
      <rPr>
        <sz val="9"/>
        <rFont val="Franklin Gothic Medium Cond"/>
        <family val="2"/>
      </rPr>
      <t>, ESPESSURA DE 3,5CM, ITENS INCLUSOS: DOBRADIÇAS, MONTAGEM E INSTALAÇÃO DO BATENTE, FECHADURA COM EXECUÇÃO DO FURO FORNECIMENTO E INSTALAÇÃO. AF_08/2015 - ABRIR</t>
    </r>
  </si>
  <si>
    <r>
      <t xml:space="preserve">KIT DE PORTA DE MADEIRA PARA PINTURA, SEMI-OCA (LEVE OU MÉDIA), PADRÃO MÉDIO, </t>
    </r>
    <r>
      <rPr>
        <b/>
        <u/>
        <sz val="9"/>
        <rFont val="Franklin Gothic Medium Cond"/>
        <family val="2"/>
      </rPr>
      <t>70X210CM</t>
    </r>
    <r>
      <rPr>
        <sz val="9"/>
        <rFont val="Franklin Gothic Medium Cond"/>
        <family val="2"/>
      </rPr>
      <t>, ESPESSURA DE 3,5CM, ITENS INCLUSOS: DOBRADIÇAS, MONTAGEM E INSTALAÇÃO DO BATENTE, FECHADURA COM EXECUÇÃO DO FURO FORNECIMENTO E INSTALAÇÃO. AF_08/2015 - ABRIR</t>
    </r>
  </si>
  <si>
    <r>
      <t>KIT DE PORTA DE MADEIRA PARA PINTURA, SEMI-OCA (LEVE OU MÉDIA), PADRÃO MÉDIO,</t>
    </r>
    <r>
      <rPr>
        <b/>
        <u/>
        <sz val="9"/>
        <rFont val="Franklin Gothic Medium Cond"/>
        <family val="2"/>
      </rPr>
      <t xml:space="preserve"> 80X210CM</t>
    </r>
    <r>
      <rPr>
        <sz val="9"/>
        <rFont val="Franklin Gothic Medium Cond"/>
        <family val="2"/>
      </rPr>
      <t>, ESPESSURA DE 3,5CM, ITENS INCLUSOS: DOBRADIÇAS, MONTAGEM E INSTALAÇÃO DO BATENTE, FECHADURA COM EXECUÇÃO DO FURO FORNECIMENTO E INSTALAÇÃO. AF_08/2015 - ABRIR</t>
    </r>
  </si>
  <si>
    <r>
      <t xml:space="preserve">KIT DE PORTA DE MADEIRA PARA PINTURA, SEMI-OCA (LEVE OU MÉDIA), PADRÃO MÉDIO, </t>
    </r>
    <r>
      <rPr>
        <b/>
        <u/>
        <sz val="9"/>
        <rFont val="Franklin Gothic Medium Cond"/>
        <family val="2"/>
      </rPr>
      <t>90X210CM</t>
    </r>
    <r>
      <rPr>
        <sz val="9"/>
        <rFont val="Franklin Gothic Medium Cond"/>
        <family val="2"/>
      </rPr>
      <t>, ESPESSURA DE 3,5CM, ITENS INCLUSOS: DOBRADIÇAS, MONTAGEM E INSTALAÇÃO DO BATENTE, FECHADURA COM EXECUÇÃO DO FURO FORNECIMENTO E INSTALAÇÃO. AF_08/2015 - ABRIR</t>
    </r>
  </si>
  <si>
    <r>
      <t>PORTA DE MADEIRA COMPENSADA LISA PARA CERA OU VERNIZ,</t>
    </r>
    <r>
      <rPr>
        <b/>
        <u/>
        <sz val="9"/>
        <rFont val="Franklin Gothic Medium Cond"/>
        <family val="2"/>
      </rPr>
      <t xml:space="preserve"> 120X210X3,5</t>
    </r>
    <r>
      <rPr>
        <sz val="9"/>
        <rFont val="Franklin Gothic Medium Cond"/>
        <family val="2"/>
      </rPr>
      <t>CM, 2 FOLHAS (40+80), INCLUSO ADUELA 1A, ALIZAR 1A E DOBRADICAS COM ANEL - DE ABRIR</t>
    </r>
  </si>
  <si>
    <r>
      <t xml:space="preserve">PORTA DE MADEIRA PARA BANHEIRO, EM CHAPA DE MADEIRA COMPENSADA, REVESTIDA COM LAMINADO TEXTURIZADO, </t>
    </r>
    <r>
      <rPr>
        <b/>
        <u/>
        <sz val="9"/>
        <rFont val="Franklin Gothic Medium Cond"/>
        <family val="2"/>
      </rPr>
      <t>60X160CM</t>
    </r>
    <r>
      <rPr>
        <sz val="9"/>
        <rFont val="Franklin Gothic Medium Cond"/>
        <family val="2"/>
      </rPr>
      <t>, INCLUSO MARCO E DOBRADICAS</t>
    </r>
  </si>
</sst>
</file>

<file path=xl/styles.xml><?xml version="1.0" encoding="utf-8"?>
<styleSheet xmlns="http://schemas.openxmlformats.org/spreadsheetml/2006/main">
  <numFmts count="54">
    <numFmt numFmtId="42" formatCode="_-&quot;R$&quot;\ * #,##0_-;\-&quot;R$&quot;\ * #,##0_-;_-&quot;R$&quot;\ * &quot;-&quot;_-;_-@_-"/>
    <numFmt numFmtId="41" formatCode="_-* #,##0_-;\-* #,##0_-;_-* &quot;-&quot;_-;_-@_-"/>
    <numFmt numFmtId="44" formatCode="_-&quot;R$&quot;\ * #,##0.00_-;\-&quot;R$&quot;\ * #,##0.00_-;_-&quot;R$&quot;\ * &quot;-&quot;??_-;_-@_-"/>
    <numFmt numFmtId="43" formatCode="_-* #,##0.00_-;\-* #,##0.00_-;_-* &quot;-&quot;??_-;_-@_-"/>
    <numFmt numFmtId="164" formatCode="_(* #,##0.00_);_(* \(#,##0.00\);_(* &quot;-&quot;??_);_(@_)"/>
    <numFmt numFmtId="165" formatCode="000000"/>
    <numFmt numFmtId="166" formatCode="#,##0.00;[Red]#,##0.00"/>
    <numFmt numFmtId="167" formatCode="#,##0.000"/>
    <numFmt numFmtId="168" formatCode="_(&quot;R$ &quot;* #,##0.00_);_(&quot;R$ &quot;* \(#,##0.00\);_(&quot;R$ &quot;* &quot;-&quot;??_);_(@_)"/>
    <numFmt numFmtId="169" formatCode="_-* #,##0_-;\-* #,##0_-;_-* &quot;-&quot;??_-;_-@_-"/>
    <numFmt numFmtId="170" formatCode="0000"/>
    <numFmt numFmtId="171" formatCode="_(* #,##0_);_(* \(#,##0\);_(* &quot;-&quot;_);_(@_)"/>
    <numFmt numFmtId="172" formatCode="_([$€]* #,##0.00_);_([$€]* \(#,##0.00\);_([$€]* &quot;-&quot;??_);_(@_)"/>
    <numFmt numFmtId="173" formatCode="_(&quot;Cr$&quot;\ * #,##0.00_);_(&quot;Cr$&quot;\ * \(#,##0.00\);_(&quot;Cr$&quot;\ * &quot;-&quot;??_);_(@_)"/>
    <numFmt numFmtId="174" formatCode="&quot;N$&quot;#,##0_);\(&quot;N$&quot;#,##0\)"/>
    <numFmt numFmtId="175" formatCode="_(&quot;$&quot;* #,##0.00_);_(&quot;$&quot;* \(#,##0.00\);_(&quot;$&quot;* &quot;-&quot;??_);_(@_)"/>
    <numFmt numFmtId="176" formatCode="0.0000000"/>
    <numFmt numFmtId="177" formatCode="_-* #,##0.00\ _D_M_-;\-* #,##0.00\ _D_M_-;_-* &quot;-&quot;??\ _D_M_-;_-@_-"/>
    <numFmt numFmtId="178" formatCode="General_)"/>
    <numFmt numFmtId="179" formatCode="_(&quot;R$&quot;* #,##0_);_(&quot;R$&quot;* \(#,##0\);_(&quot;R$&quot;* &quot;-&quot;_);_(@_)"/>
    <numFmt numFmtId="180" formatCode="_([$€-2]* #,##0.00_);_([$€-2]* \(#,##0.00\);_([$€-2]* &quot;-&quot;??_)"/>
    <numFmt numFmtId="181" formatCode="_([$€-2]* #,##0.00_);_([$€-2]* \(#,##0.00\);_([$€-2]* \-??_)"/>
    <numFmt numFmtId="182" formatCode="#.00"/>
    <numFmt numFmtId="183" formatCode="_(&quot;R$&quot;* #,##0.00_);_(&quot;R$&quot;* \(#,##0.00\);_(&quot;R$&quot;* &quot;-&quot;??_);_(@_)"/>
    <numFmt numFmtId="184" formatCode="_(&quot;R$ &quot;* #,##0.00_);_(&quot;R$ &quot;* \(#,##0.00\);_(&quot;R$ &quot;* \-??_);_(@_)"/>
    <numFmt numFmtId="185" formatCode="0.000"/>
    <numFmt numFmtId="186" formatCode="_(* #,##0.0000_);_(* \(#,##0.0000\);_(* &quot;-&quot;??_);_(@_)"/>
    <numFmt numFmtId="187" formatCode="#,##0.00\ ;&quot; (&quot;#,##0.00\);&quot; -&quot;#\ ;@\ "/>
    <numFmt numFmtId="188" formatCode="%#.00"/>
    <numFmt numFmtId="189" formatCode="_(* #,##0.00_);_(* \(#,##0.00\);_(* \-??_);_(@_)"/>
    <numFmt numFmtId="190" formatCode="#."/>
    <numFmt numFmtId="191" formatCode="[$-416]mmm\-yy;@"/>
    <numFmt numFmtId="192" formatCode="_(* #,##0.00&quot; Kg/m²&quot;_);[Red]_(* \(#,##0.00&quot; Kg/m²&quot;\);_(* &quot;-&quot;??_K_g_m_);[Blue]_(@_)"/>
    <numFmt numFmtId="193" formatCode="_(* #,##0.00&quot; Km&quot;_);[Red]_(* \(#,##0.00&quot; Km&quot;\);_(* &quot;-&quot;??_K_m_);[Blue]_(@_)"/>
    <numFmt numFmtId="194" formatCode="_(* #,##0.00&quot; m³&quot;_);[Red]_(* \(#,##0.00&quot; m³&quot;\);_(* &quot;-&quot;??_m_);[Blue]_(@_)"/>
    <numFmt numFmtId="195" formatCode="_(* #,#00&quot; mm&quot;_);[Red]_(* \(#,#00&quot; mm&quot;\);_(* &quot;-&quot;_m_m_);[Blue]_(@_)"/>
    <numFmt numFmtId="196" formatCode="_(&quot;Cr$&quot;* #,##0.00_);_(&quot;Cr$&quot;* \(#,##0.00\);_(&quot;Cr$&quot;* &quot;-&quot;??_);_(@_)"/>
    <numFmt numFmtId="197" formatCode="_(* #,##0.00&quot; Km&quot;_);[Red]_(* \(#,##0.00&quot; Km&quot;\);_(* &quot;-&quot;?????_);[Blue]* _(@_)"/>
    <numFmt numFmtId="198" formatCode="#,"/>
    <numFmt numFmtId="199" formatCode="#.##000"/>
    <numFmt numFmtId="200" formatCode="[$-416]mmmm\-yy;@"/>
    <numFmt numFmtId="201" formatCode="#,#00"/>
    <numFmt numFmtId="202" formatCode="###,###,##0.000"/>
    <numFmt numFmtId="203" formatCode="_(* #,##0.00&quot; t&quot;_);[Red]_(* \(#,##0.00&quot; t&quot;\);_(* &quot;-&quot;??_t_);[Blue]_(@_)"/>
    <numFmt numFmtId="204" formatCode="_(* #,##0.00&quot; t/m&quot;_);[Red]_(* \(#,##0.00&quot; t/m&quot;\);_(* &quot;-&quot;??_t_/_m_);[Blue]_(@_)"/>
    <numFmt numFmtId="205" formatCode="_(* #,#00&quot; Un&quot;_);[Red]_(* \(#,#00&quot; Un&quot;\);_(* &quot;-&quot;_U_n_);[Blue]_(@_)"/>
    <numFmt numFmtId="206" formatCode="00"/>
    <numFmt numFmtId="207" formatCode="#\,##0.00"/>
    <numFmt numFmtId="208" formatCode="\$#.00"/>
    <numFmt numFmtId="209" formatCode="_(&quot;Cr$&quot;* #,##0_);_(&quot;Cr$&quot;* \(#,##0\);_(&quot;Cr$&quot;* &quot;-&quot;_);_(@_)"/>
    <numFmt numFmtId="210" formatCode="&quot;$&quot;\ #,##0_);[Red]\(&quot;$&quot;\ #,##0\)"/>
    <numFmt numFmtId="211" formatCode="_-* #,##0.00\ _P_t_s_-;\-* #,##0.00\ _P_t_s_-;_-* &quot;-&quot;??\ _P_t_s_-;_-@_-"/>
    <numFmt numFmtId="212" formatCode="0.0%"/>
    <numFmt numFmtId="213" formatCode="#,##0.0000"/>
  </numFmts>
  <fonts count="165">
    <font>
      <sz val="12"/>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0"/>
      <name val="Arial"/>
      <family val="2"/>
    </font>
    <font>
      <b/>
      <sz val="10"/>
      <name val="Arial"/>
      <family val="2"/>
    </font>
    <font>
      <b/>
      <sz val="14"/>
      <name val="Arial"/>
      <family val="2"/>
    </font>
    <font>
      <b/>
      <sz val="11"/>
      <color rgb="FF000000"/>
      <name val="Calibri"/>
      <family val="2"/>
    </font>
    <font>
      <i/>
      <sz val="11"/>
      <color rgb="FF000000"/>
      <name val="Calibri"/>
      <family val="2"/>
    </font>
    <font>
      <i/>
      <sz val="11"/>
      <color theme="1"/>
      <name val="Calibri"/>
      <family val="2"/>
    </font>
    <font>
      <b/>
      <sz val="11"/>
      <color theme="1"/>
      <name val="Calibri"/>
      <family val="2"/>
    </font>
    <font>
      <b/>
      <i/>
      <sz val="11"/>
      <color rgb="FF000000"/>
      <name val="Calibri"/>
      <family val="2"/>
    </font>
    <font>
      <sz val="11"/>
      <color rgb="FF000000"/>
      <name val="Calibri"/>
      <family val="2"/>
    </font>
    <font>
      <b/>
      <sz val="11"/>
      <name val="Arial"/>
      <family val="2"/>
    </font>
    <font>
      <sz val="11"/>
      <name val="Arial"/>
      <family val="2"/>
    </font>
    <font>
      <sz val="14"/>
      <name val="Arial"/>
      <family val="2"/>
    </font>
    <font>
      <b/>
      <i/>
      <sz val="11"/>
      <color rgb="FF0000FF"/>
      <name val="Arial"/>
      <family val="2"/>
    </font>
    <font>
      <b/>
      <sz val="11"/>
      <color theme="0" tint="-0.249977111117893"/>
      <name val="Calibri"/>
      <family val="2"/>
    </font>
    <font>
      <sz val="11"/>
      <color theme="0" tint="-0.249977111117893"/>
      <name val="Calibri"/>
      <family val="2"/>
    </font>
    <font>
      <sz val="12"/>
      <color theme="1"/>
      <name val="Calibri"/>
      <family val="2"/>
    </font>
    <font>
      <b/>
      <sz val="11"/>
      <color theme="1"/>
      <name val="Calibri"/>
      <family val="2"/>
      <scheme val="minor"/>
    </font>
    <font>
      <b/>
      <sz val="12"/>
      <color theme="1"/>
      <name val="Calibri"/>
      <family val="2"/>
    </font>
    <font>
      <b/>
      <sz val="14"/>
      <color theme="1"/>
      <name val="Calibri"/>
      <family val="2"/>
    </font>
    <font>
      <b/>
      <u/>
      <sz val="13"/>
      <name val="Times New Roman"/>
      <family val="1"/>
    </font>
    <font>
      <sz val="12"/>
      <name val="Times New Roman"/>
      <family val="1"/>
    </font>
    <font>
      <sz val="12"/>
      <name val="Arial Narrow"/>
      <family val="2"/>
    </font>
    <font>
      <b/>
      <sz val="12"/>
      <name val="Arial Narrow"/>
      <family val="2"/>
    </font>
    <font>
      <sz val="10"/>
      <name val="Arial Narrow"/>
      <family val="2"/>
    </font>
    <font>
      <sz val="8"/>
      <name val="Arial Narrow"/>
      <family val="2"/>
    </font>
    <font>
      <b/>
      <sz val="11"/>
      <name val="Arial Narrow"/>
      <family val="2"/>
    </font>
    <font>
      <sz val="10"/>
      <name val="Century Gothic"/>
      <family val="2"/>
    </font>
    <font>
      <sz val="11"/>
      <name val="Arial Narrow"/>
      <family val="2"/>
    </font>
    <font>
      <sz val="11"/>
      <name val="Century Gothic"/>
      <family val="2"/>
    </font>
    <font>
      <sz val="10"/>
      <name val="MS Sans Serif"/>
      <family val="2"/>
    </font>
    <font>
      <b/>
      <sz val="12"/>
      <color theme="1"/>
      <name val="Calibri"/>
      <family val="2"/>
      <scheme val="minor"/>
    </font>
    <font>
      <sz val="11"/>
      <color rgb="FF000000"/>
      <name val="Calibri"/>
      <family val="2"/>
      <scheme val="minor"/>
    </font>
    <font>
      <b/>
      <sz val="16"/>
      <name val="Arial Narrow"/>
      <family val="2"/>
    </font>
    <font>
      <b/>
      <sz val="11.5"/>
      <name val="Arial Narrow"/>
      <family val="2"/>
    </font>
    <font>
      <sz val="11.5"/>
      <name val="Arial Narrow"/>
      <family val="2"/>
    </font>
    <font>
      <sz val="11"/>
      <color rgb="FFFF0000"/>
      <name val="Arial Narrow"/>
      <family val="2"/>
    </font>
    <font>
      <b/>
      <u/>
      <sz val="11.5"/>
      <name val="Arial Narrow"/>
      <family val="2"/>
    </font>
    <font>
      <sz val="11"/>
      <color theme="1"/>
      <name val="Arial Narrow"/>
      <family val="2"/>
    </font>
    <font>
      <b/>
      <sz val="10"/>
      <name val="Arial Narrow"/>
      <family val="2"/>
    </font>
    <font>
      <sz val="11"/>
      <color indexed="8"/>
      <name val="Calibri"/>
      <family val="2"/>
    </font>
    <font>
      <b/>
      <sz val="10"/>
      <color rgb="FFFF0000"/>
      <name val="Century Gothic"/>
      <family val="2"/>
    </font>
    <font>
      <b/>
      <i/>
      <sz val="11"/>
      <color rgb="FF0000FF"/>
      <name val="Calibri"/>
      <family val="2"/>
    </font>
    <font>
      <i/>
      <sz val="11"/>
      <name val="Calibri"/>
      <family val="2"/>
    </font>
    <font>
      <sz val="11"/>
      <name val="Calibri"/>
      <family val="2"/>
    </font>
    <font>
      <i/>
      <sz val="12"/>
      <color theme="1"/>
      <name val="Calibri"/>
      <family val="2"/>
    </font>
    <font>
      <b/>
      <i/>
      <sz val="11"/>
      <color theme="1"/>
      <name val="Calibri"/>
      <family val="2"/>
    </font>
    <font>
      <sz val="12"/>
      <color rgb="FFFF0000"/>
      <name val="Calibri"/>
      <family val="2"/>
    </font>
    <font>
      <b/>
      <sz val="11"/>
      <color rgb="FFFF0000"/>
      <name val="Calibri"/>
      <family val="2"/>
    </font>
    <font>
      <i/>
      <sz val="11"/>
      <color rgb="FFFF0000"/>
      <name val="Calibri"/>
      <family val="2"/>
    </font>
    <font>
      <sz val="11"/>
      <color rgb="FFFF0000"/>
      <name val="Calibri"/>
      <family val="2"/>
    </font>
    <font>
      <b/>
      <sz val="10"/>
      <color theme="1"/>
      <name val="Arial Narrow"/>
      <family val="2"/>
    </font>
    <font>
      <sz val="10"/>
      <color theme="1"/>
      <name val="Arial Narrow"/>
      <family val="2"/>
    </font>
    <font>
      <b/>
      <sz val="10"/>
      <name val="Century Gothic"/>
      <family val="2"/>
    </font>
    <font>
      <b/>
      <i/>
      <sz val="11"/>
      <name val="Calibri"/>
      <family val="2"/>
    </font>
    <font>
      <b/>
      <sz val="11"/>
      <color theme="1"/>
      <name val="Arial Narrow"/>
      <family val="2"/>
    </font>
    <font>
      <b/>
      <i/>
      <sz val="10"/>
      <color theme="1"/>
      <name val="Arial Narrow"/>
      <family val="2"/>
    </font>
    <font>
      <b/>
      <sz val="18"/>
      <color theme="3"/>
      <name val="Calibri Light"/>
      <family val="2"/>
      <scheme val="major"/>
    </font>
    <font>
      <sz val="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0"/>
      <name val="Helv"/>
      <charset val="204"/>
    </font>
    <font>
      <sz val="10"/>
      <color indexed="8"/>
      <name val="Arial"/>
      <family val="2"/>
    </font>
    <font>
      <b/>
      <sz val="8"/>
      <name val="Times New Roman"/>
      <family val="1"/>
    </font>
    <font>
      <sz val="10"/>
      <name val="Courier"/>
      <family val="3"/>
    </font>
    <font>
      <sz val="12"/>
      <name val="Arial"/>
      <family val="2"/>
    </font>
    <font>
      <sz val="8"/>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0"/>
      <name val="Helv"/>
    </font>
    <font>
      <sz val="10"/>
      <name val="Geneva"/>
      <family val="2"/>
    </font>
    <font>
      <u/>
      <sz val="10"/>
      <color indexed="36"/>
      <name val="Arial"/>
      <family val="2"/>
    </font>
    <font>
      <sz val="8"/>
      <name val="Arial"/>
      <family val="2"/>
    </font>
    <font>
      <b/>
      <sz val="12"/>
      <name val="Helv"/>
    </font>
    <font>
      <b/>
      <sz val="11"/>
      <name val="Helv"/>
    </font>
    <font>
      <sz val="10"/>
      <color theme="1"/>
      <name val="Arial"/>
      <family val="2"/>
    </font>
    <font>
      <b/>
      <sz val="8"/>
      <name val="Arial"/>
      <family val="2"/>
    </font>
    <font>
      <b/>
      <sz val="15"/>
      <color indexed="62"/>
      <name val="Calibri"/>
      <family val="2"/>
    </font>
    <font>
      <b/>
      <sz val="18"/>
      <name val="Times New Roman"/>
      <family val="1"/>
    </font>
    <font>
      <sz val="1"/>
      <color indexed="8"/>
      <name val="Courier"/>
      <family val="3"/>
    </font>
    <font>
      <i/>
      <sz val="8"/>
      <color indexed="12"/>
      <name val="Arial"/>
      <family val="2"/>
    </font>
    <font>
      <sz val="10"/>
      <name val="SimSun"/>
      <family val="2"/>
    </font>
    <font>
      <b/>
      <sz val="12"/>
      <color indexed="8"/>
      <name val="Arial"/>
      <family val="2"/>
    </font>
    <font>
      <sz val="10"/>
      <name val="Courier New"/>
      <family val="3"/>
    </font>
    <font>
      <b/>
      <sz val="1"/>
      <color indexed="8"/>
      <name val="Courier"/>
      <family val="3"/>
    </font>
    <font>
      <sz val="10"/>
      <color rgb="FF000000"/>
      <name val="Times New Roman"/>
      <family val="1"/>
    </font>
    <font>
      <b/>
      <sz val="11"/>
      <name val="Times New Roman"/>
      <family val="1"/>
    </font>
    <font>
      <sz val="10"/>
      <color indexed="24"/>
      <name val="Arial"/>
      <family val="2"/>
    </font>
    <font>
      <sz val="1"/>
      <color indexed="18"/>
      <name val="Courier"/>
      <family val="3"/>
    </font>
    <font>
      <sz val="9"/>
      <name val="Times New Roman"/>
      <family val="1"/>
    </font>
    <font>
      <b/>
      <sz val="12"/>
      <color indexed="10"/>
      <name val="Arial"/>
      <family val="2"/>
    </font>
    <font>
      <sz val="12"/>
      <color indexed="24"/>
      <name val="Arial"/>
      <family val="2"/>
    </font>
    <font>
      <b/>
      <sz val="9"/>
      <name val="Arial Narrow"/>
      <family val="2"/>
    </font>
    <font>
      <sz val="9"/>
      <name val="Arial Narrow"/>
      <family val="2"/>
    </font>
    <font>
      <sz val="8"/>
      <color indexed="8"/>
      <name val="Courier"/>
      <family val="3"/>
    </font>
    <font>
      <b/>
      <sz val="16"/>
      <name val="Arial"/>
      <family val="2"/>
    </font>
    <font>
      <b/>
      <sz val="12"/>
      <name val="Arial"/>
      <family val="2"/>
    </font>
    <font>
      <sz val="9"/>
      <color theme="1"/>
      <name val="Calibri"/>
      <family val="2"/>
    </font>
    <font>
      <b/>
      <sz val="9"/>
      <color rgb="FF000000"/>
      <name val="Calibri"/>
      <family val="2"/>
    </font>
    <font>
      <b/>
      <sz val="8"/>
      <color theme="1"/>
      <name val="Arial Narrow"/>
      <family val="2"/>
    </font>
    <font>
      <b/>
      <sz val="8"/>
      <color theme="1"/>
      <name val="Calibri"/>
      <family val="2"/>
      <scheme val="minor"/>
    </font>
    <font>
      <b/>
      <sz val="8"/>
      <color indexed="8"/>
      <name val="Courier"/>
      <family val="3"/>
    </font>
    <font>
      <b/>
      <sz val="8"/>
      <color indexed="8"/>
      <name val="Times New Roman"/>
      <family val="1"/>
    </font>
    <font>
      <sz val="8"/>
      <color theme="1"/>
      <name val="Calibri"/>
      <family val="2"/>
    </font>
    <font>
      <sz val="8"/>
      <color rgb="FF000000"/>
      <name val="Verdana"/>
      <family val="2"/>
    </font>
    <font>
      <sz val="9"/>
      <color theme="1"/>
      <name val="Arial Narrow"/>
      <family val="2"/>
    </font>
    <font>
      <sz val="6"/>
      <color rgb="FF000000"/>
      <name val="Verdana"/>
      <family val="2"/>
    </font>
    <font>
      <b/>
      <sz val="9"/>
      <color theme="1"/>
      <name val="Calibri"/>
      <family val="2"/>
      <scheme val="minor"/>
    </font>
    <font>
      <sz val="8"/>
      <color indexed="8"/>
      <name val="Times New Roman"/>
      <family val="1"/>
    </font>
    <font>
      <sz val="7"/>
      <color rgb="FF000000"/>
      <name val="Arial"/>
      <family val="2"/>
    </font>
    <font>
      <sz val="9"/>
      <color theme="1"/>
      <name val="Calibri"/>
      <family val="2"/>
      <scheme val="minor"/>
    </font>
    <font>
      <sz val="9"/>
      <color rgb="FF000000"/>
      <name val="Calibri"/>
      <family val="2"/>
      <scheme val="minor"/>
    </font>
    <font>
      <b/>
      <sz val="16"/>
      <color theme="1"/>
      <name val="Arial Narrow"/>
      <family val="2"/>
    </font>
    <font>
      <sz val="16"/>
      <color rgb="FFFF0000"/>
      <name val="Arial Narrow"/>
      <family val="2"/>
    </font>
    <font>
      <b/>
      <sz val="14"/>
      <color rgb="FFFF0000"/>
      <name val="Arial Narrow"/>
      <family val="2"/>
    </font>
    <font>
      <b/>
      <sz val="16"/>
      <color rgb="FFFF0000"/>
      <name val="Arial Narrow"/>
      <family val="2"/>
    </font>
    <font>
      <b/>
      <sz val="10"/>
      <color theme="1"/>
      <name val="Times New Roman"/>
      <family val="1"/>
    </font>
    <font>
      <b/>
      <sz val="8"/>
      <name val="Arial Narrow"/>
      <family val="2"/>
    </font>
    <font>
      <b/>
      <sz val="8"/>
      <name val="Century Gothic"/>
      <family val="2"/>
    </font>
    <font>
      <sz val="8"/>
      <name val="Century Gothic"/>
      <family val="2"/>
    </font>
    <font>
      <sz val="7.5"/>
      <color theme="1"/>
      <name val="Calibri"/>
      <family val="2"/>
    </font>
    <font>
      <sz val="7.5"/>
      <name val="Century Gothic"/>
      <family val="2"/>
    </font>
    <font>
      <sz val="7.5"/>
      <name val="Franklin Gothic Medium Cond"/>
      <family val="2"/>
    </font>
    <font>
      <b/>
      <sz val="11"/>
      <name val="Franklin Gothic Medium Cond"/>
      <family val="2"/>
    </font>
    <font>
      <sz val="11"/>
      <name val="Franklin Gothic Medium Cond"/>
      <family val="2"/>
    </font>
    <font>
      <b/>
      <sz val="10"/>
      <color rgb="FFFF0000"/>
      <name val="Franklin Gothic Medium Cond"/>
      <family val="2"/>
    </font>
    <font>
      <b/>
      <sz val="9"/>
      <name val="Franklin Gothic Medium Cond"/>
      <family val="2"/>
    </font>
    <font>
      <sz val="9"/>
      <name val="Franklin Gothic Medium Cond"/>
      <family val="2"/>
    </font>
    <font>
      <sz val="10"/>
      <name val="Franklin Gothic Medium Cond"/>
      <family val="2"/>
    </font>
    <font>
      <sz val="9"/>
      <color indexed="8"/>
      <name val="Franklin Gothic Medium Cond"/>
      <family val="2"/>
    </font>
    <font>
      <sz val="12"/>
      <color theme="1"/>
      <name val="Franklin Gothic Medium Cond"/>
      <family val="2"/>
    </font>
    <font>
      <b/>
      <sz val="10"/>
      <name val="Franklin Gothic Medium Cond"/>
      <family val="2"/>
    </font>
    <font>
      <b/>
      <u/>
      <sz val="9"/>
      <name val="Franklin Gothic Medium Cond"/>
      <family val="2"/>
    </font>
    <font>
      <sz val="8"/>
      <color indexed="8"/>
      <name val="Franklin Gothic Medium Cond"/>
      <family val="2"/>
    </font>
    <font>
      <sz val="10"/>
      <color indexed="8"/>
      <name val="Franklin Gothic Medium Cond"/>
      <family val="2"/>
    </font>
  </fonts>
  <fills count="97">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rgb="FFA6A6A6"/>
        <bgColor rgb="FF000000"/>
      </patternFill>
    </fill>
    <fill>
      <patternFill patternType="solid">
        <fgColor theme="0"/>
        <bgColor rgb="FF000000"/>
      </patternFill>
    </fill>
    <fill>
      <patternFill patternType="solid">
        <fgColor theme="0" tint="-0.14999847407452621"/>
        <bgColor rgb="FF000000"/>
      </patternFill>
    </fill>
    <fill>
      <patternFill patternType="solid">
        <fgColor theme="0" tint="-4.9989318521683403E-2"/>
        <bgColor indexed="64"/>
      </patternFill>
    </fill>
    <fill>
      <patternFill patternType="solid">
        <fgColor theme="7" tint="0.39997558519241921"/>
        <bgColor rgb="FF000000"/>
      </patternFill>
    </fill>
    <fill>
      <patternFill patternType="solid">
        <fgColor rgb="FFFFFF00"/>
        <bgColor rgb="FF000000"/>
      </patternFill>
    </fill>
    <fill>
      <patternFill patternType="solid">
        <fgColor theme="2" tint="-9.9978637043366805E-2"/>
        <bgColor indexed="64"/>
      </patternFill>
    </fill>
    <fill>
      <patternFill patternType="solid">
        <fgColor theme="2"/>
        <bgColor indexed="64"/>
      </patternFill>
    </fill>
    <fill>
      <patternFill patternType="solid">
        <fgColor indexed="22"/>
        <bgColor indexed="64"/>
      </patternFill>
    </fill>
    <fill>
      <patternFill patternType="solid">
        <fgColor indexed="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4" tint="0.59999389629810485"/>
        <bgColor rgb="FF000000"/>
      </patternFill>
    </fill>
    <fill>
      <patternFill patternType="solid">
        <fgColor theme="5" tint="0.39997558519241921"/>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22"/>
        <bgColor indexed="31"/>
      </patternFill>
    </fill>
    <fill>
      <patternFill patternType="gray0625"/>
    </fill>
    <fill>
      <patternFill patternType="solid">
        <fgColor indexed="26"/>
        <bgColor indexed="9"/>
      </patternFill>
    </fill>
    <fill>
      <patternFill patternType="solid">
        <fgColor theme="0" tint="-0.34998626667073579"/>
        <bgColor indexed="64"/>
      </patternFill>
    </fill>
    <fill>
      <patternFill patternType="solid">
        <fgColor theme="2" tint="-0.499984740745262"/>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7" tint="0.39997558519241921"/>
        <bgColor indexed="64"/>
      </patternFill>
    </fill>
    <fill>
      <patternFill patternType="solid">
        <fgColor rgb="FFFFC00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4" tint="0.39997558519241921"/>
        <bgColor indexed="64"/>
      </patternFill>
    </fill>
  </fills>
  <borders count="101">
    <border>
      <left/>
      <right/>
      <top/>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style="thin">
        <color rgb="FF808080"/>
      </left>
      <right style="thin">
        <color rgb="FF808080"/>
      </right>
      <top style="thin">
        <color rgb="FF808080"/>
      </top>
      <bottom style="thin">
        <color rgb="FF808080"/>
      </bottom>
      <diagonal/>
    </border>
    <border>
      <left/>
      <right/>
      <top style="thin">
        <color rgb="FF808080"/>
      </top>
      <bottom style="thin">
        <color rgb="FF808080"/>
      </bottom>
      <diagonal/>
    </border>
    <border>
      <left style="thin">
        <color rgb="FF808080"/>
      </left>
      <right style="thin">
        <color rgb="FF808080"/>
      </right>
      <top style="thin">
        <color rgb="FF808080"/>
      </top>
      <bottom style="thin">
        <color theme="0" tint="-0.499984740745262"/>
      </bottom>
      <diagonal/>
    </border>
    <border>
      <left/>
      <right/>
      <top/>
      <bottom style="thin">
        <color theme="0" tint="-0.499984740745262"/>
      </bottom>
      <diagonal/>
    </border>
    <border>
      <left/>
      <right/>
      <top style="thin">
        <color theme="0" tint="-0.499984740745262"/>
      </top>
      <bottom style="thin">
        <color theme="0" tint="-0.499984740745262"/>
      </bottom>
      <diagonal/>
    </border>
    <border>
      <left style="medium">
        <color theme="1" tint="0.499984740745262"/>
      </left>
      <right/>
      <top style="medium">
        <color theme="1" tint="0.499984740745262"/>
      </top>
      <bottom style="thin">
        <color theme="0" tint="-0.14999847407452621"/>
      </bottom>
      <diagonal/>
    </border>
    <border>
      <left style="thin">
        <color rgb="FF808080"/>
      </left>
      <right/>
      <top style="thin">
        <color rgb="FF808080"/>
      </top>
      <bottom style="thin">
        <color rgb="FF808080"/>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bottom style="thin">
        <color theme="1" tint="0.499984740745262"/>
      </bottom>
      <diagonal/>
    </border>
    <border>
      <left/>
      <right/>
      <top/>
      <bottom style="thin">
        <color theme="1" tint="0.499984740745262"/>
      </bottom>
      <diagonal/>
    </border>
    <border>
      <left/>
      <right/>
      <top/>
      <bottom style="thin">
        <color rgb="FF808080"/>
      </bottom>
      <diagonal/>
    </border>
    <border>
      <left style="thin">
        <color rgb="FF808080"/>
      </left>
      <right/>
      <top style="thin">
        <color rgb="FF808080"/>
      </top>
      <bottom style="thin">
        <color theme="0" tint="-0.499984740745262"/>
      </bottom>
      <diagonal/>
    </border>
    <border>
      <left/>
      <right/>
      <top style="thin">
        <color rgb="FF808080"/>
      </top>
      <bottom style="thin">
        <color theme="0" tint="-0.499984740745262"/>
      </bottom>
      <diagonal/>
    </border>
    <border>
      <left/>
      <right style="thin">
        <color theme="1" tint="0.499984740745262"/>
      </right>
      <top style="thin">
        <color rgb="FF808080"/>
      </top>
      <bottom style="thin">
        <color theme="0" tint="-0.499984740745262"/>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right/>
      <top/>
      <bottom style="medium">
        <color indexed="64"/>
      </bottom>
      <diagonal/>
    </border>
    <border>
      <left style="thin">
        <color indexed="64"/>
      </left>
      <right style="medium">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rgb="FF808080"/>
      </right>
      <top style="thin">
        <color rgb="FF808080"/>
      </top>
      <bottom style="thin">
        <color rgb="FF808080"/>
      </bottom>
      <diagonal/>
    </border>
    <border>
      <left style="thin">
        <color theme="1" tint="0.499984740745262"/>
      </left>
      <right style="thin">
        <color theme="1" tint="0.499984740745262"/>
      </right>
      <top style="thin">
        <color theme="1" tint="0.499984740745262"/>
      </top>
      <bottom style="thin">
        <color theme="0" tint="-0.499984740745262"/>
      </bottom>
      <diagonal/>
    </border>
    <border>
      <left style="thin">
        <color indexed="64"/>
      </left>
      <right/>
      <top/>
      <bottom style="thin">
        <color indexed="64"/>
      </bottom>
      <diagonal/>
    </border>
    <border>
      <left style="thin">
        <color indexed="64"/>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bottom/>
      <diagonal/>
    </border>
    <border>
      <left/>
      <right/>
      <top/>
      <bottom style="thick">
        <color indexed="49"/>
      </bottom>
      <diagonal/>
    </border>
    <border>
      <left style="double">
        <color indexed="8"/>
      </left>
      <right style="thin">
        <color indexed="8"/>
      </right>
      <top style="double">
        <color indexed="8"/>
      </top>
      <bottom/>
      <diagonal/>
    </border>
    <border>
      <left/>
      <right/>
      <top/>
      <bottom style="thick">
        <color indexed="56"/>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8"/>
      </left>
      <right style="hair">
        <color indexed="8"/>
      </right>
      <top style="hair">
        <color indexed="8"/>
      </top>
      <bottom style="hair">
        <color indexed="8"/>
      </bottom>
      <diagonal/>
    </border>
    <border>
      <left style="thin">
        <color indexed="64"/>
      </left>
      <right style="medium">
        <color indexed="64"/>
      </right>
      <top style="medium">
        <color indexed="64"/>
      </top>
      <bottom/>
      <diagonal/>
    </border>
    <border>
      <left/>
      <right/>
      <top style="thin">
        <color indexed="64"/>
      </top>
      <bottom style="double">
        <color indexed="64"/>
      </bottom>
      <diagonal/>
    </border>
    <border>
      <left style="thin">
        <color indexed="64"/>
      </left>
      <right style="thin">
        <color indexed="64"/>
      </right>
      <top/>
      <bottom style="medium">
        <color indexed="64"/>
      </bottom>
      <diagonal/>
    </border>
    <border>
      <left/>
      <right style="thin">
        <color indexed="64"/>
      </right>
      <top/>
      <bottom/>
      <diagonal/>
    </border>
    <border>
      <left style="thin">
        <color theme="1" tint="0.499984740745262"/>
      </left>
      <right/>
      <top/>
      <bottom/>
      <diagonal/>
    </border>
    <border>
      <left style="thin">
        <color theme="1" tint="0.499984740745262"/>
      </left>
      <right/>
      <top style="thin">
        <color theme="1" tint="0.499984740745262"/>
      </top>
      <bottom style="thin">
        <color theme="1" tint="0.499984740745262"/>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theme="1" tint="0.499984740745262"/>
      </right>
      <top/>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s>
  <cellStyleXfs count="3722">
    <xf numFmtId="0" fontId="0" fillId="0" borderId="0"/>
    <xf numFmtId="0" fontId="5" fillId="0" borderId="0"/>
    <xf numFmtId="43" fontId="20" fillId="0" borderId="0" applyFont="0" applyFill="0" applyBorder="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5" fillId="0" borderId="0"/>
    <xf numFmtId="164" fontId="5" fillId="0" borderId="0" applyFont="0" applyFill="0" applyBorder="0" applyAlignment="0" applyProtection="0"/>
    <xf numFmtId="0" fontId="34" fillId="0" borderId="0"/>
    <xf numFmtId="164" fontId="5" fillId="0" borderId="0" applyFont="0" applyFill="0" applyBorder="0" applyAlignment="0" applyProtection="0"/>
    <xf numFmtId="0" fontId="5" fillId="0" borderId="0"/>
    <xf numFmtId="0" fontId="3" fillId="0" borderId="0"/>
    <xf numFmtId="168" fontId="44" fillId="0" borderId="0" applyFont="0" applyFill="0" applyBorder="0" applyAlignment="0" applyProtection="0"/>
    <xf numFmtId="168" fontId="4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44" fillId="0" borderId="0" applyFont="0" applyFill="0" applyBorder="0" applyAlignment="0" applyProtection="0"/>
    <xf numFmtId="9" fontId="44" fillId="0" borderId="0" applyFont="0" applyFill="0" applyBorder="0" applyAlignment="0" applyProtection="0"/>
    <xf numFmtId="9" fontId="3"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164" fontId="44" fillId="0" borderId="0" applyFont="0" applyFill="0" applyBorder="0" applyAlignment="0" applyProtection="0"/>
    <xf numFmtId="0" fontId="5" fillId="0" borderId="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44" fillId="0" borderId="0" applyFont="0" applyFill="0" applyBorder="0" applyAlignment="0" applyProtection="0"/>
    <xf numFmtId="43" fontId="3"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5" fillId="0" borderId="0"/>
    <xf numFmtId="0" fontId="62" fillId="0" borderId="0"/>
    <xf numFmtId="0" fontId="25" fillId="0" borderId="0"/>
    <xf numFmtId="0" fontId="25" fillId="0" borderId="0"/>
    <xf numFmtId="0" fontId="5" fillId="0" borderId="0"/>
    <xf numFmtId="0" fontId="25" fillId="0" borderId="0"/>
    <xf numFmtId="0" fontId="5" fillId="0" borderId="0"/>
    <xf numFmtId="0" fontId="44" fillId="53" borderId="0" applyNumberFormat="0" applyBorder="0" applyAlignment="0" applyProtection="0"/>
    <xf numFmtId="0" fontId="44" fillId="54"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58"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61" borderId="0" applyNumberFormat="0" applyBorder="0" applyAlignment="0" applyProtection="0"/>
    <xf numFmtId="0" fontId="44" fillId="56" borderId="0" applyNumberFormat="0" applyBorder="0" applyAlignment="0" applyProtection="0"/>
    <xf numFmtId="0" fontId="44" fillId="59" borderId="0" applyNumberFormat="0" applyBorder="0" applyAlignment="0" applyProtection="0"/>
    <xf numFmtId="0" fontId="44" fillId="62" borderId="0" applyNumberFormat="0" applyBorder="0" applyAlignment="0" applyProtection="0"/>
    <xf numFmtId="0" fontId="63" fillId="63" borderId="0" applyNumberFormat="0" applyBorder="0" applyAlignment="0" applyProtection="0"/>
    <xf numFmtId="0" fontId="63" fillId="60" borderId="0" applyNumberFormat="0" applyBorder="0" applyAlignment="0" applyProtection="0"/>
    <xf numFmtId="0" fontId="63" fillId="61" borderId="0" applyNumberFormat="0" applyBorder="0" applyAlignment="0" applyProtection="0"/>
    <xf numFmtId="0" fontId="63" fillId="64" borderId="0" applyNumberFormat="0" applyBorder="0" applyAlignment="0" applyProtection="0"/>
    <xf numFmtId="0" fontId="63" fillId="65" borderId="0" applyNumberFormat="0" applyBorder="0" applyAlignment="0" applyProtection="0"/>
    <xf numFmtId="0" fontId="63" fillId="66" borderId="0" applyNumberFormat="0" applyBorder="0" applyAlignment="0" applyProtection="0"/>
    <xf numFmtId="0" fontId="65" fillId="67" borderId="71" applyNumberFormat="0" applyAlignment="0" applyProtection="0"/>
    <xf numFmtId="0" fontId="5" fillId="0" borderId="0"/>
    <xf numFmtId="0" fontId="67" fillId="0" borderId="73" applyNumberFormat="0" applyFill="0" applyAlignment="0" applyProtection="0"/>
    <xf numFmtId="0" fontId="63" fillId="69" borderId="0" applyNumberFormat="0" applyBorder="0" applyAlignment="0" applyProtection="0"/>
    <xf numFmtId="0" fontId="63" fillId="70" borderId="0" applyNumberFormat="0" applyBorder="0" applyAlignment="0" applyProtection="0"/>
    <xf numFmtId="0" fontId="63" fillId="71" borderId="0" applyNumberFormat="0" applyBorder="0" applyAlignment="0" applyProtection="0"/>
    <xf numFmtId="0" fontId="63" fillId="64" borderId="0" applyNumberFormat="0" applyBorder="0" applyAlignment="0" applyProtection="0"/>
    <xf numFmtId="0" fontId="63" fillId="65" borderId="0" applyNumberFormat="0" applyBorder="0" applyAlignment="0" applyProtection="0"/>
    <xf numFmtId="0" fontId="63" fillId="72" borderId="0" applyNumberFormat="0" applyBorder="0" applyAlignment="0" applyProtection="0"/>
    <xf numFmtId="0" fontId="68" fillId="58" borderId="71" applyNumberFormat="0" applyAlignment="0" applyProtection="0"/>
    <xf numFmtId="0" fontId="79" fillId="0" borderId="0"/>
    <xf numFmtId="172" fontId="5" fillId="0" borderId="0" applyFont="0" applyFill="0" applyBorder="0" applyAlignment="0" applyProtection="0"/>
    <xf numFmtId="0" fontId="69" fillId="54" borderId="0" applyNumberFormat="0" applyBorder="0" applyAlignment="0" applyProtection="0"/>
    <xf numFmtId="173" fontId="25" fillId="0" borderId="0" applyFont="0" applyFill="0" applyBorder="0" applyAlignment="0" applyProtection="0"/>
    <xf numFmtId="3" fontId="5" fillId="0" borderId="0"/>
    <xf numFmtId="0" fontId="25" fillId="0" borderId="0"/>
    <xf numFmtId="0" fontId="25" fillId="0" borderId="0"/>
    <xf numFmtId="0" fontId="5" fillId="0" borderId="0"/>
    <xf numFmtId="0" fontId="80" fillId="0" borderId="0"/>
    <xf numFmtId="0" fontId="5" fillId="0" borderId="0"/>
    <xf numFmtId="0" fontId="25" fillId="0" borderId="0"/>
    <xf numFmtId="0" fontId="5" fillId="74" borderId="74" applyNumberFormat="0" applyFont="0" applyAlignment="0" applyProtection="0"/>
    <xf numFmtId="0" fontId="81" fillId="0" borderId="75" applyNumberFormat="0" applyFont="0" applyBorder="0" applyAlignment="0"/>
    <xf numFmtId="0" fontId="71" fillId="67" borderId="76" applyNumberFormat="0" applyAlignment="0" applyProtection="0"/>
    <xf numFmtId="164" fontId="25" fillId="0" borderId="0" applyFont="0" applyFill="0" applyBorder="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5" fillId="0" borderId="77" applyNumberFormat="0" applyFill="0" applyAlignment="0" applyProtection="0"/>
    <xf numFmtId="0" fontId="75" fillId="0" borderId="77" applyNumberFormat="0" applyFill="0" applyAlignment="0" applyProtection="0"/>
    <xf numFmtId="0" fontId="76" fillId="0" borderId="78" applyNumberFormat="0" applyFill="0" applyAlignment="0" applyProtection="0"/>
    <xf numFmtId="0" fontId="77" fillId="0" borderId="79" applyNumberFormat="0" applyFill="0" applyAlignment="0" applyProtection="0"/>
    <xf numFmtId="0" fontId="77" fillId="0" borderId="0" applyNumberFormat="0" applyFill="0" applyBorder="0" applyAlignment="0" applyProtection="0"/>
    <xf numFmtId="0" fontId="78" fillId="0" borderId="80" applyNumberFormat="0" applyFill="0" applyAlignment="0" applyProtection="0"/>
    <xf numFmtId="171" fontId="25" fillId="0" borderId="0" applyFont="0" applyFill="0" applyBorder="0" applyAlignment="0" applyProtection="0"/>
    <xf numFmtId="0" fontId="82" fillId="0" borderId="0"/>
    <xf numFmtId="0" fontId="83" fillId="0" borderId="0"/>
    <xf numFmtId="0" fontId="84" fillId="0" borderId="0"/>
    <xf numFmtId="40" fontId="34" fillId="0" borderId="0" applyFont="0" applyFill="0" applyBorder="0" applyAlignment="0" applyProtection="0"/>
    <xf numFmtId="9" fontId="34" fillId="0" borderId="0" applyFont="0" applyFill="0" applyBorder="0" applyAlignment="0" applyProtection="0"/>
    <xf numFmtId="0" fontId="1" fillId="0" borderId="0"/>
    <xf numFmtId="0" fontId="61" fillId="0" borderId="0" applyNumberFormat="0" applyFill="0" applyBorder="0" applyAlignment="0" applyProtection="0"/>
    <xf numFmtId="0" fontId="85" fillId="0" borderId="62" applyNumberFormat="0" applyFill="0" applyAlignment="0" applyProtection="0"/>
    <xf numFmtId="0" fontId="86" fillId="0" borderId="63" applyNumberFormat="0" applyFill="0" applyAlignment="0" applyProtection="0"/>
    <xf numFmtId="0" fontId="87" fillId="0" borderId="64" applyNumberFormat="0" applyFill="0" applyAlignment="0" applyProtection="0"/>
    <xf numFmtId="0" fontId="87" fillId="0" borderId="0" applyNumberFormat="0" applyFill="0" applyBorder="0" applyAlignment="0" applyProtection="0"/>
    <xf numFmtId="0" fontId="88" fillId="22" borderId="0" applyNumberFormat="0" applyBorder="0" applyAlignment="0" applyProtection="0"/>
    <xf numFmtId="0" fontId="89" fillId="23" borderId="0" applyNumberFormat="0" applyBorder="0" applyAlignment="0" applyProtection="0"/>
    <xf numFmtId="0" fontId="90" fillId="24" borderId="0" applyNumberFormat="0" applyBorder="0" applyAlignment="0" applyProtection="0"/>
    <xf numFmtId="0" fontId="91" fillId="25" borderId="65" applyNumberFormat="0" applyAlignment="0" applyProtection="0"/>
    <xf numFmtId="0" fontId="92" fillId="26" borderId="66" applyNumberFormat="0" applyAlignment="0" applyProtection="0"/>
    <xf numFmtId="0" fontId="93" fillId="26" borderId="65" applyNumberFormat="0" applyAlignment="0" applyProtection="0"/>
    <xf numFmtId="0" fontId="94" fillId="0" borderId="67" applyNumberFormat="0" applyFill="0" applyAlignment="0" applyProtection="0"/>
    <xf numFmtId="0" fontId="95" fillId="27" borderId="68" applyNumberFormat="0" applyAlignment="0" applyProtection="0"/>
    <xf numFmtId="0" fontId="96" fillId="0" borderId="0" applyNumberFormat="0" applyFill="0" applyBorder="0" applyAlignment="0" applyProtection="0"/>
    <xf numFmtId="0" fontId="1" fillId="28" borderId="69" applyNumberFormat="0" applyFont="0" applyAlignment="0" applyProtection="0"/>
    <xf numFmtId="0" fontId="97" fillId="0" borderId="0" applyNumberFormat="0" applyFill="0" applyBorder="0" applyAlignment="0" applyProtection="0"/>
    <xf numFmtId="0" fontId="21" fillId="0" borderId="70" applyNumberFormat="0" applyFill="0" applyAlignment="0" applyProtection="0"/>
    <xf numFmtId="0" fontId="98"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98" fillId="32" borderId="0" applyNumberFormat="0" applyBorder="0" applyAlignment="0" applyProtection="0"/>
    <xf numFmtId="0" fontId="98"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98" fillId="36" borderId="0" applyNumberFormat="0" applyBorder="0" applyAlignment="0" applyProtection="0"/>
    <xf numFmtId="0" fontId="98"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98" fillId="40" borderId="0" applyNumberFormat="0" applyBorder="0" applyAlignment="0" applyProtection="0"/>
    <xf numFmtId="0" fontId="98"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98" fillId="44" borderId="0" applyNumberFormat="0" applyBorder="0" applyAlignment="0" applyProtection="0"/>
    <xf numFmtId="0" fontId="98"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98" fillId="48" borderId="0" applyNumberFormat="0" applyBorder="0" applyAlignment="0" applyProtection="0"/>
    <xf numFmtId="0" fontId="98"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98" fillId="52" borderId="0" applyNumberFormat="0" applyBorder="0" applyAlignment="0" applyProtection="0"/>
    <xf numFmtId="0" fontId="1" fillId="0" borderId="0"/>
    <xf numFmtId="43" fontId="1" fillId="0" borderId="0" applyFont="0" applyFill="0" applyBorder="0" applyAlignment="0" applyProtection="0"/>
    <xf numFmtId="0" fontId="5" fillId="0" borderId="0"/>
    <xf numFmtId="0" fontId="1" fillId="0" borderId="0"/>
    <xf numFmtId="0" fontId="1" fillId="28" borderId="69"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0" borderId="0"/>
    <xf numFmtId="0" fontId="99" fillId="0" borderId="0"/>
    <xf numFmtId="40" fontId="100" fillId="0" borderId="0" applyFont="0" applyFill="0" applyBorder="0" applyAlignment="0" applyProtection="0"/>
    <xf numFmtId="174" fontId="5" fillId="0" borderId="0">
      <alignment horizontal="center"/>
    </xf>
    <xf numFmtId="175" fontId="5" fillId="0" borderId="0" applyFont="0" applyFill="0" applyBorder="0" applyAlignment="0" applyProtection="0"/>
    <xf numFmtId="0" fontId="101" fillId="0" borderId="0" applyNumberFormat="0" applyFill="0" applyBorder="0" applyAlignment="0" applyProtection="0">
      <alignment vertical="top"/>
      <protection locked="0"/>
    </xf>
    <xf numFmtId="38" fontId="102" fillId="13" borderId="0" applyNumberFormat="0" applyBorder="0" applyAlignment="0" applyProtection="0"/>
    <xf numFmtId="0" fontId="103" fillId="0" borderId="0">
      <alignment horizontal="left"/>
    </xf>
    <xf numFmtId="10" fontId="102" fillId="13" borderId="23" applyNumberFormat="0" applyBorder="0" applyAlignment="0" applyProtection="0"/>
    <xf numFmtId="0" fontId="104" fillId="0" borderId="48"/>
    <xf numFmtId="176" fontId="5" fillId="0" borderId="0"/>
    <xf numFmtId="10" fontId="5" fillId="0" borderId="0" applyFont="0" applyFill="0" applyBorder="0" applyAlignment="0" applyProtection="0"/>
    <xf numFmtId="40" fontId="34" fillId="0" borderId="0" applyFont="0" applyFill="0" applyBorder="0" applyAlignment="0" applyProtection="0"/>
    <xf numFmtId="164" fontId="1"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0" fontId="104" fillId="0" borderId="0"/>
    <xf numFmtId="0" fontId="1" fillId="0" borderId="0"/>
    <xf numFmtId="0" fontId="5" fillId="0" borderId="0"/>
    <xf numFmtId="9" fontId="5" fillId="0" borderId="0" applyFont="0" applyFill="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98" fillId="32" borderId="0" applyNumberFormat="0" applyBorder="0" applyAlignment="0" applyProtection="0"/>
    <xf numFmtId="0" fontId="98" fillId="36" borderId="0" applyNumberFormat="0" applyBorder="0" applyAlignment="0" applyProtection="0"/>
    <xf numFmtId="0" fontId="98" fillId="40" borderId="0" applyNumberFormat="0" applyBorder="0" applyAlignment="0" applyProtection="0"/>
    <xf numFmtId="0" fontId="98" fillId="44" borderId="0" applyNumberFormat="0" applyBorder="0" applyAlignment="0" applyProtection="0"/>
    <xf numFmtId="0" fontId="98" fillId="48" borderId="0" applyNumberFormat="0" applyBorder="0" applyAlignment="0" applyProtection="0"/>
    <xf numFmtId="0" fontId="98" fillId="52" borderId="0" applyNumberFormat="0" applyBorder="0" applyAlignment="0" applyProtection="0"/>
    <xf numFmtId="0" fontId="34" fillId="0" borderId="0"/>
    <xf numFmtId="0" fontId="88" fillId="22" borderId="0" applyNumberFormat="0" applyBorder="0" applyAlignment="0" applyProtection="0"/>
    <xf numFmtId="0" fontId="65" fillId="85" borderId="71" applyNumberFormat="0" applyAlignment="0" applyProtection="0"/>
    <xf numFmtId="0" fontId="93" fillId="26" borderId="65" applyNumberFormat="0" applyAlignment="0" applyProtection="0"/>
    <xf numFmtId="0" fontId="95" fillId="27" borderId="68" applyNumberFormat="0" applyAlignment="0" applyProtection="0"/>
    <xf numFmtId="0" fontId="94" fillId="0" borderId="67" applyNumberFormat="0" applyFill="0" applyAlignment="0" applyProtection="0"/>
    <xf numFmtId="171" fontId="5" fillId="0" borderId="0" applyFont="0" applyFill="0" applyBorder="0" applyAlignment="0" applyProtection="0"/>
    <xf numFmtId="178" fontId="108" fillId="0" borderId="0" applyNumberFormat="0" applyFill="0" applyBorder="0">
      <alignment horizontal="left" vertical="center"/>
      <protection locked="0"/>
    </xf>
    <xf numFmtId="0" fontId="64" fillId="55" borderId="0" applyNumberFormat="0" applyBorder="0" applyAlignment="0" applyProtection="0"/>
    <xf numFmtId="179" fontId="5" fillId="0" borderId="0" applyFont="0" applyFill="0" applyBorder="0" applyAlignment="0" applyProtection="0"/>
    <xf numFmtId="0" fontId="109" fillId="0" borderId="0">
      <protection locked="0"/>
    </xf>
    <xf numFmtId="178" fontId="106" fillId="86" borderId="0" applyNumberFormat="0" applyBorder="0">
      <alignment horizontal="center" vertical="center"/>
    </xf>
    <xf numFmtId="178" fontId="106" fillId="86" borderId="0" applyNumberFormat="0" applyBorder="0">
      <alignment horizontal="center" vertical="center"/>
    </xf>
    <xf numFmtId="178" fontId="110" fillId="86" borderId="81" applyNumberFormat="0" applyFill="0" applyBorder="0" applyProtection="0">
      <alignment horizontal="left"/>
      <protection locked="0"/>
    </xf>
    <xf numFmtId="0" fontId="98" fillId="29" borderId="0" applyNumberFormat="0" applyBorder="0" applyAlignment="0" applyProtection="0"/>
    <xf numFmtId="0" fontId="98" fillId="33" borderId="0" applyNumberFormat="0" applyBorder="0" applyAlignment="0" applyProtection="0"/>
    <xf numFmtId="0" fontId="98" fillId="37" borderId="0" applyNumberFormat="0" applyBorder="0" applyAlignment="0" applyProtection="0"/>
    <xf numFmtId="0" fontId="98" fillId="41" borderId="0" applyNumberFormat="0" applyBorder="0" applyAlignment="0" applyProtection="0"/>
    <xf numFmtId="0" fontId="98" fillId="45" borderId="0" applyNumberFormat="0" applyBorder="0" applyAlignment="0" applyProtection="0"/>
    <xf numFmtId="0" fontId="98" fillId="49" borderId="0" applyNumberFormat="0" applyBorder="0" applyAlignment="0" applyProtection="0"/>
    <xf numFmtId="0" fontId="68" fillId="80" borderId="71" applyNumberFormat="0" applyAlignment="0" applyProtection="0"/>
    <xf numFmtId="0" fontId="91" fillId="25" borderId="65"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80" fontId="5" fillId="0" borderId="0" applyFont="0" applyFill="0" applyBorder="0" applyAlignment="0" applyProtection="0"/>
    <xf numFmtId="181" fontId="111" fillId="0" borderId="0" applyFill="0" applyBorder="0" applyAlignment="0" applyProtection="0"/>
    <xf numFmtId="182" fontId="109" fillId="0" borderId="0">
      <protection locked="0"/>
    </xf>
    <xf numFmtId="0" fontId="112" fillId="0" borderId="0" applyNumberFormat="0" applyFont="0" applyFill="0" applyAlignment="0">
      <alignment horizontal="left"/>
    </xf>
    <xf numFmtId="0" fontId="89" fillId="23" borderId="0" applyNumberFormat="0" applyBorder="0" applyAlignment="0" applyProtection="0"/>
    <xf numFmtId="0" fontId="5" fillId="0" borderId="0">
      <alignment horizontal="centerContinuous" vertical="justify"/>
    </xf>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83"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84" fontId="111" fillId="0" borderId="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84" fontId="111" fillId="0" borderId="0" applyFill="0" applyBorder="0" applyAlignment="0" applyProtection="0"/>
    <xf numFmtId="184" fontId="5" fillId="0" borderId="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4" fontId="111" fillId="0" borderId="0" applyFill="0" applyBorder="0" applyAlignment="0" applyProtection="0"/>
    <xf numFmtId="168" fontId="5" fillId="0" borderId="0" applyFont="0" applyFill="0" applyBorder="0" applyAlignment="0" applyProtection="0"/>
    <xf numFmtId="185" fontId="5" fillId="0" borderId="0" applyFont="0" applyFill="0" applyBorder="0" applyAlignment="0" applyProtection="0"/>
    <xf numFmtId="184" fontId="111" fillId="0" borderId="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4" fontId="5" fillId="0" borderId="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5" fontId="5" fillId="0" borderId="0" applyFont="0" applyFill="0" applyBorder="0" applyAlignment="0" applyProtection="0"/>
    <xf numFmtId="186" fontId="5" fillId="0" borderId="0" applyFont="0" applyFill="0" applyBorder="0" applyAlignment="0" applyProtection="0"/>
    <xf numFmtId="187" fontId="5" fillId="0" borderId="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90" fillId="24" borderId="0" applyNumberFormat="0" applyBorder="0" applyAlignment="0" applyProtection="0"/>
    <xf numFmtId="0" fontId="70" fillId="7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80" fillId="0" borderId="0"/>
    <xf numFmtId="0" fontId="44" fillId="53" borderId="0" applyNumberFormat="0" applyBorder="0" applyAlignment="0" applyProtection="0"/>
    <xf numFmtId="0" fontId="63" fillId="60" borderId="0" applyNumberFormat="0" applyBorder="0" applyAlignment="0" applyProtection="0"/>
    <xf numFmtId="0" fontId="13" fillId="0" borderId="0"/>
    <xf numFmtId="0" fontId="44" fillId="59" borderId="0" applyNumberFormat="0" applyBorder="0" applyAlignment="0" applyProtection="0"/>
    <xf numFmtId="191" fontId="63"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44" fillId="0" borderId="0"/>
    <xf numFmtId="0" fontId="44" fillId="0" borderId="0"/>
    <xf numFmtId="0" fontId="44" fillId="0" borderId="0"/>
    <xf numFmtId="0" fontId="44" fillId="0" borderId="0"/>
    <xf numFmtId="0" fontId="44" fillId="0" borderId="0"/>
    <xf numFmtId="0" fontId="5" fillId="0" borderId="0"/>
    <xf numFmtId="0" fontId="5" fillId="0" borderId="0"/>
    <xf numFmtId="0" fontId="5" fillId="0" borderId="0"/>
    <xf numFmtId="0" fontId="5" fillId="0" borderId="0"/>
    <xf numFmtId="0" fontId="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5" fillId="0" borderId="0"/>
    <xf numFmtId="0" fontId="5" fillId="0" borderId="0"/>
    <xf numFmtId="0" fontId="5" fillId="0" borderId="0"/>
    <xf numFmtId="0" fontId="5" fillId="0" borderId="0"/>
    <xf numFmtId="0" fontId="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05" fillId="0" borderId="0"/>
    <xf numFmtId="0" fontId="13" fillId="0" borderId="0"/>
    <xf numFmtId="0" fontId="63" fillId="60" borderId="0" applyNumberFormat="0" applyBorder="0" applyAlignment="0" applyProtection="0"/>
    <xf numFmtId="0" fontId="44" fillId="55" borderId="0" applyNumberFormat="0" applyBorder="0" applyAlignment="0" applyProtection="0"/>
    <xf numFmtId="0" fontId="5" fillId="0" borderId="0"/>
    <xf numFmtId="0" fontId="5" fillId="0" borderId="0"/>
    <xf numFmtId="0" fontId="5" fillId="0" borderId="0"/>
    <xf numFmtId="0" fontId="5" fillId="0" borderId="0"/>
    <xf numFmtId="0" fontId="44" fillId="53" borderId="0" applyNumberFormat="0" applyBorder="0" applyAlignment="0" applyProtection="0"/>
    <xf numFmtId="0" fontId="113" fillId="0" borderId="0"/>
    <xf numFmtId="0" fontId="5" fillId="0" borderId="0"/>
    <xf numFmtId="0" fontId="5" fillId="0" borderId="0"/>
    <xf numFmtId="0" fontId="80" fillId="0" borderId="0"/>
    <xf numFmtId="0" fontId="5" fillId="0" borderId="0"/>
    <xf numFmtId="0" fontId="5" fillId="0" borderId="0"/>
    <xf numFmtId="0" fontId="5" fillId="0" borderId="0"/>
    <xf numFmtId="0" fontId="5"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5" fillId="87" borderId="74" applyNumberFormat="0" applyAlignment="0" applyProtection="0"/>
    <xf numFmtId="0" fontId="1" fillId="28" borderId="69" applyNumberFormat="0" applyFont="0" applyAlignment="0" applyProtection="0"/>
    <xf numFmtId="188" fontId="109" fillId="0" borderId="0">
      <protection locked="0"/>
    </xf>
    <xf numFmtId="0" fontId="5" fillId="0" borderId="83" applyNumberFormat="0" applyFont="0" applyAlignment="0"/>
    <xf numFmtId="0" fontId="5" fillId="0" borderId="83" applyNumberFormat="0" applyFont="0" applyAlignment="0"/>
    <xf numFmtId="0" fontId="5" fillId="0" borderId="83" applyNumberFormat="0" applyFont="0" applyAlignment="0"/>
    <xf numFmtId="0" fontId="5" fillId="0" borderId="83" applyNumberFormat="0" applyFont="0" applyAlignment="0"/>
    <xf numFmtId="0" fontId="5" fillId="0" borderId="83" applyNumberFormat="0" applyFont="0" applyAlignment="0"/>
    <xf numFmtId="0" fontId="5" fillId="0" borderId="83" applyNumberFormat="0" applyFont="0" applyAlignment="0"/>
    <xf numFmtId="0" fontId="5" fillId="0" borderId="83" applyNumberFormat="0" applyFont="0" applyAlignment="0"/>
    <xf numFmtId="0" fontId="5" fillId="0" borderId="83" applyNumberFormat="0" applyFont="0" applyAlignment="0"/>
    <xf numFmtId="0" fontId="5" fillId="0" borderId="83" applyNumberFormat="0" applyFont="0" applyAlignment="0"/>
    <xf numFmtId="0" fontId="5" fillId="0" borderId="83" applyNumberFormat="0" applyFont="0" applyAlignment="0"/>
    <xf numFmtId="0" fontId="5" fillId="0" borderId="83" applyNumberFormat="0" applyFont="0" applyAlignment="0"/>
    <xf numFmtId="0" fontId="5" fillId="0" borderId="83" applyNumberFormat="0" applyFont="0" applyAlignment="0"/>
    <xf numFmtId="0" fontId="5" fillId="0" borderId="83" applyNumberFormat="0" applyFont="0" applyAlignment="0"/>
    <xf numFmtId="0" fontId="5" fillId="0" borderId="0" applyNumberFormat="0" applyBorder="0" applyAlignment="0"/>
    <xf numFmtId="0" fontId="5" fillId="0" borderId="83" applyNumberFormat="0" applyFont="0" applyAlignment="0"/>
    <xf numFmtId="0" fontId="5" fillId="0" borderId="83" applyNumberFormat="0" applyFont="0" applyAlignment="0"/>
    <xf numFmtId="0" fontId="5" fillId="0" borderId="83" applyNumberFormat="0" applyFont="0" applyAlignment="0"/>
    <xf numFmtId="0" fontId="5" fillId="0" borderId="83" applyNumberFormat="0" applyFont="0" applyAlignment="0"/>
    <xf numFmtId="0" fontId="5" fillId="0" borderId="83" applyNumberFormat="0" applyFont="0" applyAlignment="0"/>
    <xf numFmtId="0" fontId="5" fillId="0" borderId="83" applyNumberFormat="0" applyFont="0" applyAlignment="0"/>
    <xf numFmtId="0" fontId="5" fillId="0" borderId="83" applyNumberFormat="0" applyFont="0" applyAlignment="0"/>
    <xf numFmtId="0" fontId="5" fillId="0" borderId="83" applyNumberFormat="0" applyFont="0" applyAlignment="0"/>
    <xf numFmtId="4" fontId="109" fillId="0" borderId="0">
      <protection locked="0"/>
    </xf>
    <xf numFmtId="9" fontId="5" fillId="0" borderId="0" applyFont="0" applyFill="0" applyBorder="0" applyAlignment="0" applyProtection="0"/>
    <xf numFmtId="9" fontId="5" fillId="0" borderId="0" applyFont="0" applyFill="0" applyBorder="0" applyAlignment="0" applyProtection="0"/>
    <xf numFmtId="9" fontId="111" fillId="0" borderId="0" applyFill="0" applyBorder="0" applyAlignment="0" applyProtection="0"/>
    <xf numFmtId="9" fontId="5" fillId="0" borderId="0" applyFill="0" applyBorder="0" applyAlignment="0" applyProtection="0"/>
    <xf numFmtId="9" fontId="111"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1" fillId="0" borderId="0" applyFill="0" applyBorder="0" applyAlignment="0" applyProtection="0"/>
    <xf numFmtId="9" fontId="5" fillId="0" borderId="0" applyFont="0" applyFill="0" applyBorder="0" applyAlignment="0" applyProtection="0"/>
    <xf numFmtId="9" fontId="111" fillId="0" borderId="0" applyFill="0" applyBorder="0" applyAlignment="0" applyProtection="0"/>
    <xf numFmtId="9" fontId="5"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1"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ill="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5" fillId="0" borderId="0" applyFont="0" applyFill="0" applyBorder="0" applyAlignment="0" applyProtection="0"/>
    <xf numFmtId="0" fontId="71" fillId="85" borderId="76" applyNumberFormat="0" applyAlignment="0" applyProtection="0"/>
    <xf numFmtId="0" fontId="92" fillId="26" borderId="66" applyNumberFormat="0" applyAlignment="0" applyProtection="0"/>
    <xf numFmtId="164" fontId="5" fillId="0" borderId="0" applyFont="0" applyFill="0" applyBorder="0" applyAlignment="0" applyProtection="0"/>
    <xf numFmtId="164" fontId="5" fillId="0" borderId="0" applyFont="0" applyFill="0" applyBorder="0" applyAlignment="0" applyProtection="0"/>
    <xf numFmtId="189" fontId="111" fillId="0" borderId="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89" fontId="111" fillId="0" borderId="0" applyFill="0" applyBorder="0" applyAlignment="0" applyProtection="0"/>
    <xf numFmtId="189" fontId="5" fillId="0" borderId="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87" fontId="5" fillId="0" borderId="0" applyFill="0" applyAlignment="0" applyProtection="0"/>
    <xf numFmtId="189" fontId="111" fillId="0" borderId="0" applyFill="0" applyBorder="0" applyAlignment="0" applyProtection="0"/>
    <xf numFmtId="183" fontId="5" fillId="0" borderId="0" applyFill="0" applyBorder="0" applyAlignment="0" applyProtection="0"/>
    <xf numFmtId="187" fontId="5" fillId="0" borderId="0" applyFill="0" applyAlignment="0" applyProtection="0"/>
    <xf numFmtId="187" fontId="5" fillId="0" borderId="0" applyFill="0" applyAlignment="0" applyProtection="0"/>
    <xf numFmtId="187" fontId="5" fillId="0" borderId="0" applyFill="0" applyAlignment="0" applyProtection="0"/>
    <xf numFmtId="187" fontId="5" fillId="0" borderId="0" applyFill="0" applyAlignment="0" applyProtection="0"/>
    <xf numFmtId="187" fontId="5" fillId="0" borderId="0" applyFill="0" applyAlignment="0" applyProtection="0"/>
    <xf numFmtId="187" fontId="5" fillId="0" borderId="0" applyFill="0" applyAlignment="0" applyProtection="0"/>
    <xf numFmtId="187" fontId="5" fillId="0" borderId="0" applyFill="0" applyAlignment="0" applyProtection="0"/>
    <xf numFmtId="187" fontId="5" fillId="0" borderId="0" applyFill="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107" fillId="0" borderId="84" applyNumberFormat="0" applyFill="0" applyAlignment="0" applyProtection="0"/>
    <xf numFmtId="0" fontId="75" fillId="0" borderId="77" applyNumberFormat="0" applyFill="0" applyAlignment="0" applyProtection="0"/>
    <xf numFmtId="0" fontId="107" fillId="0" borderId="82"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75" fillId="0" borderId="77" applyNumberFormat="0" applyFill="0" applyAlignment="0" applyProtection="0"/>
    <xf numFmtId="0" fontId="85" fillId="0" borderId="62" applyNumberFormat="0" applyFill="0" applyAlignment="0" applyProtection="0"/>
    <xf numFmtId="0" fontId="86" fillId="0" borderId="63" applyNumberFormat="0" applyFill="0" applyAlignment="0" applyProtection="0"/>
    <xf numFmtId="0" fontId="87" fillId="0" borderId="64" applyNumberFormat="0" applyFill="0" applyAlignment="0" applyProtection="0"/>
    <xf numFmtId="0" fontId="87" fillId="0" borderId="0" applyNumberFormat="0" applyFill="0" applyBorder="0" applyAlignment="0" applyProtection="0"/>
    <xf numFmtId="190" fontId="114" fillId="0" borderId="0">
      <protection locked="0"/>
    </xf>
    <xf numFmtId="190" fontId="114" fillId="0" borderId="0">
      <protection locked="0"/>
    </xf>
    <xf numFmtId="0" fontId="78" fillId="0" borderId="80" applyNumberFormat="0" applyFill="0" applyAlignment="0" applyProtection="0"/>
    <xf numFmtId="0" fontId="21" fillId="0" borderId="70" applyNumberFormat="0" applyFill="0" applyAlignment="0" applyProtection="0"/>
    <xf numFmtId="0" fontId="66" fillId="68" borderId="72" applyNumberFormat="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64" fillId="55" borderId="0" applyNumberFormat="0" applyBorder="0" applyAlignment="0" applyProtection="0"/>
    <xf numFmtId="0" fontId="70" fillId="73" borderId="0" applyNumberFormat="0" applyBorder="0" applyAlignment="0" applyProtection="0"/>
    <xf numFmtId="0" fontId="66" fillId="68" borderId="72" applyNumberFormat="0" applyAlignment="0" applyProtection="0"/>
    <xf numFmtId="164" fontId="5" fillId="0" borderId="0" applyFont="0" applyFill="0" applyBorder="0" applyAlignment="0" applyProtection="0"/>
    <xf numFmtId="0" fontId="84" fillId="0" borderId="0"/>
    <xf numFmtId="0" fontId="1" fillId="0" borderId="0"/>
    <xf numFmtId="43" fontId="1" fillId="0" borderId="0" applyFont="0" applyFill="0" applyBorder="0" applyAlignment="0" applyProtection="0"/>
    <xf numFmtId="0" fontId="1" fillId="0" borderId="0"/>
    <xf numFmtId="0" fontId="1" fillId="0" borderId="0"/>
    <xf numFmtId="0" fontId="62" fillId="0" borderId="0"/>
    <xf numFmtId="0" fontId="1" fillId="0" borderId="0"/>
    <xf numFmtId="44" fontId="1" fillId="0" borderId="0" applyFont="0" applyFill="0" applyBorder="0" applyAlignment="0" applyProtection="0"/>
    <xf numFmtId="0" fontId="1" fillId="0" borderId="0"/>
    <xf numFmtId="0" fontId="1" fillId="0" borderId="0"/>
    <xf numFmtId="0" fontId="5" fillId="0" borderId="0"/>
    <xf numFmtId="0" fontId="44" fillId="53" borderId="0" applyNumberFormat="0" applyBorder="0" applyAlignment="0" applyProtection="0"/>
    <xf numFmtId="0" fontId="44" fillId="54"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58"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5"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6"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7"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79"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80"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61" borderId="0" applyNumberFormat="0" applyBorder="0" applyAlignment="0" applyProtection="0"/>
    <xf numFmtId="0" fontId="44" fillId="56" borderId="0" applyNumberFormat="0" applyBorder="0" applyAlignment="0" applyProtection="0"/>
    <xf numFmtId="0" fontId="44" fillId="59" borderId="0" applyNumberFormat="0" applyBorder="0" applyAlignment="0" applyProtection="0"/>
    <xf numFmtId="0" fontId="44" fillId="62"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2"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83"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78"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1"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44" fillId="84" borderId="0" applyNumberFormat="0" applyBorder="0" applyAlignment="0" applyProtection="0"/>
    <xf numFmtId="0" fontId="5" fillId="0" borderId="0"/>
    <xf numFmtId="0" fontId="1" fillId="0" borderId="0"/>
    <xf numFmtId="0" fontId="1" fillId="0" borderId="0"/>
    <xf numFmtId="0" fontId="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178" fontId="106" fillId="86" borderId="0" applyNumberFormat="0" applyBorder="0">
      <alignment horizontal="center" vertical="center"/>
    </xf>
    <xf numFmtId="178" fontId="106" fillId="86" borderId="0" applyNumberFormat="0" applyBorder="0">
      <alignment horizontal="center" vertical="center"/>
    </xf>
    <xf numFmtId="0" fontId="5" fillId="0" borderId="0"/>
    <xf numFmtId="0" fontId="5" fillId="0" borderId="0"/>
    <xf numFmtId="0" fontId="5" fillId="0" borderId="0"/>
    <xf numFmtId="0" fontId="5"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4" fontId="80" fillId="0" borderId="0" applyFont="0" applyFill="0" applyBorder="0" applyAlignment="0" applyProtection="0">
      <alignment vertical="top"/>
    </xf>
    <xf numFmtId="0" fontId="1" fillId="0" borderId="0"/>
    <xf numFmtId="0" fontId="1" fillId="0" borderId="0"/>
    <xf numFmtId="0" fontId="115" fillId="0" borderId="0"/>
    <xf numFmtId="0" fontId="1"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41" fontId="5" fillId="0" borderId="0" applyFont="0" applyFill="0" applyBorder="0" applyAlignment="0" applyProtection="0"/>
    <xf numFmtId="42"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8" borderId="69" applyNumberFormat="0" applyFont="0" applyAlignment="0" applyProtection="0"/>
    <xf numFmtId="0" fontId="1" fillId="28" borderId="69" applyNumberFormat="0" applyFont="0" applyAlignment="0" applyProtection="0"/>
    <xf numFmtId="0" fontId="1" fillId="28" borderId="69" applyNumberFormat="0" applyFont="0" applyAlignment="0" applyProtection="0"/>
    <xf numFmtId="9" fontId="1" fillId="0" borderId="0" applyFont="0" applyFill="0" applyBorder="0" applyAlignment="0" applyProtection="0"/>
    <xf numFmtId="43" fontId="80" fillId="0" borderId="0" applyFont="0" applyFill="0" applyBorder="0" applyAlignment="0" applyProtection="0">
      <alignment vertical="top"/>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1" fontId="63" fillId="61" borderId="0" applyNumberFormat="0" applyBorder="0" applyAlignment="0" applyProtection="0"/>
    <xf numFmtId="191" fontId="44" fillId="54" borderId="0" applyNumberFormat="0" applyBorder="0" applyAlignment="0" applyProtection="0"/>
    <xf numFmtId="191" fontId="63" fillId="63" borderId="0" applyNumberFormat="0" applyBorder="0" applyAlignment="0" applyProtection="0"/>
    <xf numFmtId="0" fontId="44" fillId="54" borderId="0" applyNumberFormat="0" applyBorder="0" applyAlignment="0" applyProtection="0"/>
    <xf numFmtId="191" fontId="44" fillId="59" borderId="0" applyNumberFormat="0" applyBorder="0" applyAlignment="0" applyProtection="0"/>
    <xf numFmtId="0" fontId="5" fillId="0" borderId="0"/>
    <xf numFmtId="191" fontId="44" fillId="53" borderId="0" applyNumberFormat="0" applyBorder="0" applyAlignment="0" applyProtection="0"/>
    <xf numFmtId="191"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191" fontId="44" fillId="58" borderId="0" applyNumberFormat="0" applyBorder="0" applyAlignment="0" applyProtection="0"/>
    <xf numFmtId="0" fontId="44" fillId="58" borderId="0" applyNumberFormat="0" applyBorder="0" applyAlignment="0" applyProtection="0"/>
    <xf numFmtId="191" fontId="44" fillId="58" borderId="0" applyNumberFormat="0" applyBorder="0" applyAlignment="0" applyProtection="0"/>
    <xf numFmtId="191"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59" borderId="0" applyNumberFormat="0" applyBorder="0" applyAlignment="0" applyProtection="0"/>
    <xf numFmtId="191" fontId="63" fillId="63" borderId="0" applyNumberFormat="0" applyBorder="0" applyAlignment="0" applyProtection="0"/>
    <xf numFmtId="191"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191"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5" borderId="0" applyNumberFormat="0" applyBorder="0" applyAlignment="0" applyProtection="0"/>
    <xf numFmtId="191" fontId="44" fillId="56" borderId="0" applyNumberFormat="0" applyBorder="0" applyAlignment="0" applyProtection="0"/>
    <xf numFmtId="191"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191" fontId="44" fillId="57" borderId="0" applyNumberFormat="0" applyBorder="0" applyAlignment="0" applyProtection="0"/>
    <xf numFmtId="191" fontId="44" fillId="57" borderId="0" applyNumberFormat="0" applyBorder="0" applyAlignment="0" applyProtection="0"/>
    <xf numFmtId="191" fontId="44" fillId="57" borderId="0" applyNumberFormat="0" applyBorder="0" applyAlignment="0" applyProtection="0"/>
    <xf numFmtId="191"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9" borderId="0" applyNumberFormat="0" applyBorder="0" applyAlignment="0" applyProtection="0"/>
    <xf numFmtId="191" fontId="44" fillId="59" borderId="0" applyNumberFormat="0" applyBorder="0" applyAlignment="0" applyProtection="0"/>
    <xf numFmtId="191"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191" fontId="44" fillId="61" borderId="0" applyNumberFormat="0" applyBorder="0" applyAlignment="0" applyProtection="0"/>
    <xf numFmtId="191" fontId="44" fillId="61" borderId="0" applyNumberFormat="0" applyBorder="0" applyAlignment="0" applyProtection="0"/>
    <xf numFmtId="191"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191" fontId="44" fillId="56" borderId="0" applyNumberFormat="0" applyBorder="0" applyAlignment="0" applyProtection="0"/>
    <xf numFmtId="191" fontId="44" fillId="56" borderId="0" applyNumberFormat="0" applyBorder="0" applyAlignment="0" applyProtection="0"/>
    <xf numFmtId="191" fontId="44" fillId="56" borderId="0" applyNumberFormat="0" applyBorder="0" applyAlignment="0" applyProtection="0"/>
    <xf numFmtId="0" fontId="44" fillId="56" borderId="0" applyNumberFormat="0" applyBorder="0" applyAlignment="0" applyProtection="0"/>
    <xf numFmtId="191"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191" fontId="44" fillId="62" borderId="0" applyNumberFormat="0" applyBorder="0" applyAlignment="0" applyProtection="0"/>
    <xf numFmtId="191" fontId="44" fillId="62" borderId="0" applyNumberFormat="0" applyBorder="0" applyAlignment="0" applyProtection="0"/>
    <xf numFmtId="191" fontId="44" fillId="62" borderId="0" applyNumberFormat="0" applyBorder="0" applyAlignment="0" applyProtection="0"/>
    <xf numFmtId="0" fontId="44" fillId="62" borderId="0" applyNumberFormat="0" applyBorder="0" applyAlignment="0" applyProtection="0"/>
    <xf numFmtId="0" fontId="44" fillId="62" borderId="0" applyNumberFormat="0" applyBorder="0" applyAlignment="0" applyProtection="0"/>
    <xf numFmtId="0" fontId="44" fillId="62" borderId="0" applyNumberFormat="0" applyBorder="0" applyAlignment="0" applyProtection="0"/>
    <xf numFmtId="191" fontId="63" fillId="63" borderId="0" applyNumberFormat="0" applyBorder="0" applyAlignment="0" applyProtection="0"/>
    <xf numFmtId="0" fontId="63" fillId="63" borderId="0" applyNumberFormat="0" applyBorder="0" applyAlignment="0" applyProtection="0"/>
    <xf numFmtId="0" fontId="63" fillId="63" borderId="0" applyNumberFormat="0" applyBorder="0" applyAlignment="0" applyProtection="0"/>
    <xf numFmtId="191" fontId="63" fillId="60" borderId="0" applyNumberFormat="0" applyBorder="0" applyAlignment="0" applyProtection="0"/>
    <xf numFmtId="191" fontId="63" fillId="60" borderId="0" applyNumberFormat="0" applyBorder="0" applyAlignment="0" applyProtection="0"/>
    <xf numFmtId="191" fontId="63" fillId="60" borderId="0" applyNumberFormat="0" applyBorder="0" applyAlignment="0" applyProtection="0"/>
    <xf numFmtId="191" fontId="63" fillId="61" borderId="0" applyNumberFormat="0" applyBorder="0" applyAlignment="0" applyProtection="0"/>
    <xf numFmtId="0" fontId="63" fillId="61" borderId="0" applyNumberFormat="0" applyBorder="0" applyAlignment="0" applyProtection="0"/>
    <xf numFmtId="191" fontId="63" fillId="61" borderId="0" applyNumberFormat="0" applyBorder="0" applyAlignment="0" applyProtection="0"/>
    <xf numFmtId="191" fontId="63" fillId="61" borderId="0" applyNumberFormat="0" applyBorder="0" applyAlignment="0" applyProtection="0"/>
    <xf numFmtId="191" fontId="63" fillId="61" borderId="0" applyNumberFormat="0" applyBorder="0" applyAlignment="0" applyProtection="0"/>
    <xf numFmtId="191" fontId="63" fillId="61" borderId="0" applyNumberFormat="0" applyBorder="0" applyAlignment="0" applyProtection="0"/>
    <xf numFmtId="0" fontId="63" fillId="61" borderId="0" applyNumberFormat="0" applyBorder="0" applyAlignment="0" applyProtection="0"/>
    <xf numFmtId="0" fontId="44" fillId="53"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191" fontId="44" fillId="55" borderId="0" applyNumberFormat="0" applyBorder="0" applyAlignment="0" applyProtection="0"/>
    <xf numFmtId="0" fontId="44" fillId="55" borderId="0" applyNumberFormat="0" applyBorder="0" applyAlignment="0" applyProtection="0"/>
    <xf numFmtId="191" fontId="44" fillId="55" borderId="0" applyNumberFormat="0" applyBorder="0" applyAlignment="0" applyProtection="0"/>
    <xf numFmtId="0" fontId="44" fillId="55" borderId="0" applyNumberFormat="0" applyBorder="0" applyAlignment="0" applyProtection="0"/>
    <xf numFmtId="191" fontId="44" fillId="56" borderId="0" applyNumberFormat="0" applyBorder="0" applyAlignment="0" applyProtection="0"/>
    <xf numFmtId="0" fontId="44" fillId="56" borderId="0" applyNumberFormat="0" applyBorder="0" applyAlignment="0" applyProtection="0"/>
    <xf numFmtId="191"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191" fontId="44" fillId="57" borderId="0" applyNumberFormat="0" applyBorder="0" applyAlignment="0" applyProtection="0"/>
    <xf numFmtId="0" fontId="44" fillId="57" borderId="0" applyNumberFormat="0" applyBorder="0" applyAlignment="0" applyProtection="0"/>
    <xf numFmtId="191"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8" borderId="0" applyNumberFormat="0" applyBorder="0" applyAlignment="0" applyProtection="0"/>
    <xf numFmtId="191"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191" fontId="44" fillId="59" borderId="0" applyNumberFormat="0" applyBorder="0" applyAlignment="0" applyProtection="0"/>
    <xf numFmtId="191" fontId="44" fillId="59" borderId="0" applyNumberFormat="0" applyBorder="0" applyAlignment="0" applyProtection="0"/>
    <xf numFmtId="0" fontId="44" fillId="59" borderId="0" applyNumberFormat="0" applyBorder="0" applyAlignment="0" applyProtection="0"/>
    <xf numFmtId="191" fontId="44" fillId="60" borderId="0" applyNumberFormat="0" applyBorder="0" applyAlignment="0" applyProtection="0"/>
    <xf numFmtId="0" fontId="44" fillId="60" borderId="0" applyNumberFormat="0" applyBorder="0" applyAlignment="0" applyProtection="0"/>
    <xf numFmtId="191" fontId="44" fillId="60" borderId="0" applyNumberFormat="0" applyBorder="0" applyAlignment="0" applyProtection="0"/>
    <xf numFmtId="0" fontId="44" fillId="60"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191" fontId="44" fillId="61" borderId="0" applyNumberFormat="0" applyBorder="0" applyAlignment="0" applyProtection="0"/>
    <xf numFmtId="191"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191" fontId="44" fillId="56" borderId="0" applyNumberFormat="0" applyBorder="0" applyAlignment="0" applyProtection="0"/>
    <xf numFmtId="191"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191"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62" borderId="0" applyNumberFormat="0" applyBorder="0" applyAlignment="0" applyProtection="0"/>
    <xf numFmtId="0" fontId="44" fillId="62" borderId="0" applyNumberFormat="0" applyBorder="0" applyAlignment="0" applyProtection="0"/>
    <xf numFmtId="191" fontId="44" fillId="62" borderId="0" applyNumberFormat="0" applyBorder="0" applyAlignment="0" applyProtection="0"/>
    <xf numFmtId="191" fontId="44" fillId="62" borderId="0" applyNumberFormat="0" applyBorder="0" applyAlignment="0" applyProtection="0"/>
    <xf numFmtId="0" fontId="44" fillId="62" borderId="0" applyNumberFormat="0" applyBorder="0" applyAlignment="0" applyProtection="0"/>
    <xf numFmtId="0" fontId="44" fillId="62" borderId="0" applyNumberFormat="0" applyBorder="0" applyAlignment="0" applyProtection="0"/>
    <xf numFmtId="0" fontId="44" fillId="62" borderId="0" applyNumberFormat="0" applyBorder="0" applyAlignment="0" applyProtection="0"/>
    <xf numFmtId="0" fontId="63" fillId="63" borderId="0" applyNumberFormat="0" applyBorder="0" applyAlignment="0" applyProtection="0"/>
    <xf numFmtId="0" fontId="63" fillId="63" borderId="0" applyNumberFormat="0" applyBorder="0" applyAlignment="0" applyProtection="0"/>
    <xf numFmtId="0" fontId="63" fillId="63" borderId="0" applyNumberFormat="0" applyBorder="0" applyAlignment="0" applyProtection="0"/>
    <xf numFmtId="191" fontId="63" fillId="63" borderId="0" applyNumberFormat="0" applyBorder="0" applyAlignment="0" applyProtection="0"/>
    <xf numFmtId="191" fontId="63" fillId="63" borderId="0" applyNumberFormat="0" applyBorder="0" applyAlignment="0" applyProtection="0"/>
    <xf numFmtId="0" fontId="63" fillId="63" borderId="0" applyNumberFormat="0" applyBorder="0" applyAlignment="0" applyProtection="0"/>
    <xf numFmtId="0" fontId="63" fillId="63" borderId="0" applyNumberFormat="0" applyBorder="0" applyAlignment="0" applyProtection="0"/>
    <xf numFmtId="0" fontId="63" fillId="63" borderId="0" applyNumberFormat="0" applyBorder="0" applyAlignment="0" applyProtection="0"/>
    <xf numFmtId="191" fontId="63" fillId="60" borderId="0" applyNumberFormat="0" applyBorder="0" applyAlignment="0" applyProtection="0"/>
    <xf numFmtId="0" fontId="63" fillId="60" borderId="0" applyNumberFormat="0" applyBorder="0" applyAlignment="0" applyProtection="0"/>
    <xf numFmtId="191" fontId="63" fillId="60" borderId="0" applyNumberFormat="0" applyBorder="0" applyAlignment="0" applyProtection="0"/>
    <xf numFmtId="191" fontId="63" fillId="60" borderId="0" applyNumberFormat="0" applyBorder="0" applyAlignment="0" applyProtection="0"/>
    <xf numFmtId="191" fontId="63" fillId="60" borderId="0" applyNumberFormat="0" applyBorder="0" applyAlignment="0" applyProtection="0"/>
    <xf numFmtId="191" fontId="63" fillId="60" borderId="0" applyNumberFormat="0" applyBorder="0" applyAlignment="0" applyProtection="0"/>
    <xf numFmtId="191"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191" fontId="44" fillId="55" borderId="0" applyNumberFormat="0" applyBorder="0" applyAlignment="0" applyProtection="0"/>
    <xf numFmtId="0" fontId="44" fillId="57" borderId="0" applyNumberFormat="0" applyBorder="0" applyAlignment="0" applyProtection="0"/>
    <xf numFmtId="191" fontId="44" fillId="60" borderId="0" applyNumberFormat="0" applyBorder="0" applyAlignment="0" applyProtection="0"/>
    <xf numFmtId="0" fontId="80" fillId="0" borderId="0"/>
    <xf numFmtId="0" fontId="63" fillId="61" borderId="0" applyNumberFormat="0" applyBorder="0" applyAlignment="0" applyProtection="0"/>
    <xf numFmtId="0" fontId="63" fillId="61" borderId="0" applyNumberFormat="0" applyBorder="0" applyAlignment="0" applyProtection="0"/>
    <xf numFmtId="191" fontId="63" fillId="61" borderId="0" applyNumberFormat="0" applyBorder="0" applyAlignment="0" applyProtection="0"/>
    <xf numFmtId="0" fontId="63" fillId="61"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191" fontId="44" fillId="53"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7" borderId="0" applyNumberFormat="0" applyBorder="0" applyAlignment="0" applyProtection="0"/>
    <xf numFmtId="191" fontId="44" fillId="58"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56" borderId="0" applyNumberFormat="0" applyBorder="0" applyAlignment="0" applyProtection="0"/>
    <xf numFmtId="191" fontId="44" fillId="59" borderId="0" applyNumberFormat="0" applyBorder="0" applyAlignment="0" applyProtection="0"/>
    <xf numFmtId="0" fontId="62" fillId="0" borderId="0"/>
    <xf numFmtId="191" fontId="44" fillId="53" borderId="0" applyNumberFormat="0" applyBorder="0" applyAlignment="0" applyProtection="0"/>
    <xf numFmtId="0" fontId="44" fillId="53" borderId="0" applyNumberFormat="0" applyBorder="0" applyAlignment="0" applyProtection="0"/>
    <xf numFmtId="191" fontId="44" fillId="54" borderId="0" applyNumberFormat="0" applyBorder="0" applyAlignment="0" applyProtection="0"/>
    <xf numFmtId="191" fontId="44" fillId="54" borderId="0" applyNumberFormat="0" applyBorder="0" applyAlignment="0" applyProtection="0"/>
    <xf numFmtId="0" fontId="44" fillId="54" borderId="0" applyNumberFormat="0" applyBorder="0" applyAlignment="0" applyProtection="0"/>
    <xf numFmtId="0" fontId="44" fillId="56" borderId="0" applyNumberFormat="0" applyBorder="0" applyAlignment="0" applyProtection="0"/>
    <xf numFmtId="191" fontId="44" fillId="56" borderId="0" applyNumberFormat="0" applyBorder="0" applyAlignment="0" applyProtection="0"/>
    <xf numFmtId="0" fontId="63" fillId="63"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191" fontId="63" fillId="60" borderId="0" applyNumberFormat="0" applyBorder="0" applyAlignment="0" applyProtection="0"/>
    <xf numFmtId="0" fontId="63" fillId="60" borderId="0" applyNumberFormat="0" applyBorder="0" applyAlignment="0" applyProtection="0"/>
    <xf numFmtId="0" fontId="63" fillId="60" borderId="0" applyNumberFormat="0" applyBorder="0" applyAlignment="0" applyProtection="0"/>
    <xf numFmtId="0" fontId="1" fillId="0" borderId="0"/>
    <xf numFmtId="191" fontId="44" fillId="53" borderId="0" applyNumberFormat="0" applyBorder="0" applyAlignment="0" applyProtection="0"/>
    <xf numFmtId="0" fontId="62" fillId="0" borderId="0"/>
    <xf numFmtId="0" fontId="44" fillId="59" borderId="0" applyNumberFormat="0" applyBorder="0" applyAlignment="0" applyProtection="0"/>
    <xf numFmtId="191" fontId="44" fillId="59" borderId="0" applyNumberFormat="0" applyBorder="0" applyAlignment="0" applyProtection="0"/>
    <xf numFmtId="191" fontId="44" fillId="59" borderId="0" applyNumberFormat="0" applyBorder="0" applyAlignment="0" applyProtection="0"/>
    <xf numFmtId="191" fontId="63" fillId="63" borderId="0" applyNumberFormat="0" applyBorder="0" applyAlignment="0" applyProtection="0"/>
    <xf numFmtId="191" fontId="63" fillId="63" borderId="0" applyNumberFormat="0" applyBorder="0" applyAlignment="0" applyProtection="0"/>
    <xf numFmtId="191" fontId="63" fillId="63" borderId="0" applyNumberFormat="0" applyBorder="0" applyAlignment="0" applyProtection="0"/>
    <xf numFmtId="0" fontId="44" fillId="54" borderId="0" applyNumberFormat="0" applyBorder="0" applyAlignment="0" applyProtection="0"/>
    <xf numFmtId="191" fontId="44" fillId="54" borderId="0" applyNumberFormat="0" applyBorder="0" applyAlignment="0" applyProtection="0"/>
    <xf numFmtId="0" fontId="44" fillId="54" borderId="0" applyNumberFormat="0" applyBorder="0" applyAlignment="0" applyProtection="0"/>
    <xf numFmtId="0" fontId="44" fillId="59" borderId="0" applyNumberFormat="0" applyBorder="0" applyAlignment="0" applyProtection="0"/>
    <xf numFmtId="191" fontId="44" fillId="55" borderId="0" applyNumberFormat="0" applyBorder="0" applyAlignment="0" applyProtection="0"/>
    <xf numFmtId="0" fontId="44" fillId="57" borderId="0" applyNumberFormat="0" applyBorder="0" applyAlignment="0" applyProtection="0"/>
    <xf numFmtId="191" fontId="44" fillId="60" borderId="0" applyNumberFormat="0" applyBorder="0" applyAlignment="0" applyProtection="0"/>
    <xf numFmtId="0" fontId="44" fillId="59" borderId="0" applyNumberFormat="0" applyBorder="0" applyAlignment="0" applyProtection="0"/>
    <xf numFmtId="191" fontId="63" fillId="63" borderId="0" applyNumberFormat="0" applyBorder="0" applyAlignment="0" applyProtection="0"/>
    <xf numFmtId="0" fontId="44" fillId="56" borderId="0" applyNumberFormat="0" applyBorder="0" applyAlignment="0" applyProtection="0"/>
    <xf numFmtId="191" fontId="63" fillId="63" borderId="0" applyNumberFormat="0" applyBorder="0" applyAlignment="0" applyProtection="0"/>
    <xf numFmtId="0" fontId="63" fillId="61" borderId="0" applyNumberFormat="0" applyBorder="0" applyAlignment="0" applyProtection="0"/>
    <xf numFmtId="191" fontId="63" fillId="61" borderId="0" applyNumberFormat="0" applyBorder="0" applyAlignment="0" applyProtection="0"/>
    <xf numFmtId="191" fontId="63" fillId="61" borderId="0" applyNumberFormat="0" applyBorder="0" applyAlignment="0" applyProtection="0"/>
    <xf numFmtId="0" fontId="63" fillId="61" borderId="0" applyNumberFormat="0" applyBorder="0" applyAlignment="0" applyProtection="0"/>
    <xf numFmtId="0" fontId="63" fillId="61" borderId="0" applyNumberFormat="0" applyBorder="0" applyAlignment="0" applyProtection="0"/>
    <xf numFmtId="0" fontId="63" fillId="61" borderId="0" applyNumberFormat="0" applyBorder="0" applyAlignment="0" applyProtection="0"/>
    <xf numFmtId="0" fontId="63" fillId="64" borderId="0" applyNumberFormat="0" applyBorder="0" applyAlignment="0" applyProtection="0"/>
    <xf numFmtId="191"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191" fontId="63" fillId="64" borderId="0" applyNumberFormat="0" applyBorder="0" applyAlignment="0" applyProtection="0"/>
    <xf numFmtId="191" fontId="63" fillId="64" borderId="0" applyNumberFormat="0" applyBorder="0" applyAlignment="0" applyProtection="0"/>
    <xf numFmtId="191" fontId="63" fillId="64" borderId="0" applyNumberFormat="0" applyBorder="0" applyAlignment="0" applyProtection="0"/>
    <xf numFmtId="191" fontId="63" fillId="64" borderId="0" applyNumberFormat="0" applyBorder="0" applyAlignment="0" applyProtection="0"/>
    <xf numFmtId="191" fontId="63" fillId="64" borderId="0" applyNumberFormat="0" applyBorder="0" applyAlignment="0" applyProtection="0"/>
    <xf numFmtId="191" fontId="63" fillId="64" borderId="0" applyNumberFormat="0" applyBorder="0" applyAlignment="0" applyProtection="0"/>
    <xf numFmtId="191" fontId="63" fillId="64" borderId="0" applyNumberFormat="0" applyBorder="0" applyAlignment="0" applyProtection="0"/>
    <xf numFmtId="191" fontId="63" fillId="64" borderId="0" applyNumberFormat="0" applyBorder="0" applyAlignment="0" applyProtection="0"/>
    <xf numFmtId="191"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5" borderId="0" applyNumberFormat="0" applyBorder="0" applyAlignment="0" applyProtection="0"/>
    <xf numFmtId="191" fontId="63" fillId="65" borderId="0" applyNumberFormat="0" applyBorder="0" applyAlignment="0" applyProtection="0"/>
    <xf numFmtId="0" fontId="63" fillId="65" borderId="0" applyNumberFormat="0" applyBorder="0" applyAlignment="0" applyProtection="0"/>
    <xf numFmtId="0" fontId="63" fillId="65" borderId="0" applyNumberFormat="0" applyBorder="0" applyAlignment="0" applyProtection="0"/>
    <xf numFmtId="191" fontId="63" fillId="65" borderId="0" applyNumberFormat="0" applyBorder="0" applyAlignment="0" applyProtection="0"/>
    <xf numFmtId="191" fontId="63" fillId="65" borderId="0" applyNumberFormat="0" applyBorder="0" applyAlignment="0" applyProtection="0"/>
    <xf numFmtId="191" fontId="63" fillId="65" borderId="0" applyNumberFormat="0" applyBorder="0" applyAlignment="0" applyProtection="0"/>
    <xf numFmtId="191" fontId="63" fillId="65" borderId="0" applyNumberFormat="0" applyBorder="0" applyAlignment="0" applyProtection="0"/>
    <xf numFmtId="191" fontId="63" fillId="65" borderId="0" applyNumberFormat="0" applyBorder="0" applyAlignment="0" applyProtection="0"/>
    <xf numFmtId="191" fontId="63" fillId="65" borderId="0" applyNumberFormat="0" applyBorder="0" applyAlignment="0" applyProtection="0"/>
    <xf numFmtId="191" fontId="63" fillId="65" borderId="0" applyNumberFormat="0" applyBorder="0" applyAlignment="0" applyProtection="0"/>
    <xf numFmtId="191" fontId="63" fillId="65" borderId="0" applyNumberFormat="0" applyBorder="0" applyAlignment="0" applyProtection="0"/>
    <xf numFmtId="191" fontId="63" fillId="65" borderId="0" applyNumberFormat="0" applyBorder="0" applyAlignment="0" applyProtection="0"/>
    <xf numFmtId="0" fontId="63" fillId="65" borderId="0" applyNumberFormat="0" applyBorder="0" applyAlignment="0" applyProtection="0"/>
    <xf numFmtId="0" fontId="63" fillId="65" borderId="0" applyNumberFormat="0" applyBorder="0" applyAlignment="0" applyProtection="0"/>
    <xf numFmtId="0" fontId="63" fillId="65" borderId="0" applyNumberFormat="0" applyBorder="0" applyAlignment="0" applyProtection="0"/>
    <xf numFmtId="0" fontId="63" fillId="65" borderId="0" applyNumberFormat="0" applyBorder="0" applyAlignment="0" applyProtection="0"/>
    <xf numFmtId="0" fontId="63" fillId="65" borderId="0" applyNumberFormat="0" applyBorder="0" applyAlignment="0" applyProtection="0"/>
    <xf numFmtId="0" fontId="63" fillId="65" borderId="0" applyNumberFormat="0" applyBorder="0" applyAlignment="0" applyProtection="0"/>
    <xf numFmtId="0" fontId="63" fillId="66" borderId="0" applyNumberFormat="0" applyBorder="0" applyAlignment="0" applyProtection="0"/>
    <xf numFmtId="191"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191" fontId="63" fillId="66" borderId="0" applyNumberFormat="0" applyBorder="0" applyAlignment="0" applyProtection="0"/>
    <xf numFmtId="191" fontId="63" fillId="66" borderId="0" applyNumberFormat="0" applyBorder="0" applyAlignment="0" applyProtection="0"/>
    <xf numFmtId="191" fontId="63" fillId="66" borderId="0" applyNumberFormat="0" applyBorder="0" applyAlignment="0" applyProtection="0"/>
    <xf numFmtId="191" fontId="63" fillId="66" borderId="0" applyNumberFormat="0" applyBorder="0" applyAlignment="0" applyProtection="0"/>
    <xf numFmtId="191" fontId="63" fillId="66" borderId="0" applyNumberFormat="0" applyBorder="0" applyAlignment="0" applyProtection="0"/>
    <xf numFmtId="191" fontId="63" fillId="66" borderId="0" applyNumberFormat="0" applyBorder="0" applyAlignment="0" applyProtection="0"/>
    <xf numFmtId="191" fontId="63" fillId="66" borderId="0" applyNumberFormat="0" applyBorder="0" applyAlignment="0" applyProtection="0"/>
    <xf numFmtId="191" fontId="63" fillId="66" borderId="0" applyNumberFormat="0" applyBorder="0" applyAlignment="0" applyProtection="0"/>
    <xf numFmtId="191"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3" fillId="66" borderId="0" applyNumberFormat="0" applyBorder="0" applyAlignment="0" applyProtection="0"/>
    <xf numFmtId="0" fontId="64" fillId="55" borderId="0" applyNumberFormat="0" applyBorder="0" applyAlignment="0" applyProtection="0"/>
    <xf numFmtId="191" fontId="64" fillId="55" borderId="0" applyNumberFormat="0" applyBorder="0" applyAlignment="0" applyProtection="0"/>
    <xf numFmtId="0" fontId="64" fillId="55" borderId="0" applyNumberFormat="0" applyBorder="0" applyAlignment="0" applyProtection="0"/>
    <xf numFmtId="0" fontId="64" fillId="55" borderId="0" applyNumberFormat="0" applyBorder="0" applyAlignment="0" applyProtection="0"/>
    <xf numFmtId="191" fontId="64" fillId="55" borderId="0" applyNumberFormat="0" applyBorder="0" applyAlignment="0" applyProtection="0"/>
    <xf numFmtId="191" fontId="64" fillId="55" borderId="0" applyNumberFormat="0" applyBorder="0" applyAlignment="0" applyProtection="0"/>
    <xf numFmtId="191" fontId="64" fillId="55" borderId="0" applyNumberFormat="0" applyBorder="0" applyAlignment="0" applyProtection="0"/>
    <xf numFmtId="191" fontId="64" fillId="55" borderId="0" applyNumberFormat="0" applyBorder="0" applyAlignment="0" applyProtection="0"/>
    <xf numFmtId="191" fontId="64" fillId="55" borderId="0" applyNumberFormat="0" applyBorder="0" applyAlignment="0" applyProtection="0"/>
    <xf numFmtId="191" fontId="64" fillId="55" borderId="0" applyNumberFormat="0" applyBorder="0" applyAlignment="0" applyProtection="0"/>
    <xf numFmtId="191" fontId="64" fillId="55" borderId="0" applyNumberFormat="0" applyBorder="0" applyAlignment="0" applyProtection="0"/>
    <xf numFmtId="191" fontId="64" fillId="55" borderId="0" applyNumberFormat="0" applyBorder="0" applyAlignment="0" applyProtection="0"/>
    <xf numFmtId="191" fontId="64" fillId="55" borderId="0" applyNumberFormat="0" applyBorder="0" applyAlignment="0" applyProtection="0"/>
    <xf numFmtId="0" fontId="64" fillId="55" borderId="0" applyNumberFormat="0" applyBorder="0" applyAlignment="0" applyProtection="0"/>
    <xf numFmtId="0" fontId="64" fillId="55" borderId="0" applyNumberFormat="0" applyBorder="0" applyAlignment="0" applyProtection="0"/>
    <xf numFmtId="0" fontId="64" fillId="55" borderId="0" applyNumberFormat="0" applyBorder="0" applyAlignment="0" applyProtection="0"/>
    <xf numFmtId="0" fontId="64" fillId="55" borderId="0" applyNumberFormat="0" applyBorder="0" applyAlignment="0" applyProtection="0"/>
    <xf numFmtId="0" fontId="64" fillId="55" borderId="0" applyNumberFormat="0" applyBorder="0" applyAlignment="0" applyProtection="0"/>
    <xf numFmtId="0" fontId="106" fillId="12" borderId="24" applyBorder="0">
      <alignment horizontal="center" vertical="center"/>
    </xf>
    <xf numFmtId="0" fontId="65" fillId="67" borderId="71" applyNumberFormat="0" applyAlignment="0" applyProtection="0"/>
    <xf numFmtId="191" fontId="65" fillId="67" borderId="71" applyNumberFormat="0" applyAlignment="0" applyProtection="0"/>
    <xf numFmtId="0" fontId="65" fillId="67" borderId="71" applyNumberFormat="0" applyAlignment="0" applyProtection="0"/>
    <xf numFmtId="191" fontId="65" fillId="67" borderId="71" applyNumberFormat="0" applyAlignment="0" applyProtection="0"/>
    <xf numFmtId="191" fontId="65" fillId="67" borderId="71" applyNumberFormat="0" applyAlignment="0" applyProtection="0"/>
    <xf numFmtId="191" fontId="65" fillId="67" borderId="71" applyNumberFormat="0" applyAlignment="0" applyProtection="0"/>
    <xf numFmtId="191" fontId="65" fillId="67" borderId="71" applyNumberFormat="0" applyAlignment="0" applyProtection="0"/>
    <xf numFmtId="191" fontId="65" fillId="67" borderId="71" applyNumberFormat="0" applyAlignment="0" applyProtection="0"/>
    <xf numFmtId="191" fontId="65" fillId="67" borderId="71" applyNumberFormat="0" applyAlignment="0" applyProtection="0"/>
    <xf numFmtId="191" fontId="65" fillId="67" borderId="71" applyNumberFormat="0" applyAlignment="0" applyProtection="0"/>
    <xf numFmtId="191" fontId="65" fillId="67" borderId="71" applyNumberFormat="0" applyAlignment="0" applyProtection="0"/>
    <xf numFmtId="191" fontId="65" fillId="67" borderId="71" applyNumberFormat="0" applyAlignment="0" applyProtection="0"/>
    <xf numFmtId="0" fontId="65" fillId="67" borderId="71" applyNumberFormat="0" applyAlignment="0" applyProtection="0"/>
    <xf numFmtId="0" fontId="65" fillId="67" borderId="71" applyNumberFormat="0" applyAlignment="0" applyProtection="0"/>
    <xf numFmtId="0" fontId="65" fillId="67" borderId="71" applyNumberFormat="0" applyAlignment="0" applyProtection="0"/>
    <xf numFmtId="0" fontId="65" fillId="67" borderId="71" applyNumberFormat="0" applyAlignment="0" applyProtection="0"/>
    <xf numFmtId="0" fontId="65" fillId="67" borderId="71" applyNumberFormat="0" applyAlignment="0" applyProtection="0"/>
    <xf numFmtId="0" fontId="66" fillId="68" borderId="72" applyNumberFormat="0" applyAlignment="0" applyProtection="0"/>
    <xf numFmtId="191" fontId="66" fillId="68" borderId="72" applyNumberFormat="0" applyAlignment="0" applyProtection="0"/>
    <xf numFmtId="0" fontId="66" fillId="68" borderId="72" applyNumberFormat="0" applyAlignment="0" applyProtection="0"/>
    <xf numFmtId="0" fontId="66" fillId="68" borderId="72" applyNumberFormat="0" applyAlignment="0" applyProtection="0"/>
    <xf numFmtId="191" fontId="66" fillId="68" borderId="72" applyNumberFormat="0" applyAlignment="0" applyProtection="0"/>
    <xf numFmtId="191" fontId="66" fillId="68" borderId="72" applyNumberFormat="0" applyAlignment="0" applyProtection="0"/>
    <xf numFmtId="191" fontId="66" fillId="68" borderId="72" applyNumberFormat="0" applyAlignment="0" applyProtection="0"/>
    <xf numFmtId="191" fontId="66" fillId="68" borderId="72" applyNumberFormat="0" applyAlignment="0" applyProtection="0"/>
    <xf numFmtId="191" fontId="66" fillId="68" borderId="72" applyNumberFormat="0" applyAlignment="0" applyProtection="0"/>
    <xf numFmtId="191" fontId="66" fillId="68" borderId="72" applyNumberFormat="0" applyAlignment="0" applyProtection="0"/>
    <xf numFmtId="191" fontId="66" fillId="68" borderId="72" applyNumberFormat="0" applyAlignment="0" applyProtection="0"/>
    <xf numFmtId="191" fontId="66" fillId="68" borderId="72" applyNumberFormat="0" applyAlignment="0" applyProtection="0"/>
    <xf numFmtId="191" fontId="66" fillId="68" borderId="72" applyNumberFormat="0" applyAlignment="0" applyProtection="0"/>
    <xf numFmtId="0" fontId="66" fillId="68" borderId="72" applyNumberFormat="0" applyAlignment="0" applyProtection="0"/>
    <xf numFmtId="0" fontId="66" fillId="68" borderId="72" applyNumberFormat="0" applyAlignment="0" applyProtection="0"/>
    <xf numFmtId="0" fontId="66" fillId="68" borderId="72" applyNumberFormat="0" applyAlignment="0" applyProtection="0"/>
    <xf numFmtId="0" fontId="66" fillId="68" borderId="72" applyNumberFormat="0" applyAlignment="0" applyProtection="0"/>
    <xf numFmtId="0" fontId="66" fillId="68" borderId="72" applyNumberFormat="0" applyAlignment="0" applyProtection="0"/>
    <xf numFmtId="0" fontId="67" fillId="0" borderId="73" applyNumberFormat="0" applyFill="0" applyAlignment="0" applyProtection="0"/>
    <xf numFmtId="191" fontId="67" fillId="0" borderId="73" applyNumberFormat="0" applyFill="0" applyAlignment="0" applyProtection="0"/>
    <xf numFmtId="0" fontId="67" fillId="0" borderId="73" applyNumberFormat="0" applyFill="0" applyAlignment="0" applyProtection="0"/>
    <xf numFmtId="0" fontId="67" fillId="0" borderId="73" applyNumberFormat="0" applyFill="0" applyAlignment="0" applyProtection="0"/>
    <xf numFmtId="191" fontId="67" fillId="0" borderId="73" applyNumberFormat="0" applyFill="0" applyAlignment="0" applyProtection="0"/>
    <xf numFmtId="191" fontId="67" fillId="0" borderId="73" applyNumberFormat="0" applyFill="0" applyAlignment="0" applyProtection="0"/>
    <xf numFmtId="191" fontId="67" fillId="0" borderId="73" applyNumberFormat="0" applyFill="0" applyAlignment="0" applyProtection="0"/>
    <xf numFmtId="191" fontId="67" fillId="0" borderId="73" applyNumberFormat="0" applyFill="0" applyAlignment="0" applyProtection="0"/>
    <xf numFmtId="191" fontId="67" fillId="0" borderId="73" applyNumberFormat="0" applyFill="0" applyAlignment="0" applyProtection="0"/>
    <xf numFmtId="191" fontId="67" fillId="0" borderId="73" applyNumberFormat="0" applyFill="0" applyAlignment="0" applyProtection="0"/>
    <xf numFmtId="191" fontId="67" fillId="0" borderId="73" applyNumberFormat="0" applyFill="0" applyAlignment="0" applyProtection="0"/>
    <xf numFmtId="191" fontId="67" fillId="0" borderId="73" applyNumberFormat="0" applyFill="0" applyAlignment="0" applyProtection="0"/>
    <xf numFmtId="191" fontId="67" fillId="0" borderId="73" applyNumberFormat="0" applyFill="0" applyAlignment="0" applyProtection="0"/>
    <xf numFmtId="0" fontId="67" fillId="0" borderId="73" applyNumberFormat="0" applyFill="0" applyAlignment="0" applyProtection="0"/>
    <xf numFmtId="0" fontId="67" fillId="0" borderId="73" applyNumberFormat="0" applyFill="0" applyAlignment="0" applyProtection="0"/>
    <xf numFmtId="0" fontId="67" fillId="0" borderId="73" applyNumberFormat="0" applyFill="0" applyAlignment="0" applyProtection="0"/>
    <xf numFmtId="0" fontId="67" fillId="0" borderId="73" applyNumberFormat="0" applyFill="0" applyAlignment="0" applyProtection="0"/>
    <xf numFmtId="0" fontId="67" fillId="0" borderId="73" applyNumberFormat="0" applyFill="0" applyAlignment="0" applyProtection="0"/>
    <xf numFmtId="0" fontId="67" fillId="0" borderId="73" applyNumberFormat="0" applyFill="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3" fontId="117" fillId="0" borderId="0" applyFont="0" applyFill="0" applyBorder="0" applyAlignment="0" applyProtection="0"/>
    <xf numFmtId="180" fontId="109" fillId="0" borderId="0">
      <protection locked="0"/>
    </xf>
    <xf numFmtId="191" fontId="109" fillId="0" borderId="0">
      <protection locked="0"/>
    </xf>
    <xf numFmtId="191" fontId="109" fillId="0" borderId="0">
      <protection locked="0"/>
    </xf>
    <xf numFmtId="4" fontId="25" fillId="0" borderId="0"/>
    <xf numFmtId="0" fontId="63" fillId="69" borderId="0" applyNumberFormat="0" applyBorder="0" applyAlignment="0" applyProtection="0"/>
    <xf numFmtId="191"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191" fontId="63" fillId="69" borderId="0" applyNumberFormat="0" applyBorder="0" applyAlignment="0" applyProtection="0"/>
    <xf numFmtId="191" fontId="63" fillId="69" borderId="0" applyNumberFormat="0" applyBorder="0" applyAlignment="0" applyProtection="0"/>
    <xf numFmtId="191" fontId="63" fillId="69" borderId="0" applyNumberFormat="0" applyBorder="0" applyAlignment="0" applyProtection="0"/>
    <xf numFmtId="191" fontId="63" fillId="69" borderId="0" applyNumberFormat="0" applyBorder="0" applyAlignment="0" applyProtection="0"/>
    <xf numFmtId="191" fontId="63" fillId="69" borderId="0" applyNumberFormat="0" applyBorder="0" applyAlignment="0" applyProtection="0"/>
    <xf numFmtId="191" fontId="63" fillId="69" borderId="0" applyNumberFormat="0" applyBorder="0" applyAlignment="0" applyProtection="0"/>
    <xf numFmtId="191" fontId="63" fillId="69" borderId="0" applyNumberFormat="0" applyBorder="0" applyAlignment="0" applyProtection="0"/>
    <xf numFmtId="191" fontId="63" fillId="69" borderId="0" applyNumberFormat="0" applyBorder="0" applyAlignment="0" applyProtection="0"/>
    <xf numFmtId="191"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69" borderId="0" applyNumberFormat="0" applyBorder="0" applyAlignment="0" applyProtection="0"/>
    <xf numFmtId="0" fontId="63" fillId="70" borderId="0" applyNumberFormat="0" applyBorder="0" applyAlignment="0" applyProtection="0"/>
    <xf numFmtId="191" fontId="63" fillId="70" borderId="0" applyNumberFormat="0" applyBorder="0" applyAlignment="0" applyProtection="0"/>
    <xf numFmtId="0" fontId="63" fillId="70" borderId="0" applyNumberFormat="0" applyBorder="0" applyAlignment="0" applyProtection="0"/>
    <xf numFmtId="0" fontId="63" fillId="70" borderId="0" applyNumberFormat="0" applyBorder="0" applyAlignment="0" applyProtection="0"/>
    <xf numFmtId="191" fontId="63" fillId="70" borderId="0" applyNumberFormat="0" applyBorder="0" applyAlignment="0" applyProtection="0"/>
    <xf numFmtId="191" fontId="63" fillId="70" borderId="0" applyNumberFormat="0" applyBorder="0" applyAlignment="0" applyProtection="0"/>
    <xf numFmtId="191" fontId="63" fillId="70" borderId="0" applyNumberFormat="0" applyBorder="0" applyAlignment="0" applyProtection="0"/>
    <xf numFmtId="191" fontId="63" fillId="70" borderId="0" applyNumberFormat="0" applyBorder="0" applyAlignment="0" applyProtection="0"/>
    <xf numFmtId="191" fontId="63" fillId="70" borderId="0" applyNumberFormat="0" applyBorder="0" applyAlignment="0" applyProtection="0"/>
    <xf numFmtId="191" fontId="63" fillId="70" borderId="0" applyNumberFormat="0" applyBorder="0" applyAlignment="0" applyProtection="0"/>
    <xf numFmtId="191" fontId="63" fillId="70" borderId="0" applyNumberFormat="0" applyBorder="0" applyAlignment="0" applyProtection="0"/>
    <xf numFmtId="191" fontId="63" fillId="70" borderId="0" applyNumberFormat="0" applyBorder="0" applyAlignment="0" applyProtection="0"/>
    <xf numFmtId="191" fontId="63" fillId="70" borderId="0" applyNumberFormat="0" applyBorder="0" applyAlignment="0" applyProtection="0"/>
    <xf numFmtId="0" fontId="63" fillId="70" borderId="0" applyNumberFormat="0" applyBorder="0" applyAlignment="0" applyProtection="0"/>
    <xf numFmtId="0" fontId="63" fillId="70" borderId="0" applyNumberFormat="0" applyBorder="0" applyAlignment="0" applyProtection="0"/>
    <xf numFmtId="0" fontId="63" fillId="70" borderId="0" applyNumberFormat="0" applyBorder="0" applyAlignment="0" applyProtection="0"/>
    <xf numFmtId="0" fontId="63" fillId="70" borderId="0" applyNumberFormat="0" applyBorder="0" applyAlignment="0" applyProtection="0"/>
    <xf numFmtId="0" fontId="63" fillId="70" borderId="0" applyNumberFormat="0" applyBorder="0" applyAlignment="0" applyProtection="0"/>
    <xf numFmtId="0" fontId="63" fillId="70" borderId="0" applyNumberFormat="0" applyBorder="0" applyAlignment="0" applyProtection="0"/>
    <xf numFmtId="0" fontId="63" fillId="71" borderId="0" applyNumberFormat="0" applyBorder="0" applyAlignment="0" applyProtection="0"/>
    <xf numFmtId="191"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191" fontId="63" fillId="71" borderId="0" applyNumberFormat="0" applyBorder="0" applyAlignment="0" applyProtection="0"/>
    <xf numFmtId="191" fontId="63" fillId="71" borderId="0" applyNumberFormat="0" applyBorder="0" applyAlignment="0" applyProtection="0"/>
    <xf numFmtId="191" fontId="63" fillId="71" borderId="0" applyNumberFormat="0" applyBorder="0" applyAlignment="0" applyProtection="0"/>
    <xf numFmtId="191" fontId="63" fillId="71" borderId="0" applyNumberFormat="0" applyBorder="0" applyAlignment="0" applyProtection="0"/>
    <xf numFmtId="191" fontId="63" fillId="71" borderId="0" applyNumberFormat="0" applyBorder="0" applyAlignment="0" applyProtection="0"/>
    <xf numFmtId="191" fontId="63" fillId="71" borderId="0" applyNumberFormat="0" applyBorder="0" applyAlignment="0" applyProtection="0"/>
    <xf numFmtId="191" fontId="63" fillId="71" borderId="0" applyNumberFormat="0" applyBorder="0" applyAlignment="0" applyProtection="0"/>
    <xf numFmtId="191" fontId="63" fillId="71" borderId="0" applyNumberFormat="0" applyBorder="0" applyAlignment="0" applyProtection="0"/>
    <xf numFmtId="191"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71" borderId="0" applyNumberFormat="0" applyBorder="0" applyAlignment="0" applyProtection="0"/>
    <xf numFmtId="0" fontId="63" fillId="64" borderId="0" applyNumberFormat="0" applyBorder="0" applyAlignment="0" applyProtection="0"/>
    <xf numFmtId="191"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191" fontId="63" fillId="64" borderId="0" applyNumberFormat="0" applyBorder="0" applyAlignment="0" applyProtection="0"/>
    <xf numFmtId="191" fontId="63" fillId="64" borderId="0" applyNumberFormat="0" applyBorder="0" applyAlignment="0" applyProtection="0"/>
    <xf numFmtId="191" fontId="63" fillId="64" borderId="0" applyNumberFormat="0" applyBorder="0" applyAlignment="0" applyProtection="0"/>
    <xf numFmtId="191" fontId="63" fillId="64" borderId="0" applyNumberFormat="0" applyBorder="0" applyAlignment="0" applyProtection="0"/>
    <xf numFmtId="191" fontId="63" fillId="64" borderId="0" applyNumberFormat="0" applyBorder="0" applyAlignment="0" applyProtection="0"/>
    <xf numFmtId="191" fontId="63" fillId="64" borderId="0" applyNumberFormat="0" applyBorder="0" applyAlignment="0" applyProtection="0"/>
    <xf numFmtId="191" fontId="63" fillId="64" borderId="0" applyNumberFormat="0" applyBorder="0" applyAlignment="0" applyProtection="0"/>
    <xf numFmtId="191" fontId="63" fillId="64" borderId="0" applyNumberFormat="0" applyBorder="0" applyAlignment="0" applyProtection="0"/>
    <xf numFmtId="191"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4" borderId="0" applyNumberFormat="0" applyBorder="0" applyAlignment="0" applyProtection="0"/>
    <xf numFmtId="0" fontId="63" fillId="65" borderId="0" applyNumberFormat="0" applyBorder="0" applyAlignment="0" applyProtection="0"/>
    <xf numFmtId="191" fontId="63" fillId="65" borderId="0" applyNumberFormat="0" applyBorder="0" applyAlignment="0" applyProtection="0"/>
    <xf numFmtId="0" fontId="63" fillId="65" borderId="0" applyNumberFormat="0" applyBorder="0" applyAlignment="0" applyProtection="0"/>
    <xf numFmtId="0" fontId="63" fillId="65" borderId="0" applyNumberFormat="0" applyBorder="0" applyAlignment="0" applyProtection="0"/>
    <xf numFmtId="191" fontId="63" fillId="65" borderId="0" applyNumberFormat="0" applyBorder="0" applyAlignment="0" applyProtection="0"/>
    <xf numFmtId="191" fontId="63" fillId="65" borderId="0" applyNumberFormat="0" applyBorder="0" applyAlignment="0" applyProtection="0"/>
    <xf numFmtId="191" fontId="63" fillId="65" borderId="0" applyNumberFormat="0" applyBorder="0" applyAlignment="0" applyProtection="0"/>
    <xf numFmtId="191" fontId="63" fillId="65" borderId="0" applyNumberFormat="0" applyBorder="0" applyAlignment="0" applyProtection="0"/>
    <xf numFmtId="191" fontId="63" fillId="65" borderId="0" applyNumberFormat="0" applyBorder="0" applyAlignment="0" applyProtection="0"/>
    <xf numFmtId="191" fontId="63" fillId="65" borderId="0" applyNumberFormat="0" applyBorder="0" applyAlignment="0" applyProtection="0"/>
    <xf numFmtId="191" fontId="63" fillId="65" borderId="0" applyNumberFormat="0" applyBorder="0" applyAlignment="0" applyProtection="0"/>
    <xf numFmtId="191" fontId="63" fillId="65" borderId="0" applyNumberFormat="0" applyBorder="0" applyAlignment="0" applyProtection="0"/>
    <xf numFmtId="191" fontId="63" fillId="65" borderId="0" applyNumberFormat="0" applyBorder="0" applyAlignment="0" applyProtection="0"/>
    <xf numFmtId="0" fontId="63" fillId="65" borderId="0" applyNumberFormat="0" applyBorder="0" applyAlignment="0" applyProtection="0"/>
    <xf numFmtId="0" fontId="63" fillId="65" borderId="0" applyNumberFormat="0" applyBorder="0" applyAlignment="0" applyProtection="0"/>
    <xf numFmtId="0" fontId="63" fillId="65" borderId="0" applyNumberFormat="0" applyBorder="0" applyAlignment="0" applyProtection="0"/>
    <xf numFmtId="0" fontId="63" fillId="65" borderId="0" applyNumberFormat="0" applyBorder="0" applyAlignment="0" applyProtection="0"/>
    <xf numFmtId="0" fontId="63" fillId="65" borderId="0" applyNumberFormat="0" applyBorder="0" applyAlignment="0" applyProtection="0"/>
    <xf numFmtId="0" fontId="63" fillId="65" borderId="0" applyNumberFormat="0" applyBorder="0" applyAlignment="0" applyProtection="0"/>
    <xf numFmtId="0" fontId="63" fillId="72" borderId="0" applyNumberFormat="0" applyBorder="0" applyAlignment="0" applyProtection="0"/>
    <xf numFmtId="191" fontId="63" fillId="72" borderId="0" applyNumberFormat="0" applyBorder="0" applyAlignment="0" applyProtection="0"/>
    <xf numFmtId="0" fontId="63" fillId="72" borderId="0" applyNumberFormat="0" applyBorder="0" applyAlignment="0" applyProtection="0"/>
    <xf numFmtId="0" fontId="63" fillId="72" borderId="0" applyNumberFormat="0" applyBorder="0" applyAlignment="0" applyProtection="0"/>
    <xf numFmtId="191" fontId="63" fillId="72" borderId="0" applyNumberFormat="0" applyBorder="0" applyAlignment="0" applyProtection="0"/>
    <xf numFmtId="191" fontId="63" fillId="72" borderId="0" applyNumberFormat="0" applyBorder="0" applyAlignment="0" applyProtection="0"/>
    <xf numFmtId="191" fontId="63" fillId="72" borderId="0" applyNumberFormat="0" applyBorder="0" applyAlignment="0" applyProtection="0"/>
    <xf numFmtId="191" fontId="63" fillId="72" borderId="0" applyNumberFormat="0" applyBorder="0" applyAlignment="0" applyProtection="0"/>
    <xf numFmtId="191" fontId="63" fillId="72" borderId="0" applyNumberFormat="0" applyBorder="0" applyAlignment="0" applyProtection="0"/>
    <xf numFmtId="191" fontId="63" fillId="72" borderId="0" applyNumberFormat="0" applyBorder="0" applyAlignment="0" applyProtection="0"/>
    <xf numFmtId="191" fontId="63" fillId="72" borderId="0" applyNumberFormat="0" applyBorder="0" applyAlignment="0" applyProtection="0"/>
    <xf numFmtId="191" fontId="63" fillId="72" borderId="0" applyNumberFormat="0" applyBorder="0" applyAlignment="0" applyProtection="0"/>
    <xf numFmtId="191" fontId="63" fillId="72" borderId="0" applyNumberFormat="0" applyBorder="0" applyAlignment="0" applyProtection="0"/>
    <xf numFmtId="0" fontId="63" fillId="72" borderId="0" applyNumberFormat="0" applyBorder="0" applyAlignment="0" applyProtection="0"/>
    <xf numFmtId="0" fontId="63" fillId="72" borderId="0" applyNumberFormat="0" applyBorder="0" applyAlignment="0" applyProtection="0"/>
    <xf numFmtId="0" fontId="63" fillId="72" borderId="0" applyNumberFormat="0" applyBorder="0" applyAlignment="0" applyProtection="0"/>
    <xf numFmtId="0" fontId="63" fillId="72" borderId="0" applyNumberFormat="0" applyBorder="0" applyAlignment="0" applyProtection="0"/>
    <xf numFmtId="0" fontId="63" fillId="72" borderId="0" applyNumberFormat="0" applyBorder="0" applyAlignment="0" applyProtection="0"/>
    <xf numFmtId="0" fontId="63" fillId="72" borderId="0" applyNumberFormat="0" applyBorder="0" applyAlignment="0" applyProtection="0"/>
    <xf numFmtId="0" fontId="68" fillId="58" borderId="71" applyNumberFormat="0" applyAlignment="0" applyProtection="0"/>
    <xf numFmtId="191" fontId="68" fillId="58" borderId="71" applyNumberFormat="0" applyAlignment="0" applyProtection="0"/>
    <xf numFmtId="0" fontId="68" fillId="58" borderId="71" applyNumberFormat="0" applyAlignment="0" applyProtection="0"/>
    <xf numFmtId="191" fontId="68" fillId="58" borderId="71" applyNumberFormat="0" applyAlignment="0" applyProtection="0"/>
    <xf numFmtId="191" fontId="68" fillId="58" borderId="71" applyNumberFormat="0" applyAlignment="0" applyProtection="0"/>
    <xf numFmtId="191" fontId="68" fillId="58" borderId="71" applyNumberFormat="0" applyAlignment="0" applyProtection="0"/>
    <xf numFmtId="191" fontId="68" fillId="58" borderId="71" applyNumberFormat="0" applyAlignment="0" applyProtection="0"/>
    <xf numFmtId="191" fontId="68" fillId="58" borderId="71" applyNumberFormat="0" applyAlignment="0" applyProtection="0"/>
    <xf numFmtId="191" fontId="68" fillId="58" borderId="71" applyNumberFormat="0" applyAlignment="0" applyProtection="0"/>
    <xf numFmtId="191" fontId="68" fillId="58" borderId="71" applyNumberFormat="0" applyAlignment="0" applyProtection="0"/>
    <xf numFmtId="191" fontId="68" fillId="58" borderId="71" applyNumberFormat="0" applyAlignment="0" applyProtection="0"/>
    <xf numFmtId="191" fontId="68" fillId="58" borderId="71" applyNumberFormat="0" applyAlignment="0" applyProtection="0"/>
    <xf numFmtId="0" fontId="68" fillId="58" borderId="71" applyNumberFormat="0" applyAlignment="0" applyProtection="0"/>
    <xf numFmtId="0" fontId="68" fillId="58" borderId="71" applyNumberFormat="0" applyAlignment="0" applyProtection="0"/>
    <xf numFmtId="0" fontId="68" fillId="58" borderId="71" applyNumberFormat="0" applyAlignment="0" applyProtection="0"/>
    <xf numFmtId="0" fontId="68" fillId="58" borderId="71" applyNumberFormat="0" applyAlignment="0" applyProtection="0"/>
    <xf numFmtId="0" fontId="68" fillId="58" borderId="71" applyNumberFormat="0" applyAlignment="0" applyProtection="0"/>
    <xf numFmtId="191" fontId="5" fillId="0" borderId="0" applyFont="0" applyFill="0" applyBorder="0" applyAlignment="0" applyProtection="0"/>
    <xf numFmtId="191" fontId="5" fillId="0" borderId="0" applyFont="0" applyFill="0" applyBorder="0" applyAlignment="0" applyProtection="0"/>
    <xf numFmtId="180" fontId="5" fillId="0" borderId="0" applyFont="0" applyFill="0" applyBorder="0" applyAlignment="0" applyProtection="0"/>
    <xf numFmtId="0" fontId="69" fillId="54" borderId="0" applyNumberFormat="0" applyBorder="0" applyAlignment="0" applyProtection="0"/>
    <xf numFmtId="191"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191" fontId="69" fillId="54" borderId="0" applyNumberFormat="0" applyBorder="0" applyAlignment="0" applyProtection="0"/>
    <xf numFmtId="191" fontId="69" fillId="54" borderId="0" applyNumberFormat="0" applyBorder="0" applyAlignment="0" applyProtection="0"/>
    <xf numFmtId="191" fontId="69" fillId="54" borderId="0" applyNumberFormat="0" applyBorder="0" applyAlignment="0" applyProtection="0"/>
    <xf numFmtId="191" fontId="69" fillId="54" borderId="0" applyNumberFormat="0" applyBorder="0" applyAlignment="0" applyProtection="0"/>
    <xf numFmtId="191" fontId="69" fillId="54" borderId="0" applyNumberFormat="0" applyBorder="0" applyAlignment="0" applyProtection="0"/>
    <xf numFmtId="191" fontId="69" fillId="54" borderId="0" applyNumberFormat="0" applyBorder="0" applyAlignment="0" applyProtection="0"/>
    <xf numFmtId="191" fontId="69" fillId="54" borderId="0" applyNumberFormat="0" applyBorder="0" applyAlignment="0" applyProtection="0"/>
    <xf numFmtId="191" fontId="69" fillId="54" borderId="0" applyNumberFormat="0" applyBorder="0" applyAlignment="0" applyProtection="0"/>
    <xf numFmtId="191"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82" fillId="0" borderId="0"/>
    <xf numFmtId="192" fontId="102" fillId="13" borderId="85" applyFont="0" applyFill="0" applyBorder="0" applyAlignment="0" applyProtection="0"/>
    <xf numFmtId="193" fontId="102" fillId="13" borderId="86" applyFont="0" applyFill="0" applyBorder="0" applyAlignment="0" applyProtection="0"/>
    <xf numFmtId="194" fontId="102" fillId="13" borderId="85" applyFont="0" applyFill="0" applyBorder="0" applyAlignment="0" applyProtection="0"/>
    <xf numFmtId="195" fontId="102" fillId="13" borderId="87" applyFont="0" applyFill="0" applyBorder="0" applyAlignment="0" applyProtection="0"/>
    <xf numFmtId="195" fontId="102" fillId="13" borderId="87"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0" fontId="70" fillId="73" borderId="0" applyNumberFormat="0" applyBorder="0" applyAlignment="0" applyProtection="0"/>
    <xf numFmtId="191"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191" fontId="70" fillId="73" borderId="0" applyNumberFormat="0" applyBorder="0" applyAlignment="0" applyProtection="0"/>
    <xf numFmtId="191" fontId="70" fillId="73" borderId="0" applyNumberFormat="0" applyBorder="0" applyAlignment="0" applyProtection="0"/>
    <xf numFmtId="191" fontId="70" fillId="73" borderId="0" applyNumberFormat="0" applyBorder="0" applyAlignment="0" applyProtection="0"/>
    <xf numFmtId="191" fontId="70" fillId="73" borderId="0" applyNumberFormat="0" applyBorder="0" applyAlignment="0" applyProtection="0"/>
    <xf numFmtId="191" fontId="70" fillId="73" borderId="0" applyNumberFormat="0" applyBorder="0" applyAlignment="0" applyProtection="0"/>
    <xf numFmtId="191" fontId="70" fillId="73" borderId="0" applyNumberFormat="0" applyBorder="0" applyAlignment="0" applyProtection="0"/>
    <xf numFmtId="191" fontId="70" fillId="73" borderId="0" applyNumberFormat="0" applyBorder="0" applyAlignment="0" applyProtection="0"/>
    <xf numFmtId="191" fontId="70" fillId="73" borderId="0" applyNumberFormat="0" applyBorder="0" applyAlignment="0" applyProtection="0"/>
    <xf numFmtId="191"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32" fillId="0" borderId="0"/>
    <xf numFmtId="0" fontId="105"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91" fontId="32" fillId="0" borderId="0"/>
    <xf numFmtId="0" fontId="32" fillId="0" borderId="0"/>
    <xf numFmtId="0" fontId="32" fillId="0" borderId="0"/>
    <xf numFmtId="0" fontId="5" fillId="0" borderId="0"/>
    <xf numFmtId="0" fontId="5" fillId="0" borderId="0"/>
    <xf numFmtId="0" fontId="32" fillId="0" borderId="0"/>
    <xf numFmtId="0" fontId="5" fillId="0" borderId="0"/>
    <xf numFmtId="0" fontId="5" fillId="0" borderId="0"/>
    <xf numFmtId="0" fontId="32" fillId="0" borderId="0"/>
    <xf numFmtId="0" fontId="44" fillId="0" borderId="0"/>
    <xf numFmtId="0" fontId="5" fillId="0" borderId="0"/>
    <xf numFmtId="0" fontId="5" fillId="0" borderId="0"/>
    <xf numFmtId="0" fontId="5" fillId="74" borderId="74" applyNumberFormat="0" applyFont="0" applyAlignment="0" applyProtection="0"/>
    <xf numFmtId="191" fontId="5" fillId="74" borderId="74" applyNumberFormat="0" applyFont="0" applyAlignment="0" applyProtection="0"/>
    <xf numFmtId="0" fontId="5" fillId="74" borderId="74" applyNumberFormat="0" applyFont="0" applyAlignment="0" applyProtection="0"/>
    <xf numFmtId="191" fontId="5" fillId="74" borderId="74" applyNumberFormat="0" applyFont="0" applyAlignment="0" applyProtection="0"/>
    <xf numFmtId="191" fontId="5" fillId="74" borderId="74" applyNumberFormat="0" applyFont="0" applyAlignment="0" applyProtection="0"/>
    <xf numFmtId="191" fontId="5" fillId="74" borderId="74" applyNumberFormat="0" applyFont="0" applyAlignment="0" applyProtection="0"/>
    <xf numFmtId="191" fontId="5" fillId="74" borderId="74" applyNumberFormat="0" applyFont="0" applyAlignment="0" applyProtection="0"/>
    <xf numFmtId="191" fontId="5" fillId="74" borderId="74" applyNumberFormat="0" applyFont="0" applyAlignment="0" applyProtection="0"/>
    <xf numFmtId="191" fontId="5" fillId="74" borderId="74" applyNumberFormat="0" applyFont="0" applyAlignment="0" applyProtection="0"/>
    <xf numFmtId="191" fontId="5" fillId="74" borderId="74" applyNumberFormat="0" applyFont="0" applyAlignment="0" applyProtection="0"/>
    <xf numFmtId="191" fontId="5" fillId="74" borderId="74" applyNumberFormat="0" applyFont="0" applyAlignment="0" applyProtection="0"/>
    <xf numFmtId="191" fontId="5" fillId="74" borderId="74" applyNumberFormat="0" applyFont="0" applyAlignment="0" applyProtection="0"/>
    <xf numFmtId="0" fontId="5" fillId="74" borderId="74" applyNumberFormat="0" applyFont="0" applyAlignment="0" applyProtection="0"/>
    <xf numFmtId="0" fontId="5" fillId="74" borderId="74" applyNumberFormat="0" applyFont="0" applyAlignment="0" applyProtection="0"/>
    <xf numFmtId="0" fontId="5" fillId="74" borderId="74" applyNumberFormat="0" applyFont="0" applyAlignment="0" applyProtection="0"/>
    <xf numFmtId="0" fontId="5" fillId="74" borderId="74" applyNumberFormat="0" applyFont="0" applyAlignment="0" applyProtection="0"/>
    <xf numFmtId="0" fontId="5" fillId="74" borderId="74"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97" fontId="102" fillId="13" borderId="81" applyFont="0" applyFill="0" applyBorder="0" applyProtection="0">
      <alignment horizontal="left"/>
      <protection hidden="1"/>
    </xf>
    <xf numFmtId="0" fontId="71" fillId="67" borderId="76" applyNumberFormat="0" applyAlignment="0" applyProtection="0"/>
    <xf numFmtId="191" fontId="71" fillId="67" borderId="76" applyNumberFormat="0" applyAlignment="0" applyProtection="0"/>
    <xf numFmtId="0" fontId="71" fillId="67" borderId="76" applyNumberFormat="0" applyAlignment="0" applyProtection="0"/>
    <xf numFmtId="191" fontId="71" fillId="67" borderId="76" applyNumberFormat="0" applyAlignment="0" applyProtection="0"/>
    <xf numFmtId="191" fontId="71" fillId="67" borderId="76" applyNumberFormat="0" applyAlignment="0" applyProtection="0"/>
    <xf numFmtId="191" fontId="71" fillId="67" borderId="76" applyNumberFormat="0" applyAlignment="0" applyProtection="0"/>
    <xf numFmtId="191" fontId="71" fillId="67" borderId="76" applyNumberFormat="0" applyAlignment="0" applyProtection="0"/>
    <xf numFmtId="191" fontId="71" fillId="67" borderId="76" applyNumberFormat="0" applyAlignment="0" applyProtection="0"/>
    <xf numFmtId="191" fontId="71" fillId="67" borderId="76" applyNumberFormat="0" applyAlignment="0" applyProtection="0"/>
    <xf numFmtId="191" fontId="71" fillId="67" borderId="76" applyNumberFormat="0" applyAlignment="0" applyProtection="0"/>
    <xf numFmtId="191" fontId="71" fillId="67" borderId="76" applyNumberFormat="0" applyAlignment="0" applyProtection="0"/>
    <xf numFmtId="191" fontId="71" fillId="67" borderId="76" applyNumberFormat="0" applyAlignment="0" applyProtection="0"/>
    <xf numFmtId="0" fontId="71" fillId="67" borderId="76" applyNumberFormat="0" applyAlignment="0" applyProtection="0"/>
    <xf numFmtId="0" fontId="71" fillId="67" borderId="76" applyNumberFormat="0" applyAlignment="0" applyProtection="0"/>
    <xf numFmtId="0" fontId="71" fillId="67" borderId="76" applyNumberFormat="0" applyAlignment="0" applyProtection="0"/>
    <xf numFmtId="0" fontId="71" fillId="67" borderId="76" applyNumberFormat="0" applyAlignment="0" applyProtection="0"/>
    <xf numFmtId="0" fontId="71" fillId="67" borderId="76" applyNumberFormat="0" applyAlignment="0" applyProtection="0"/>
    <xf numFmtId="198" fontId="118" fillId="0" borderId="0">
      <protection locked="0"/>
    </xf>
    <xf numFmtId="164" fontId="10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99" fontId="5" fillId="0" borderId="0" applyFont="0" applyFill="0" applyBorder="0" applyAlignment="0" applyProtection="0"/>
    <xf numFmtId="200" fontId="5"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6"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6" fontId="5" fillId="0" borderId="0" applyFont="0" applyFill="0" applyBorder="0" applyAlignment="0" applyProtection="0"/>
    <xf numFmtId="198" fontId="5" fillId="0" borderId="0" applyFont="0" applyFill="0" applyBorder="0" applyAlignment="0" applyProtection="0"/>
    <xf numFmtId="198" fontId="5" fillId="0" borderId="0" applyFont="0" applyFill="0" applyBorder="0" applyAlignment="0" applyProtection="0"/>
    <xf numFmtId="201" fontId="32" fillId="0" borderId="0" applyFill="0" applyBorder="0" applyAlignment="0" applyProtection="0"/>
    <xf numFmtId="201" fontId="32" fillId="0" borderId="0" applyFill="0" applyBorder="0" applyAlignment="0" applyProtection="0"/>
    <xf numFmtId="202" fontId="44" fillId="0" borderId="0" applyFont="0" applyFill="0" applyBorder="0" applyAlignment="0" applyProtection="0"/>
    <xf numFmtId="202" fontId="4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applyBorder="0">
      <alignment horizontal="center" vertical="center"/>
    </xf>
    <xf numFmtId="0" fontId="5" fillId="0" borderId="0" applyBorder="0">
      <alignment horizontal="center" vertical="center"/>
    </xf>
    <xf numFmtId="0" fontId="72" fillId="0" borderId="0" applyNumberFormat="0" applyFill="0" applyBorder="0" applyAlignment="0" applyProtection="0"/>
    <xf numFmtId="191"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191" fontId="72" fillId="0" borderId="0" applyNumberFormat="0" applyFill="0" applyBorder="0" applyAlignment="0" applyProtection="0"/>
    <xf numFmtId="191" fontId="72" fillId="0" borderId="0" applyNumberFormat="0" applyFill="0" applyBorder="0" applyAlignment="0" applyProtection="0"/>
    <xf numFmtId="191" fontId="72" fillId="0" borderId="0" applyNumberFormat="0" applyFill="0" applyBorder="0" applyAlignment="0" applyProtection="0"/>
    <xf numFmtId="191" fontId="72" fillId="0" borderId="0" applyNumberFormat="0" applyFill="0" applyBorder="0" applyAlignment="0" applyProtection="0"/>
    <xf numFmtId="191" fontId="72" fillId="0" borderId="0" applyNumberFormat="0" applyFill="0" applyBorder="0" applyAlignment="0" applyProtection="0"/>
    <xf numFmtId="191" fontId="72" fillId="0" borderId="0" applyNumberFormat="0" applyFill="0" applyBorder="0" applyAlignment="0" applyProtection="0"/>
    <xf numFmtId="191" fontId="72" fillId="0" borderId="0" applyNumberFormat="0" applyFill="0" applyBorder="0" applyAlignment="0" applyProtection="0"/>
    <xf numFmtId="191" fontId="72" fillId="0" borderId="0" applyNumberFormat="0" applyFill="0" applyBorder="0" applyAlignment="0" applyProtection="0"/>
    <xf numFmtId="191"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3" fillId="0" borderId="0" applyNumberFormat="0" applyFill="0" applyBorder="0" applyAlignment="0" applyProtection="0"/>
    <xf numFmtId="191"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191" fontId="73" fillId="0" borderId="0" applyNumberFormat="0" applyFill="0" applyBorder="0" applyAlignment="0" applyProtection="0"/>
    <xf numFmtId="191" fontId="73" fillId="0" borderId="0" applyNumberFormat="0" applyFill="0" applyBorder="0" applyAlignment="0" applyProtection="0"/>
    <xf numFmtId="191" fontId="73" fillId="0" borderId="0" applyNumberFormat="0" applyFill="0" applyBorder="0" applyAlignment="0" applyProtection="0"/>
    <xf numFmtId="191" fontId="73" fillId="0" borderId="0" applyNumberFormat="0" applyFill="0" applyBorder="0" applyAlignment="0" applyProtection="0"/>
    <xf numFmtId="191" fontId="73" fillId="0" borderId="0" applyNumberFormat="0" applyFill="0" applyBorder="0" applyAlignment="0" applyProtection="0"/>
    <xf numFmtId="191" fontId="73" fillId="0" borderId="0" applyNumberFormat="0" applyFill="0" applyBorder="0" applyAlignment="0" applyProtection="0"/>
    <xf numFmtId="191" fontId="73" fillId="0" borderId="0" applyNumberFormat="0" applyFill="0" applyBorder="0" applyAlignment="0" applyProtection="0"/>
    <xf numFmtId="191" fontId="73" fillId="0" borderId="0" applyNumberFormat="0" applyFill="0" applyBorder="0" applyAlignment="0" applyProtection="0"/>
    <xf numFmtId="191"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16" fillId="0" borderId="0">
      <alignment horizontal="centerContinuous" vertical="center"/>
    </xf>
    <xf numFmtId="4" fontId="116" fillId="0" borderId="44">
      <alignment vertical="center"/>
    </xf>
    <xf numFmtId="4" fontId="116" fillId="0" borderId="44">
      <alignment vertical="center"/>
    </xf>
    <xf numFmtId="4" fontId="116" fillId="0" borderId="44">
      <alignment vertical="center"/>
    </xf>
    <xf numFmtId="4" fontId="116" fillId="0" borderId="44">
      <alignment vertical="center"/>
    </xf>
    <xf numFmtId="4" fontId="116" fillId="0" borderId="44">
      <alignment vertical="center"/>
    </xf>
    <xf numFmtId="4" fontId="116" fillId="0" borderId="44">
      <alignment vertical="center"/>
    </xf>
    <xf numFmtId="4" fontId="116" fillId="0" borderId="44">
      <alignment vertical="center"/>
    </xf>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4" fontId="119" fillId="0" borderId="0">
      <alignment vertical="center"/>
    </xf>
    <xf numFmtId="4" fontId="119" fillId="0" borderId="0">
      <alignment vertical="center"/>
    </xf>
    <xf numFmtId="4" fontId="119" fillId="0" borderId="0">
      <alignment vertical="center"/>
    </xf>
    <xf numFmtId="4" fontId="119" fillId="0" borderId="0">
      <alignment vertical="center"/>
    </xf>
    <xf numFmtId="4" fontId="119" fillId="0" borderId="0">
      <alignment vertical="center"/>
    </xf>
    <xf numFmtId="4" fontId="119" fillId="0" borderId="0">
      <alignment vertical="center"/>
    </xf>
    <xf numFmtId="4" fontId="119" fillId="0" borderId="0">
      <alignment vertical="center"/>
    </xf>
    <xf numFmtId="0" fontId="77" fillId="0" borderId="79" applyNumberFormat="0" applyFill="0" applyAlignment="0" applyProtection="0"/>
    <xf numFmtId="191" fontId="77" fillId="0" borderId="79" applyNumberFormat="0" applyFill="0" applyAlignment="0" applyProtection="0"/>
    <xf numFmtId="0" fontId="77" fillId="0" borderId="79" applyNumberFormat="0" applyFill="0" applyAlignment="0" applyProtection="0"/>
    <xf numFmtId="0" fontId="77" fillId="0" borderId="79" applyNumberFormat="0" applyFill="0" applyAlignment="0" applyProtection="0"/>
    <xf numFmtId="191" fontId="77" fillId="0" borderId="79" applyNumberFormat="0" applyFill="0" applyAlignment="0" applyProtection="0"/>
    <xf numFmtId="191" fontId="77" fillId="0" borderId="79" applyNumberFormat="0" applyFill="0" applyAlignment="0" applyProtection="0"/>
    <xf numFmtId="191" fontId="77" fillId="0" borderId="79" applyNumberFormat="0" applyFill="0" applyAlignment="0" applyProtection="0"/>
    <xf numFmtId="191" fontId="77" fillId="0" borderId="79" applyNumberFormat="0" applyFill="0" applyAlignment="0" applyProtection="0"/>
    <xf numFmtId="191" fontId="77" fillId="0" borderId="79" applyNumberFormat="0" applyFill="0" applyAlignment="0" applyProtection="0"/>
    <xf numFmtId="191" fontId="77" fillId="0" borderId="79" applyNumberFormat="0" applyFill="0" applyAlignment="0" applyProtection="0"/>
    <xf numFmtId="191" fontId="77" fillId="0" borderId="79" applyNumberFormat="0" applyFill="0" applyAlignment="0" applyProtection="0"/>
    <xf numFmtId="191" fontId="77" fillId="0" borderId="79" applyNumberFormat="0" applyFill="0" applyAlignment="0" applyProtection="0"/>
    <xf numFmtId="191" fontId="77" fillId="0" borderId="79" applyNumberFormat="0" applyFill="0" applyAlignment="0" applyProtection="0"/>
    <xf numFmtId="0" fontId="77" fillId="0" borderId="79" applyNumberFormat="0" applyFill="0" applyAlignment="0" applyProtection="0"/>
    <xf numFmtId="0" fontId="77" fillId="0" borderId="79" applyNumberFormat="0" applyFill="0" applyAlignment="0" applyProtection="0"/>
    <xf numFmtId="0" fontId="77" fillId="0" borderId="79" applyNumberFormat="0" applyFill="0" applyAlignment="0" applyProtection="0"/>
    <xf numFmtId="0" fontId="77" fillId="0" borderId="79" applyNumberFormat="0" applyFill="0" applyAlignment="0" applyProtection="0"/>
    <xf numFmtId="0" fontId="77" fillId="0" borderId="79" applyNumberFormat="0" applyFill="0" applyAlignment="0" applyProtection="0"/>
    <xf numFmtId="0" fontId="77" fillId="0" borderId="79" applyNumberFormat="0" applyFill="0" applyAlignment="0" applyProtection="0"/>
    <xf numFmtId="0" fontId="77" fillId="0" borderId="0" applyNumberFormat="0" applyFill="0" applyBorder="0" applyAlignment="0" applyProtection="0"/>
    <xf numFmtId="191"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191" fontId="77" fillId="0" borderId="0" applyNumberFormat="0" applyFill="0" applyBorder="0" applyAlignment="0" applyProtection="0"/>
    <xf numFmtId="191" fontId="77" fillId="0" borderId="0" applyNumberFormat="0" applyFill="0" applyBorder="0" applyAlignment="0" applyProtection="0"/>
    <xf numFmtId="191" fontId="77" fillId="0" borderId="0" applyNumberFormat="0" applyFill="0" applyBorder="0" applyAlignment="0" applyProtection="0"/>
    <xf numFmtId="191" fontId="77" fillId="0" borderId="0" applyNumberFormat="0" applyFill="0" applyBorder="0" applyAlignment="0" applyProtection="0"/>
    <xf numFmtId="191" fontId="77" fillId="0" borderId="0" applyNumberFormat="0" applyFill="0" applyBorder="0" applyAlignment="0" applyProtection="0"/>
    <xf numFmtId="191" fontId="77" fillId="0" borderId="0" applyNumberFormat="0" applyFill="0" applyBorder="0" applyAlignment="0" applyProtection="0"/>
    <xf numFmtId="191" fontId="77" fillId="0" borderId="0" applyNumberFormat="0" applyFill="0" applyBorder="0" applyAlignment="0" applyProtection="0"/>
    <xf numFmtId="191" fontId="77" fillId="0" borderId="0" applyNumberFormat="0" applyFill="0" applyBorder="0" applyAlignment="0" applyProtection="0"/>
    <xf numFmtId="191"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191"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191" fontId="74" fillId="0" borderId="0" applyNumberFormat="0" applyFill="0" applyBorder="0" applyAlignment="0" applyProtection="0"/>
    <xf numFmtId="191" fontId="74" fillId="0" borderId="0" applyNumberFormat="0" applyFill="0" applyBorder="0" applyAlignment="0" applyProtection="0"/>
    <xf numFmtId="191" fontId="74" fillId="0" borderId="0" applyNumberFormat="0" applyFill="0" applyBorder="0" applyAlignment="0" applyProtection="0"/>
    <xf numFmtId="191" fontId="74" fillId="0" borderId="0" applyNumberFormat="0" applyFill="0" applyBorder="0" applyAlignment="0" applyProtection="0"/>
    <xf numFmtId="191" fontId="74" fillId="0" borderId="0" applyNumberFormat="0" applyFill="0" applyBorder="0" applyAlignment="0" applyProtection="0"/>
    <xf numFmtId="191" fontId="74" fillId="0" borderId="0" applyNumberFormat="0" applyFill="0" applyBorder="0" applyAlignment="0" applyProtection="0"/>
    <xf numFmtId="191" fontId="74" fillId="0" borderId="0" applyNumberFormat="0" applyFill="0" applyBorder="0" applyAlignment="0" applyProtection="0"/>
    <xf numFmtId="191" fontId="74" fillId="0" borderId="0" applyNumberFormat="0" applyFill="0" applyBorder="0" applyAlignment="0" applyProtection="0"/>
    <xf numFmtId="191"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49" fontId="120" fillId="87" borderId="88">
      <alignment horizontal="left" vertical="center" indent="1"/>
    </xf>
    <xf numFmtId="203" fontId="102" fillId="13" borderId="89" applyFont="0" applyFill="0" applyBorder="0" applyAlignment="0" applyProtection="0"/>
    <xf numFmtId="198" fontId="109" fillId="0" borderId="90">
      <protection locked="0"/>
    </xf>
    <xf numFmtId="198" fontId="109" fillId="0" borderId="90">
      <protection locked="0"/>
    </xf>
    <xf numFmtId="198" fontId="109" fillId="0" borderId="90">
      <protection locked="0"/>
    </xf>
    <xf numFmtId="198" fontId="109" fillId="0" borderId="90">
      <protection locked="0"/>
    </xf>
    <xf numFmtId="198" fontId="109" fillId="0" borderId="90">
      <protection locked="0"/>
    </xf>
    <xf numFmtId="198" fontId="109" fillId="0" borderId="90">
      <protection locked="0"/>
    </xf>
    <xf numFmtId="198" fontId="109" fillId="0" borderId="90">
      <protection locked="0"/>
    </xf>
    <xf numFmtId="204" fontId="106" fillId="12" borderId="91" applyFont="0" applyFill="0" applyBorder="0" applyAlignment="0" applyProtection="0">
      <alignment horizontal="center" vertical="center" wrapText="1"/>
    </xf>
    <xf numFmtId="205" fontId="102" fillId="13" borderId="85" applyFont="0" applyFill="0" applyBorder="0" applyAlignment="0" applyProtection="0"/>
    <xf numFmtId="189" fontId="5" fillId="0" borderId="0" applyFill="0" applyBorder="0" applyAlignment="0" applyProtection="0"/>
    <xf numFmtId="189" fontId="5" fillId="0" borderId="0" applyFill="0" applyBorder="0" applyAlignment="0" applyProtection="0"/>
    <xf numFmtId="164" fontId="5" fillId="0" borderId="0" applyFill="0" applyBorder="0" applyAlignment="0" applyProtection="0"/>
    <xf numFmtId="164" fontId="5" fillId="0" borderId="0" applyFill="0" applyBorder="0" applyAlignment="0" applyProtection="0"/>
    <xf numFmtId="164" fontId="5" fillId="0" borderId="0" applyFill="0" applyBorder="0" applyAlignment="0" applyProtection="0"/>
    <xf numFmtId="164" fontId="5" fillId="0" borderId="0" applyFill="0" applyBorder="0" applyAlignment="0" applyProtection="0"/>
    <xf numFmtId="164" fontId="5" fillId="0" borderId="0" applyFill="0" applyBorder="0" applyAlignment="0" applyProtection="0"/>
    <xf numFmtId="3" fontId="121" fillId="0" borderId="0" applyFont="0" applyFill="0" applyBorder="0" applyAlignment="0" applyProtection="0"/>
    <xf numFmtId="206" fontId="102" fillId="0" borderId="24" applyFont="0" applyFill="0" applyBorder="0" applyProtection="0">
      <alignment horizontal="center"/>
    </xf>
    <xf numFmtId="0" fontId="5" fillId="0" borderId="0"/>
    <xf numFmtId="0" fontId="80" fillId="0" borderId="0"/>
    <xf numFmtId="0" fontId="80" fillId="0" borderId="0">
      <alignment vertical="top"/>
    </xf>
    <xf numFmtId="164" fontId="80" fillId="0" borderId="0" applyFont="0" applyFill="0" applyBorder="0" applyAlignment="0" applyProtection="0">
      <alignment vertical="top"/>
    </xf>
    <xf numFmtId="0" fontId="5" fillId="0" borderId="0"/>
    <xf numFmtId="0" fontId="80" fillId="0" borderId="0"/>
    <xf numFmtId="0" fontId="80" fillId="0" borderId="0"/>
    <xf numFmtId="0" fontId="80" fillId="0" borderId="0"/>
    <xf numFmtId="0" fontId="5" fillId="0" borderId="0"/>
    <xf numFmtId="0" fontId="80" fillId="0" borderId="0"/>
    <xf numFmtId="0" fontId="5" fillId="0" borderId="0"/>
    <xf numFmtId="0" fontId="5" fillId="0" borderId="0"/>
    <xf numFmtId="0" fontId="44" fillId="0" borderId="0"/>
    <xf numFmtId="9" fontId="36" fillId="0" borderId="0" applyFont="0" applyFill="0" applyBorder="0" applyAlignment="0" applyProtection="0"/>
    <xf numFmtId="207" fontId="109" fillId="0" borderId="0">
      <protection locked="0"/>
    </xf>
    <xf numFmtId="208" fontId="109" fillId="0" borderId="0">
      <protection locked="0"/>
    </xf>
    <xf numFmtId="209" fontId="5" fillId="0" borderId="0" applyFont="0" applyFill="0" applyBorder="0" applyAlignment="0" applyProtection="0"/>
    <xf numFmtId="210" fontId="5" fillId="0" borderId="0">
      <protection locked="0"/>
    </xf>
    <xf numFmtId="0" fontId="109" fillId="0" borderId="0">
      <protection locked="0"/>
    </xf>
    <xf numFmtId="211" fontId="5" fillId="0" borderId="0">
      <protection locked="0"/>
    </xf>
    <xf numFmtId="0" fontId="109" fillId="0" borderId="0">
      <protection locked="0"/>
    </xf>
    <xf numFmtId="0" fontId="109" fillId="0" borderId="0">
      <protection locked="0"/>
    </xf>
    <xf numFmtId="0" fontId="109" fillId="0" borderId="0">
      <protection locked="0"/>
    </xf>
    <xf numFmtId="9" fontId="20" fillId="0" borderId="0" applyFont="0" applyFill="0" applyBorder="0" applyAlignment="0" applyProtection="0"/>
  </cellStyleXfs>
  <cellXfs count="1114">
    <xf numFmtId="0" fontId="0" fillId="0" borderId="0" xfId="0"/>
    <xf numFmtId="0" fontId="0" fillId="2" borderId="0" xfId="0" applyFill="1"/>
    <xf numFmtId="0" fontId="4" fillId="3" borderId="0" xfId="0" applyFont="1" applyFill="1" applyBorder="1" applyAlignment="1" applyProtection="1">
      <alignment vertical="center"/>
    </xf>
    <xf numFmtId="0" fontId="4" fillId="3" borderId="0" xfId="0" applyFont="1" applyFill="1" applyBorder="1" applyAlignment="1" applyProtection="1">
      <alignment horizontal="center" vertical="center"/>
    </xf>
    <xf numFmtId="0" fontId="6" fillId="3" borderId="1" xfId="1" applyFont="1" applyFill="1" applyBorder="1" applyAlignment="1" applyProtection="1">
      <alignment horizontal="center" vertical="center"/>
    </xf>
    <xf numFmtId="0" fontId="6" fillId="3" borderId="2" xfId="1" applyFont="1" applyFill="1" applyBorder="1" applyAlignment="1" applyProtection="1">
      <alignment vertical="center"/>
    </xf>
    <xf numFmtId="0" fontId="6" fillId="3" borderId="3" xfId="1" applyFont="1" applyFill="1" applyBorder="1" applyAlignment="1" applyProtection="1">
      <alignment vertical="center"/>
    </xf>
    <xf numFmtId="0" fontId="5" fillId="3" borderId="6" xfId="1" applyFont="1" applyFill="1" applyBorder="1" applyAlignment="1" applyProtection="1">
      <alignment horizontal="center" vertical="center"/>
    </xf>
    <xf numFmtId="0" fontId="5" fillId="3" borderId="7" xfId="1" applyFont="1" applyFill="1" applyBorder="1" applyAlignment="1" applyProtection="1">
      <alignment vertical="center"/>
    </xf>
    <xf numFmtId="0" fontId="5" fillId="3" borderId="8" xfId="1" applyFont="1" applyFill="1" applyBorder="1" applyAlignment="1" applyProtection="1">
      <alignment vertical="center"/>
    </xf>
    <xf numFmtId="0" fontId="8" fillId="3" borderId="9" xfId="0" applyFont="1" applyFill="1" applyBorder="1" applyAlignment="1" applyProtection="1">
      <alignment horizontal="center" vertical="center"/>
    </xf>
    <xf numFmtId="0" fontId="8" fillId="3" borderId="10" xfId="0" applyFont="1" applyFill="1" applyBorder="1" applyAlignment="1" applyProtection="1">
      <alignment horizontal="center" vertical="center"/>
    </xf>
    <xf numFmtId="0" fontId="8" fillId="3" borderId="10" xfId="0" applyFont="1" applyFill="1" applyBorder="1" applyAlignment="1" applyProtection="1">
      <alignment horizontal="left" vertical="center"/>
    </xf>
    <xf numFmtId="2" fontId="4" fillId="3" borderId="0" xfId="0" applyNumberFormat="1" applyFont="1" applyFill="1" applyBorder="1" applyAlignment="1" applyProtection="1">
      <alignment vertical="center"/>
    </xf>
    <xf numFmtId="0" fontId="8" fillId="3" borderId="12" xfId="0" applyFont="1" applyFill="1" applyBorder="1" applyAlignment="1" applyProtection="1">
      <alignment horizontal="center" vertical="center"/>
    </xf>
    <xf numFmtId="2" fontId="8" fillId="3" borderId="12" xfId="0" applyNumberFormat="1" applyFont="1" applyFill="1" applyBorder="1" applyAlignment="1" applyProtection="1">
      <alignment vertical="center"/>
    </xf>
    <xf numFmtId="0" fontId="4" fillId="5" borderId="0" xfId="0" applyFont="1" applyFill="1" applyBorder="1" applyAlignment="1" applyProtection="1">
      <alignment vertical="center"/>
    </xf>
    <xf numFmtId="0" fontId="9" fillId="3" borderId="13" xfId="0" applyFont="1" applyFill="1" applyBorder="1" applyAlignment="1" applyProtection="1">
      <alignment horizontal="right" vertical="center"/>
    </xf>
    <xf numFmtId="2" fontId="4" fillId="5" borderId="13" xfId="0" applyNumberFormat="1" applyFont="1" applyFill="1" applyBorder="1" applyAlignment="1" applyProtection="1">
      <alignment vertical="center"/>
      <protection locked="0"/>
    </xf>
    <xf numFmtId="2" fontId="4" fillId="3" borderId="10" xfId="0" applyNumberFormat="1" applyFont="1" applyFill="1" applyBorder="1" applyAlignment="1" applyProtection="1">
      <alignment vertical="center"/>
    </xf>
    <xf numFmtId="2" fontId="4" fillId="5" borderId="13" xfId="0" applyNumberFormat="1" applyFont="1" applyFill="1" applyBorder="1" applyAlignment="1" applyProtection="1">
      <alignment vertical="center"/>
    </xf>
    <xf numFmtId="0" fontId="8" fillId="3" borderId="0" xfId="0" applyFont="1" applyFill="1" applyBorder="1" applyAlignment="1" applyProtection="1">
      <alignment horizontal="center" vertical="center"/>
    </xf>
    <xf numFmtId="0" fontId="10" fillId="3" borderId="0" xfId="0" applyFont="1" applyFill="1" applyBorder="1" applyAlignment="1" applyProtection="1">
      <alignment horizontal="right" vertical="center"/>
    </xf>
    <xf numFmtId="2" fontId="11" fillId="5" borderId="13" xfId="0" applyNumberFormat="1" applyFont="1" applyFill="1" applyBorder="1" applyAlignment="1" applyProtection="1">
      <alignment vertical="center"/>
    </xf>
    <xf numFmtId="0" fontId="12" fillId="3" borderId="13" xfId="0" applyFont="1" applyFill="1" applyBorder="1" applyAlignment="1" applyProtection="1">
      <alignment horizontal="right" vertical="center"/>
    </xf>
    <xf numFmtId="0" fontId="0" fillId="2" borderId="0" xfId="0" quotePrefix="1" applyFill="1"/>
    <xf numFmtId="0" fontId="9" fillId="5" borderId="13" xfId="0" applyFont="1" applyFill="1" applyBorder="1" applyAlignment="1" applyProtection="1">
      <alignment horizontal="right" vertical="center"/>
    </xf>
    <xf numFmtId="2" fontId="4" fillId="5" borderId="10" xfId="0" applyNumberFormat="1" applyFont="1" applyFill="1" applyBorder="1" applyAlignment="1" applyProtection="1">
      <alignment vertical="center"/>
    </xf>
    <xf numFmtId="0" fontId="8" fillId="3" borderId="13" xfId="0" applyFont="1" applyFill="1" applyBorder="1" applyAlignment="1" applyProtection="1">
      <alignment horizontal="left" vertical="center"/>
    </xf>
    <xf numFmtId="0" fontId="13" fillId="3" borderId="12" xfId="0" applyFont="1" applyFill="1" applyBorder="1" applyAlignment="1" applyProtection="1">
      <alignment horizontal="center" vertical="center"/>
    </xf>
    <xf numFmtId="0" fontId="13" fillId="3" borderId="0" xfId="0" applyFont="1" applyFill="1" applyBorder="1" applyAlignment="1" applyProtection="1">
      <alignment horizontal="center" vertical="center"/>
    </xf>
    <xf numFmtId="0" fontId="9" fillId="3" borderId="0" xfId="0" applyFont="1" applyFill="1" applyBorder="1" applyAlignment="1" applyProtection="1">
      <alignment horizontal="right" vertical="center"/>
    </xf>
    <xf numFmtId="2" fontId="4" fillId="5" borderId="0" xfId="0" applyNumberFormat="1" applyFont="1" applyFill="1" applyBorder="1" applyAlignment="1" applyProtection="1">
      <alignment vertical="center"/>
      <protection locked="0"/>
    </xf>
    <xf numFmtId="2" fontId="4" fillId="5" borderId="0" xfId="0" applyNumberFormat="1" applyFont="1" applyFill="1" applyBorder="1" applyAlignment="1" applyProtection="1">
      <alignment vertical="center"/>
    </xf>
    <xf numFmtId="2" fontId="11" fillId="5" borderId="0" xfId="0" applyNumberFormat="1" applyFont="1" applyFill="1" applyBorder="1" applyAlignment="1" applyProtection="1">
      <alignment vertical="center"/>
    </xf>
    <xf numFmtId="0" fontId="5" fillId="3" borderId="0" xfId="1" applyFont="1" applyFill="1" applyBorder="1" applyAlignment="1" applyProtection="1">
      <alignment horizontal="center" vertical="center"/>
    </xf>
    <xf numFmtId="0" fontId="5" fillId="3" borderId="0" xfId="1" applyFont="1" applyFill="1" applyBorder="1" applyAlignment="1" applyProtection="1">
      <alignment vertical="center"/>
    </xf>
    <xf numFmtId="0" fontId="6" fillId="6" borderId="1" xfId="1" applyFont="1" applyFill="1" applyBorder="1" applyAlignment="1" applyProtection="1">
      <alignment horizontal="center" vertical="center"/>
    </xf>
    <xf numFmtId="0" fontId="6" fillId="6" borderId="2" xfId="1" applyFont="1" applyFill="1" applyBorder="1" applyAlignment="1" applyProtection="1">
      <alignment vertical="center"/>
    </xf>
    <xf numFmtId="0" fontId="6" fillId="6" borderId="3" xfId="1" applyFont="1" applyFill="1" applyBorder="1" applyAlignment="1" applyProtection="1">
      <alignment vertical="center"/>
    </xf>
    <xf numFmtId="0" fontId="7" fillId="6" borderId="4" xfId="1" applyFont="1" applyFill="1" applyBorder="1" applyAlignment="1" applyProtection="1">
      <alignment horizontal="center" vertical="center"/>
    </xf>
    <xf numFmtId="0" fontId="7" fillId="6" borderId="0" xfId="1" applyFont="1" applyFill="1" applyBorder="1" applyAlignment="1" applyProtection="1">
      <alignment horizontal="center" vertical="center"/>
    </xf>
    <xf numFmtId="0" fontId="7" fillId="6" borderId="5" xfId="1" applyFont="1" applyFill="1" applyBorder="1" applyAlignment="1" applyProtection="1">
      <alignment horizontal="center" vertical="center"/>
    </xf>
    <xf numFmtId="0" fontId="15" fillId="6" borderId="0" xfId="1" applyFont="1" applyFill="1" applyBorder="1" applyAlignment="1" applyProtection="1">
      <alignment horizontal="left" vertical="center"/>
    </xf>
    <xf numFmtId="0" fontId="15" fillId="6" borderId="0" xfId="1" quotePrefix="1" applyFont="1" applyFill="1" applyBorder="1" applyAlignment="1" applyProtection="1">
      <alignment horizontal="left" vertical="center"/>
    </xf>
    <xf numFmtId="0" fontId="16" fillId="6" borderId="0" xfId="1" applyFont="1" applyFill="1" applyBorder="1" applyAlignment="1" applyProtection="1">
      <alignment horizontal="center" vertical="center"/>
    </xf>
    <xf numFmtId="4" fontId="15" fillId="6" borderId="0" xfId="1" applyNumberFormat="1" applyFont="1" applyFill="1" applyBorder="1" applyAlignment="1" applyProtection="1">
      <alignment horizontal="right" vertical="center"/>
    </xf>
    <xf numFmtId="0" fontId="15" fillId="6" borderId="5" xfId="1" applyFont="1" applyFill="1" applyBorder="1" applyAlignment="1" applyProtection="1">
      <alignment horizontal="left" vertical="center"/>
    </xf>
    <xf numFmtId="0" fontId="7" fillId="6" borderId="0" xfId="1" applyFont="1" applyFill="1" applyBorder="1" applyAlignment="1" applyProtection="1">
      <alignment horizontal="right" vertical="center"/>
    </xf>
    <xf numFmtId="4" fontId="14" fillId="6" borderId="0" xfId="1" applyNumberFormat="1" applyFont="1" applyFill="1" applyBorder="1" applyAlignment="1" applyProtection="1">
      <alignment horizontal="right" vertical="center"/>
    </xf>
    <xf numFmtId="0" fontId="14" fillId="6" borderId="5" xfId="1" applyFont="1" applyFill="1" applyBorder="1" applyAlignment="1" applyProtection="1">
      <alignment horizontal="left" vertical="center"/>
    </xf>
    <xf numFmtId="0" fontId="17" fillId="6" borderId="0" xfId="1" applyFont="1" applyFill="1" applyBorder="1" applyAlignment="1" applyProtection="1">
      <alignment horizontal="left" vertical="center"/>
    </xf>
    <xf numFmtId="0" fontId="17" fillId="6" borderId="0" xfId="1" applyFont="1" applyFill="1" applyBorder="1" applyAlignment="1" applyProtection="1">
      <alignment horizontal="center" vertical="center"/>
    </xf>
    <xf numFmtId="4" fontId="17" fillId="6" borderId="0" xfId="1" applyNumberFormat="1" applyFont="1" applyFill="1" applyBorder="1" applyAlignment="1" applyProtection="1">
      <alignment horizontal="right" vertical="center"/>
    </xf>
    <xf numFmtId="0" fontId="17" fillId="6" borderId="5" xfId="1" applyFont="1" applyFill="1" applyBorder="1" applyAlignment="1" applyProtection="1">
      <alignment horizontal="left" vertical="center"/>
    </xf>
    <xf numFmtId="0" fontId="5" fillId="6" borderId="6" xfId="1" applyFont="1" applyFill="1" applyBorder="1" applyAlignment="1" applyProtection="1">
      <alignment horizontal="center" vertical="center"/>
    </xf>
    <xf numFmtId="0" fontId="5" fillId="6" borderId="7" xfId="1" applyFont="1" applyFill="1" applyBorder="1" applyAlignment="1" applyProtection="1">
      <alignment vertical="center"/>
    </xf>
    <xf numFmtId="0" fontId="5" fillId="6" borderId="8" xfId="1" applyFont="1" applyFill="1" applyBorder="1" applyAlignment="1" applyProtection="1">
      <alignment vertical="center"/>
    </xf>
    <xf numFmtId="2" fontId="17" fillId="7" borderId="14" xfId="0" applyNumberFormat="1" applyFont="1" applyFill="1" applyBorder="1" applyAlignment="1" applyProtection="1">
      <alignment horizontal="right" vertical="center"/>
      <protection locked="0"/>
    </xf>
    <xf numFmtId="0" fontId="9" fillId="3" borderId="13" xfId="0" applyFont="1" applyFill="1" applyBorder="1" applyAlignment="1" applyProtection="1">
      <alignment horizontal="left" vertical="center"/>
    </xf>
    <xf numFmtId="0" fontId="9" fillId="3" borderId="13" xfId="0" applyFont="1" applyFill="1" applyBorder="1" applyAlignment="1" applyProtection="1">
      <alignment horizontal="center" vertical="center"/>
    </xf>
    <xf numFmtId="0" fontId="8" fillId="8" borderId="12" xfId="0" applyFont="1" applyFill="1" applyBorder="1" applyAlignment="1" applyProtection="1">
      <alignment horizontal="center" vertical="center"/>
    </xf>
    <xf numFmtId="0" fontId="13" fillId="8" borderId="13" xfId="0" applyFont="1" applyFill="1" applyBorder="1" applyAlignment="1" applyProtection="1">
      <alignment horizontal="left" vertical="center"/>
    </xf>
    <xf numFmtId="2" fontId="4" fillId="8" borderId="13" xfId="0" applyNumberFormat="1" applyFont="1" applyFill="1" applyBorder="1" applyAlignment="1" applyProtection="1">
      <alignment vertical="center"/>
      <protection locked="0"/>
    </xf>
    <xf numFmtId="2" fontId="4" fillId="8" borderId="10" xfId="0" applyNumberFormat="1" applyFont="1" applyFill="1" applyBorder="1" applyAlignment="1" applyProtection="1">
      <alignment vertical="center"/>
    </xf>
    <xf numFmtId="2" fontId="4" fillId="8" borderId="13" xfId="0" applyNumberFormat="1" applyFont="1" applyFill="1" applyBorder="1" applyAlignment="1" applyProtection="1">
      <alignment vertical="center"/>
    </xf>
    <xf numFmtId="2" fontId="11" fillId="8" borderId="13" xfId="0" applyNumberFormat="1" applyFont="1" applyFill="1" applyBorder="1" applyAlignment="1" applyProtection="1">
      <alignment vertical="center"/>
    </xf>
    <xf numFmtId="0" fontId="9" fillId="5" borderId="13" xfId="0" applyFont="1" applyFill="1" applyBorder="1" applyAlignment="1" applyProtection="1">
      <alignment horizontal="center" vertical="center"/>
    </xf>
    <xf numFmtId="0" fontId="18" fillId="3" borderId="9" xfId="0" applyFont="1" applyFill="1" applyBorder="1" applyAlignment="1" applyProtection="1">
      <alignment horizontal="center" vertical="center"/>
    </xf>
    <xf numFmtId="2" fontId="19" fillId="5" borderId="13" xfId="0" applyNumberFormat="1" applyFont="1" applyFill="1" applyBorder="1" applyAlignment="1" applyProtection="1">
      <alignment vertical="center"/>
    </xf>
    <xf numFmtId="2" fontId="10" fillId="5" borderId="13" xfId="0" applyNumberFormat="1" applyFont="1" applyFill="1" applyBorder="1" applyAlignment="1" applyProtection="1">
      <alignment horizontal="right" vertical="center"/>
      <protection locked="0"/>
    </xf>
    <xf numFmtId="2" fontId="4" fillId="5" borderId="12" xfId="0" applyNumberFormat="1" applyFont="1" applyFill="1" applyBorder="1" applyAlignment="1" applyProtection="1">
      <alignment vertical="center"/>
      <protection locked="0"/>
    </xf>
    <xf numFmtId="0" fontId="8" fillId="3" borderId="15" xfId="0" applyFont="1" applyFill="1" applyBorder="1" applyAlignment="1" applyProtection="1">
      <alignment horizontal="center" vertical="center"/>
    </xf>
    <xf numFmtId="2" fontId="4" fillId="5" borderId="12" xfId="0" applyNumberFormat="1" applyFont="1" applyFill="1" applyBorder="1" applyAlignment="1" applyProtection="1">
      <alignment vertical="center"/>
    </xf>
    <xf numFmtId="0" fontId="18" fillId="3" borderId="0" xfId="0" applyFont="1" applyFill="1" applyBorder="1" applyAlignment="1" applyProtection="1">
      <alignment horizontal="center" vertical="center"/>
    </xf>
    <xf numFmtId="4" fontId="8" fillId="3" borderId="16" xfId="0" applyNumberFormat="1" applyFont="1" applyFill="1" applyBorder="1" applyAlignment="1" applyProtection="1">
      <alignment vertical="center"/>
    </xf>
    <xf numFmtId="2" fontId="8" fillId="3" borderId="16" xfId="0" applyNumberFormat="1" applyFont="1" applyFill="1" applyBorder="1" applyAlignment="1" applyProtection="1">
      <alignment vertical="center"/>
    </xf>
    <xf numFmtId="0" fontId="8" fillId="3" borderId="18" xfId="0" applyFont="1" applyFill="1" applyBorder="1" applyAlignment="1" applyProtection="1">
      <alignment horizontal="center" vertical="center"/>
    </xf>
    <xf numFmtId="0" fontId="8" fillId="3" borderId="12" xfId="0" applyFont="1" applyFill="1" applyBorder="1" applyAlignment="1" applyProtection="1">
      <alignment horizontal="left" vertical="center"/>
    </xf>
    <xf numFmtId="2" fontId="4" fillId="3" borderId="19" xfId="0" applyNumberFormat="1" applyFont="1" applyFill="1" applyBorder="1" applyAlignment="1" applyProtection="1">
      <alignment vertical="center"/>
    </xf>
    <xf numFmtId="0" fontId="8" fillId="3" borderId="16" xfId="0" applyFont="1" applyFill="1" applyBorder="1" applyAlignment="1" applyProtection="1">
      <alignment horizontal="center" vertical="center"/>
    </xf>
    <xf numFmtId="2" fontId="11" fillId="5" borderId="12" xfId="0" applyNumberFormat="1" applyFont="1" applyFill="1" applyBorder="1" applyAlignment="1" applyProtection="1">
      <alignment vertical="center"/>
    </xf>
    <xf numFmtId="2" fontId="4" fillId="5" borderId="18" xfId="0" applyNumberFormat="1" applyFont="1" applyFill="1" applyBorder="1" applyAlignment="1" applyProtection="1">
      <alignment vertical="center"/>
      <protection locked="0"/>
    </xf>
    <xf numFmtId="2" fontId="4" fillId="3" borderId="18" xfId="0" applyNumberFormat="1" applyFont="1" applyFill="1" applyBorder="1" applyAlignment="1" applyProtection="1">
      <alignment vertical="center"/>
    </xf>
    <xf numFmtId="2" fontId="4" fillId="5" borderId="18" xfId="0" applyNumberFormat="1" applyFont="1" applyFill="1" applyBorder="1" applyAlignment="1" applyProtection="1">
      <alignment vertical="center"/>
    </xf>
    <xf numFmtId="0" fontId="15" fillId="6" borderId="0" xfId="1" applyFont="1" applyFill="1" applyBorder="1" applyAlignment="1" applyProtection="1">
      <alignment horizontal="right" vertical="center"/>
    </xf>
    <xf numFmtId="4" fontId="15" fillId="6" borderId="0" xfId="1" applyNumberFormat="1" applyFont="1" applyFill="1" applyBorder="1" applyAlignment="1" applyProtection="1">
      <alignment horizontal="left" vertical="center"/>
    </xf>
    <xf numFmtId="2" fontId="11" fillId="5" borderId="12" xfId="0" applyNumberFormat="1" applyFont="1" applyFill="1" applyBorder="1" applyAlignment="1" applyProtection="1">
      <alignment vertical="center"/>
      <protection locked="0"/>
    </xf>
    <xf numFmtId="0" fontId="0" fillId="0" borderId="23" xfId="0" applyBorder="1"/>
    <xf numFmtId="0" fontId="22" fillId="10" borderId="23" xfId="0" applyFont="1" applyFill="1" applyBorder="1"/>
    <xf numFmtId="0" fontId="22" fillId="10" borderId="23" xfId="0" applyFont="1" applyFill="1" applyBorder="1" applyAlignment="1">
      <alignment horizontal="center"/>
    </xf>
    <xf numFmtId="43" fontId="0" fillId="0" borderId="23" xfId="2" applyFont="1" applyBorder="1"/>
    <xf numFmtId="43" fontId="0" fillId="0" borderId="0" xfId="2" applyFont="1"/>
    <xf numFmtId="0" fontId="0" fillId="0" borderId="23" xfId="0" applyFill="1" applyBorder="1"/>
    <xf numFmtId="43" fontId="22" fillId="10" borderId="23" xfId="2" applyFont="1" applyFill="1" applyBorder="1"/>
    <xf numFmtId="0" fontId="0" fillId="0" borderId="0" xfId="0" applyAlignment="1">
      <alignment horizontal="center"/>
    </xf>
    <xf numFmtId="0" fontId="21" fillId="15" borderId="38" xfId="0" applyFont="1" applyFill="1" applyBorder="1" applyAlignment="1"/>
    <xf numFmtId="0" fontId="21" fillId="15" borderId="40" xfId="0" applyFont="1" applyFill="1" applyBorder="1" applyAlignment="1"/>
    <xf numFmtId="0" fontId="21" fillId="15" borderId="40" xfId="0" applyFont="1" applyFill="1" applyBorder="1" applyAlignment="1">
      <alignment horizontal="center"/>
    </xf>
    <xf numFmtId="0" fontId="21" fillId="15" borderId="39" xfId="0" applyFont="1" applyFill="1" applyBorder="1" applyAlignment="1"/>
    <xf numFmtId="0" fontId="0" fillId="0" borderId="23" xfId="0" applyBorder="1" applyAlignment="1">
      <alignment horizontal="center"/>
    </xf>
    <xf numFmtId="43" fontId="0" fillId="0" borderId="23" xfId="2" applyFont="1" applyBorder="1" applyAlignment="1">
      <alignment horizontal="center"/>
    </xf>
    <xf numFmtId="0" fontId="21" fillId="0" borderId="23" xfId="0" applyFont="1" applyBorder="1"/>
    <xf numFmtId="0" fontId="21" fillId="11" borderId="23" xfId="0" applyFont="1" applyFill="1" applyBorder="1"/>
    <xf numFmtId="43" fontId="21" fillId="11" borderId="23" xfId="2" applyFont="1" applyFill="1" applyBorder="1"/>
    <xf numFmtId="43" fontId="0" fillId="11" borderId="23" xfId="2" applyFont="1" applyFill="1" applyBorder="1"/>
    <xf numFmtId="43" fontId="0" fillId="11" borderId="23" xfId="2" applyFont="1" applyFill="1" applyBorder="1" applyAlignment="1">
      <alignment horizontal="center"/>
    </xf>
    <xf numFmtId="43" fontId="0" fillId="0" borderId="23" xfId="2" applyFont="1" applyFill="1" applyBorder="1"/>
    <xf numFmtId="0" fontId="0" fillId="0" borderId="23" xfId="0" applyFill="1" applyBorder="1" applyAlignment="1">
      <alignment horizontal="center"/>
    </xf>
    <xf numFmtId="43" fontId="0" fillId="0" borderId="40" xfId="2" applyFont="1" applyFill="1" applyBorder="1"/>
    <xf numFmtId="0" fontId="23" fillId="0" borderId="0" xfId="0" applyFont="1" applyAlignment="1"/>
    <xf numFmtId="0" fontId="21" fillId="10" borderId="23" xfId="0" applyFont="1" applyFill="1" applyBorder="1" applyAlignment="1">
      <alignment horizontal="center" vertical="center"/>
    </xf>
    <xf numFmtId="43" fontId="21" fillId="10" borderId="23" xfId="2" applyFont="1" applyFill="1" applyBorder="1" applyAlignment="1">
      <alignment horizontal="center" vertical="center"/>
    </xf>
    <xf numFmtId="0" fontId="21" fillId="10" borderId="43" xfId="0" applyFont="1" applyFill="1" applyBorder="1" applyAlignment="1">
      <alignment horizontal="center" vertical="center"/>
    </xf>
    <xf numFmtId="0" fontId="21" fillId="10" borderId="43" xfId="0" applyFont="1" applyFill="1" applyBorder="1" applyAlignment="1">
      <alignment horizontal="center" vertical="center" wrapText="1"/>
    </xf>
    <xf numFmtId="43" fontId="0" fillId="0" borderId="23" xfId="0" applyNumberFormat="1" applyBorder="1"/>
    <xf numFmtId="0" fontId="0" fillId="0" borderId="23" xfId="0" applyFont="1" applyBorder="1"/>
    <xf numFmtId="43" fontId="20" fillId="0" borderId="23" xfId="2" applyFont="1" applyBorder="1"/>
    <xf numFmtId="0" fontId="22" fillId="18" borderId="38" xfId="0" applyFont="1" applyFill="1" applyBorder="1"/>
    <xf numFmtId="0" fontId="0" fillId="18" borderId="40" xfId="0" applyFill="1" applyBorder="1"/>
    <xf numFmtId="43" fontId="22" fillId="18" borderId="23" xfId="0" applyNumberFormat="1" applyFont="1" applyFill="1" applyBorder="1"/>
    <xf numFmtId="0" fontId="21" fillId="0" borderId="38" xfId="0" applyFont="1" applyBorder="1"/>
    <xf numFmtId="43" fontId="21" fillId="10" borderId="43" xfId="2" applyFont="1" applyFill="1" applyBorder="1" applyAlignment="1">
      <alignment horizontal="center" vertical="center"/>
    </xf>
    <xf numFmtId="43" fontId="0" fillId="0" borderId="23" xfId="2" applyFont="1" applyFill="1" applyBorder="1" applyAlignment="1">
      <alignment horizontal="center"/>
    </xf>
    <xf numFmtId="43" fontId="22" fillId="18" borderId="23" xfId="2" applyFont="1" applyFill="1" applyBorder="1"/>
    <xf numFmtId="0" fontId="21" fillId="0" borderId="40" xfId="0" applyFont="1" applyBorder="1"/>
    <xf numFmtId="43" fontId="0" fillId="0" borderId="40" xfId="2" applyFont="1" applyBorder="1"/>
    <xf numFmtId="43" fontId="0" fillId="0" borderId="40" xfId="2" applyFont="1" applyFill="1" applyBorder="1" applyAlignment="1">
      <alignment horizontal="center"/>
    </xf>
    <xf numFmtId="0" fontId="7" fillId="6" borderId="4" xfId="1" applyFont="1" applyFill="1" applyBorder="1" applyAlignment="1" applyProtection="1">
      <alignment horizontal="center" vertical="center"/>
    </xf>
    <xf numFmtId="0" fontId="7" fillId="6" borderId="0" xfId="1" applyFont="1" applyFill="1" applyBorder="1" applyAlignment="1" applyProtection="1">
      <alignment horizontal="center" vertical="center"/>
    </xf>
    <xf numFmtId="0" fontId="7" fillId="6" borderId="5" xfId="1" applyFont="1" applyFill="1" applyBorder="1" applyAlignment="1" applyProtection="1">
      <alignment horizontal="center" vertical="center"/>
    </xf>
    <xf numFmtId="0" fontId="21" fillId="18" borderId="0" xfId="0" applyFont="1" applyFill="1" applyAlignment="1">
      <alignment horizontal="center" vertical="center"/>
    </xf>
    <xf numFmtId="0" fontId="0" fillId="18" borderId="0" xfId="0" applyFont="1" applyFill="1" applyAlignment="1">
      <alignment horizontal="center" vertical="center"/>
    </xf>
    <xf numFmtId="0" fontId="21" fillId="0" borderId="0" xfId="0" applyFont="1" applyAlignment="1">
      <alignment horizontal="center" vertical="center"/>
    </xf>
    <xf numFmtId="0" fontId="21" fillId="2" borderId="0" xfId="0" applyFont="1" applyFill="1" applyAlignment="1">
      <alignment horizontal="center" vertical="center"/>
    </xf>
    <xf numFmtId="0" fontId="46" fillId="5" borderId="13" xfId="0" applyFont="1" applyFill="1" applyBorder="1" applyAlignment="1" applyProtection="1">
      <alignment horizontal="right" vertical="center"/>
    </xf>
    <xf numFmtId="2" fontId="47" fillId="5" borderId="13" xfId="0" applyNumberFormat="1" applyFont="1" applyFill="1" applyBorder="1" applyAlignment="1" applyProtection="1">
      <alignment horizontal="right" vertical="center"/>
      <protection locked="0"/>
    </xf>
    <xf numFmtId="2" fontId="48" fillId="5" borderId="13" xfId="0" applyNumberFormat="1" applyFont="1" applyFill="1" applyBorder="1" applyAlignment="1" applyProtection="1">
      <alignment vertical="center"/>
      <protection locked="0"/>
    </xf>
    <xf numFmtId="2" fontId="48" fillId="3" borderId="10" xfId="0" applyNumberFormat="1" applyFont="1" applyFill="1" applyBorder="1" applyAlignment="1" applyProtection="1">
      <alignment vertical="center"/>
    </xf>
    <xf numFmtId="2" fontId="48" fillId="5" borderId="12" xfId="0" applyNumberFormat="1" applyFont="1" applyFill="1" applyBorder="1" applyAlignment="1" applyProtection="1">
      <alignment vertical="center"/>
      <protection locked="0"/>
    </xf>
    <xf numFmtId="2" fontId="48" fillId="5" borderId="12" xfId="0" applyNumberFormat="1" applyFont="1" applyFill="1" applyBorder="1" applyAlignment="1" applyProtection="1">
      <alignment vertical="center"/>
    </xf>
    <xf numFmtId="0" fontId="9" fillId="9" borderId="13" xfId="0" applyFont="1" applyFill="1" applyBorder="1" applyAlignment="1" applyProtection="1">
      <alignment horizontal="right" vertical="center"/>
    </xf>
    <xf numFmtId="0" fontId="49" fillId="2" borderId="0" xfId="0" applyFont="1" applyFill="1" applyAlignment="1">
      <alignment horizontal="right"/>
    </xf>
    <xf numFmtId="43" fontId="0" fillId="2" borderId="0" xfId="2" applyFont="1" applyFill="1"/>
    <xf numFmtId="0" fontId="7" fillId="6" borderId="4" xfId="1" applyFont="1" applyFill="1" applyBorder="1" applyAlignment="1" applyProtection="1">
      <alignment horizontal="center" vertical="center"/>
    </xf>
    <xf numFmtId="0" fontId="7" fillId="6" borderId="0" xfId="1" applyFont="1" applyFill="1" applyBorder="1" applyAlignment="1" applyProtection="1">
      <alignment horizontal="center" vertical="center"/>
    </xf>
    <xf numFmtId="2" fontId="6" fillId="6" borderId="2" xfId="1" applyNumberFormat="1" applyFont="1" applyFill="1" applyBorder="1" applyAlignment="1" applyProtection="1">
      <alignment vertical="center"/>
    </xf>
    <xf numFmtId="2" fontId="6" fillId="6" borderId="3" xfId="1" applyNumberFormat="1" applyFont="1" applyFill="1" applyBorder="1" applyAlignment="1" applyProtection="1">
      <alignment vertical="center"/>
    </xf>
    <xf numFmtId="2" fontId="7" fillId="6" borderId="0" xfId="1" applyNumberFormat="1" applyFont="1" applyFill="1" applyBorder="1" applyAlignment="1" applyProtection="1">
      <alignment horizontal="center" vertical="center"/>
    </xf>
    <xf numFmtId="2" fontId="7" fillId="6" borderId="5" xfId="1" applyNumberFormat="1" applyFont="1" applyFill="1" applyBorder="1" applyAlignment="1" applyProtection="1">
      <alignment horizontal="center" vertical="center"/>
    </xf>
    <xf numFmtId="0" fontId="12" fillId="3" borderId="13" xfId="0" applyFont="1" applyFill="1" applyBorder="1" applyAlignment="1" applyProtection="1">
      <alignment horizontal="left" vertical="center"/>
    </xf>
    <xf numFmtId="2" fontId="50" fillId="5" borderId="13" xfId="0" applyNumberFormat="1" applyFont="1" applyFill="1" applyBorder="1" applyAlignment="1" applyProtection="1">
      <alignment vertical="center"/>
      <protection locked="0"/>
    </xf>
    <xf numFmtId="2" fontId="50" fillId="3" borderId="10" xfId="0" applyNumberFormat="1" applyFont="1" applyFill="1" applyBorder="1" applyAlignment="1" applyProtection="1">
      <alignment vertical="center"/>
    </xf>
    <xf numFmtId="2" fontId="50" fillId="5" borderId="13" xfId="0" applyNumberFormat="1" applyFont="1" applyFill="1" applyBorder="1" applyAlignment="1" applyProtection="1">
      <alignment vertical="center"/>
    </xf>
    <xf numFmtId="0" fontId="13" fillId="19" borderId="13" xfId="0" applyFont="1" applyFill="1" applyBorder="1" applyAlignment="1" applyProtection="1">
      <alignment horizontal="left" vertical="center"/>
    </xf>
    <xf numFmtId="2" fontId="4" fillId="19" borderId="13" xfId="0" applyNumberFormat="1" applyFont="1" applyFill="1" applyBorder="1" applyAlignment="1" applyProtection="1">
      <alignment vertical="center"/>
      <protection locked="0"/>
    </xf>
    <xf numFmtId="2" fontId="4" fillId="19" borderId="10" xfId="0" applyNumberFormat="1" applyFont="1" applyFill="1" applyBorder="1" applyAlignment="1" applyProtection="1">
      <alignment vertical="center"/>
    </xf>
    <xf numFmtId="2" fontId="4" fillId="19" borderId="13" xfId="0" applyNumberFormat="1" applyFont="1" applyFill="1" applyBorder="1" applyAlignment="1" applyProtection="1">
      <alignment vertical="center"/>
    </xf>
    <xf numFmtId="2" fontId="19" fillId="19" borderId="13" xfId="0" applyNumberFormat="1" applyFont="1" applyFill="1" applyBorder="1" applyAlignment="1" applyProtection="1">
      <alignment vertical="center"/>
      <protection locked="0"/>
    </xf>
    <xf numFmtId="2" fontId="10" fillId="5" borderId="13" xfId="0" applyNumberFormat="1" applyFont="1" applyFill="1" applyBorder="1" applyAlignment="1" applyProtection="1">
      <alignment horizontal="center" vertical="center"/>
      <protection locked="0"/>
    </xf>
    <xf numFmtId="2" fontId="14" fillId="6" borderId="5" xfId="1" applyNumberFormat="1" applyFont="1" applyFill="1" applyBorder="1" applyAlignment="1" applyProtection="1">
      <alignment horizontal="left" vertical="center"/>
    </xf>
    <xf numFmtId="2" fontId="4" fillId="5" borderId="13" xfId="0" applyNumberFormat="1" applyFont="1" applyFill="1" applyBorder="1" applyAlignment="1" applyProtection="1">
      <alignment horizontal="center" vertical="center"/>
      <protection locked="0"/>
    </xf>
    <xf numFmtId="2" fontId="10" fillId="5" borderId="13" xfId="0" applyNumberFormat="1" applyFont="1" applyFill="1" applyBorder="1" applyAlignment="1" applyProtection="1">
      <alignment vertical="center"/>
      <protection locked="0"/>
    </xf>
    <xf numFmtId="2" fontId="14" fillId="6" borderId="0" xfId="1" applyNumberFormat="1" applyFont="1" applyFill="1" applyBorder="1" applyAlignment="1" applyProtection="1">
      <alignment horizontal="right" vertical="center"/>
    </xf>
    <xf numFmtId="2" fontId="5" fillId="6" borderId="7" xfId="1" applyNumberFormat="1" applyFont="1" applyFill="1" applyBorder="1" applyAlignment="1" applyProtection="1">
      <alignment vertical="center"/>
    </xf>
    <xf numFmtId="2" fontId="5" fillId="6" borderId="8" xfId="1" applyNumberFormat="1" applyFont="1" applyFill="1" applyBorder="1" applyAlignment="1" applyProtection="1">
      <alignment vertical="center"/>
    </xf>
    <xf numFmtId="2" fontId="5" fillId="3" borderId="0" xfId="1" applyNumberFormat="1" applyFont="1" applyFill="1" applyBorder="1" applyAlignment="1" applyProtection="1">
      <alignment vertical="center"/>
    </xf>
    <xf numFmtId="2" fontId="0" fillId="2" borderId="0" xfId="0" applyNumberFormat="1" applyFill="1"/>
    <xf numFmtId="0" fontId="8" fillId="19" borderId="12" xfId="0" applyFont="1" applyFill="1" applyBorder="1" applyAlignment="1" applyProtection="1">
      <alignment horizontal="center" vertical="center"/>
    </xf>
    <xf numFmtId="2" fontId="11" fillId="19" borderId="13" xfId="0" applyNumberFormat="1" applyFont="1" applyFill="1" applyBorder="1" applyAlignment="1" applyProtection="1">
      <alignment vertical="center"/>
    </xf>
    <xf numFmtId="0" fontId="9" fillId="3" borderId="12" xfId="0" applyFont="1" applyFill="1" applyBorder="1" applyAlignment="1" applyProtection="1">
      <alignment horizontal="center" vertical="center"/>
    </xf>
    <xf numFmtId="0" fontId="9" fillId="3" borderId="0" xfId="0" applyFont="1" applyFill="1" applyBorder="1" applyAlignment="1" applyProtection="1">
      <alignment horizontal="center" vertical="center"/>
    </xf>
    <xf numFmtId="0" fontId="9" fillId="3" borderId="0" xfId="0" applyFont="1" applyFill="1" applyBorder="1" applyAlignment="1" applyProtection="1">
      <alignment horizontal="left" vertical="center"/>
    </xf>
    <xf numFmtId="2" fontId="10" fillId="5" borderId="0" xfId="0" applyNumberFormat="1" applyFont="1" applyFill="1" applyBorder="1" applyAlignment="1" applyProtection="1">
      <alignment horizontal="center" vertical="center"/>
      <protection locked="0"/>
    </xf>
    <xf numFmtId="2" fontId="19" fillId="5" borderId="0" xfId="0" applyNumberFormat="1" applyFont="1" applyFill="1" applyBorder="1" applyAlignment="1" applyProtection="1">
      <alignment vertical="center"/>
    </xf>
    <xf numFmtId="2" fontId="50" fillId="5" borderId="0" xfId="0" applyNumberFormat="1" applyFont="1" applyFill="1" applyBorder="1" applyAlignment="1" applyProtection="1">
      <alignment vertical="center"/>
      <protection locked="0"/>
    </xf>
    <xf numFmtId="2" fontId="50" fillId="5" borderId="0" xfId="0" applyNumberFormat="1" applyFont="1" applyFill="1" applyBorder="1" applyAlignment="1" applyProtection="1">
      <alignment vertical="center"/>
    </xf>
    <xf numFmtId="2" fontId="6" fillId="3" borderId="2" xfId="1" applyNumberFormat="1" applyFont="1" applyFill="1" applyBorder="1" applyAlignment="1" applyProtection="1">
      <alignment vertical="center"/>
    </xf>
    <xf numFmtId="2" fontId="6" fillId="3" borderId="3" xfId="1" applyNumberFormat="1" applyFont="1" applyFill="1" applyBorder="1" applyAlignment="1" applyProtection="1">
      <alignment vertical="center"/>
    </xf>
    <xf numFmtId="2" fontId="5" fillId="3" borderId="7" xfId="1" applyNumberFormat="1" applyFont="1" applyFill="1" applyBorder="1" applyAlignment="1" applyProtection="1">
      <alignment vertical="center"/>
    </xf>
    <xf numFmtId="2" fontId="5" fillId="3" borderId="8" xfId="1" applyNumberFormat="1" applyFont="1" applyFill="1" applyBorder="1" applyAlignment="1" applyProtection="1">
      <alignment vertical="center"/>
    </xf>
    <xf numFmtId="2" fontId="8" fillId="3" borderId="9" xfId="0" applyNumberFormat="1" applyFont="1" applyFill="1" applyBorder="1" applyAlignment="1" applyProtection="1">
      <alignment horizontal="center" vertical="center"/>
    </xf>
    <xf numFmtId="2" fontId="19" fillId="8" borderId="13" xfId="0" applyNumberFormat="1" applyFont="1" applyFill="1" applyBorder="1" applyAlignment="1" applyProtection="1">
      <alignment vertical="center"/>
      <protection locked="0"/>
    </xf>
    <xf numFmtId="0" fontId="51" fillId="2" borderId="0" xfId="0" applyFont="1" applyFill="1"/>
    <xf numFmtId="0" fontId="52" fillId="5" borderId="12" xfId="0" applyFont="1" applyFill="1" applyBorder="1" applyAlignment="1" applyProtection="1">
      <alignment horizontal="center" vertical="center"/>
    </xf>
    <xf numFmtId="0" fontId="52" fillId="5" borderId="0" xfId="0" applyFont="1" applyFill="1" applyBorder="1" applyAlignment="1" applyProtection="1">
      <alignment horizontal="left" vertical="center"/>
    </xf>
    <xf numFmtId="2" fontId="52" fillId="5" borderId="0" xfId="0" applyNumberFormat="1" applyFont="1" applyFill="1" applyBorder="1" applyAlignment="1" applyProtection="1">
      <alignment horizontal="left" vertical="center"/>
    </xf>
    <xf numFmtId="2" fontId="52" fillId="5" borderId="12" xfId="0" applyNumberFormat="1" applyFont="1" applyFill="1" applyBorder="1" applyAlignment="1" applyProtection="1">
      <alignment vertical="center"/>
    </xf>
    <xf numFmtId="0" fontId="53" fillId="5" borderId="13" xfId="0" applyFont="1" applyFill="1" applyBorder="1" applyAlignment="1" applyProtection="1">
      <alignment horizontal="right" vertical="center"/>
    </xf>
    <xf numFmtId="2" fontId="54" fillId="5" borderId="13" xfId="0" applyNumberFormat="1" applyFont="1" applyFill="1" applyBorder="1" applyAlignment="1" applyProtection="1">
      <alignment vertical="center"/>
      <protection locked="0"/>
    </xf>
    <xf numFmtId="2" fontId="54" fillId="5" borderId="10" xfId="0" applyNumberFormat="1" applyFont="1" applyFill="1" applyBorder="1" applyAlignment="1" applyProtection="1">
      <alignment vertical="center"/>
    </xf>
    <xf numFmtId="2" fontId="54" fillId="5" borderId="13" xfId="0" applyNumberFormat="1" applyFont="1" applyFill="1" applyBorder="1" applyAlignment="1" applyProtection="1">
      <alignment vertical="center"/>
    </xf>
    <xf numFmtId="2" fontId="51" fillId="2" borderId="0" xfId="0" applyNumberFormat="1" applyFont="1" applyFill="1"/>
    <xf numFmtId="0" fontId="55" fillId="10" borderId="23" xfId="0" applyFont="1" applyFill="1" applyBorder="1" applyAlignment="1">
      <alignment horizontal="center"/>
    </xf>
    <xf numFmtId="0" fontId="55" fillId="10" borderId="23" xfId="0" applyFont="1" applyFill="1" applyBorder="1" applyAlignment="1">
      <alignment horizontal="center" vertical="center"/>
    </xf>
    <xf numFmtId="0" fontId="55" fillId="17" borderId="23" xfId="0" applyFont="1" applyFill="1" applyBorder="1" applyAlignment="1">
      <alignment horizontal="center"/>
    </xf>
    <xf numFmtId="0" fontId="56" fillId="17" borderId="23" xfId="0" applyFont="1" applyFill="1" applyBorder="1"/>
    <xf numFmtId="0" fontId="56" fillId="17" borderId="23" xfId="0" applyFont="1" applyFill="1" applyBorder="1" applyAlignment="1">
      <alignment horizontal="center" vertical="center"/>
    </xf>
    <xf numFmtId="0" fontId="56" fillId="17" borderId="23" xfId="0" applyFont="1" applyFill="1" applyBorder="1" applyAlignment="1">
      <alignment horizontal="center"/>
    </xf>
    <xf numFmtId="0" fontId="56" fillId="0" borderId="23" xfId="0" applyFont="1" applyBorder="1" applyAlignment="1">
      <alignment horizontal="center"/>
    </xf>
    <xf numFmtId="0" fontId="56" fillId="0" borderId="23" xfId="0" applyFont="1" applyBorder="1" applyAlignment="1">
      <alignment horizontal="center" vertical="center"/>
    </xf>
    <xf numFmtId="43" fontId="56" fillId="0" borderId="23" xfId="2" applyFont="1" applyBorder="1" applyAlignment="1">
      <alignment horizontal="center"/>
    </xf>
    <xf numFmtId="0" fontId="56" fillId="0" borderId="23" xfId="0" applyFont="1" applyBorder="1"/>
    <xf numFmtId="43" fontId="55" fillId="0" borderId="23" xfId="2" applyFont="1" applyBorder="1" applyAlignment="1">
      <alignment horizontal="center"/>
    </xf>
    <xf numFmtId="0" fontId="55" fillId="17" borderId="23" xfId="0" applyFont="1" applyFill="1" applyBorder="1" applyAlignment="1">
      <alignment horizontal="left"/>
    </xf>
    <xf numFmtId="0" fontId="56" fillId="0" borderId="23" xfId="0" applyFont="1" applyFill="1" applyBorder="1" applyAlignment="1">
      <alignment horizontal="center"/>
    </xf>
    <xf numFmtId="0" fontId="56" fillId="0" borderId="23" xfId="0" applyFont="1" applyFill="1" applyBorder="1"/>
    <xf numFmtId="43" fontId="56" fillId="0" borderId="23" xfId="2" applyFont="1" applyBorder="1"/>
    <xf numFmtId="43" fontId="56" fillId="17" borderId="23" xfId="2" applyFont="1" applyFill="1" applyBorder="1" applyAlignment="1">
      <alignment horizontal="center"/>
    </xf>
    <xf numFmtId="43" fontId="56" fillId="17" borderId="23" xfId="2" applyFont="1" applyFill="1" applyBorder="1"/>
    <xf numFmtId="43" fontId="56" fillId="0" borderId="23" xfId="2" applyFont="1" applyFill="1" applyBorder="1" applyAlignment="1">
      <alignment horizontal="center"/>
    </xf>
    <xf numFmtId="43" fontId="56" fillId="0" borderId="23" xfId="2" applyFont="1" applyFill="1" applyBorder="1"/>
    <xf numFmtId="43" fontId="55" fillId="0" borderId="23" xfId="2" applyFont="1" applyBorder="1"/>
    <xf numFmtId="0" fontId="55" fillId="0" borderId="23" xfId="0" applyFont="1" applyFill="1" applyBorder="1" applyAlignment="1">
      <alignment horizontal="center"/>
    </xf>
    <xf numFmtId="0" fontId="56" fillId="0" borderId="23" xfId="0" applyFont="1" applyFill="1" applyBorder="1" applyAlignment="1">
      <alignment horizontal="center" vertical="center"/>
    </xf>
    <xf numFmtId="2" fontId="50" fillId="5" borderId="13" xfId="0" applyNumberFormat="1" applyFont="1" applyFill="1" applyBorder="1" applyAlignment="1" applyProtection="1">
      <alignment horizontal="center" vertical="center"/>
      <protection locked="0"/>
    </xf>
    <xf numFmtId="2" fontId="50" fillId="5" borderId="13" xfId="0" applyNumberFormat="1" applyFont="1" applyFill="1" applyBorder="1" applyAlignment="1" applyProtection="1">
      <alignment horizontal="center" vertical="center"/>
    </xf>
    <xf numFmtId="0" fontId="7" fillId="6" borderId="4" xfId="1" applyFont="1" applyFill="1" applyBorder="1" applyAlignment="1" applyProtection="1">
      <alignment horizontal="center" vertical="center"/>
    </xf>
    <xf numFmtId="0" fontId="7" fillId="6" borderId="0" xfId="1" applyFont="1" applyFill="1" applyBorder="1" applyAlignment="1" applyProtection="1">
      <alignment horizontal="center" vertical="center"/>
    </xf>
    <xf numFmtId="0" fontId="7" fillId="6" borderId="5" xfId="1" applyFont="1" applyFill="1" applyBorder="1" applyAlignment="1" applyProtection="1">
      <alignment horizontal="center" vertical="center"/>
    </xf>
    <xf numFmtId="0" fontId="9" fillId="9" borderId="13" xfId="0" applyFont="1" applyFill="1" applyBorder="1" applyAlignment="1" applyProtection="1">
      <alignment horizontal="center" vertical="center"/>
    </xf>
    <xf numFmtId="0" fontId="8" fillId="3" borderId="13" xfId="0" applyFont="1" applyFill="1" applyBorder="1" applyAlignment="1" applyProtection="1">
      <alignment horizontal="center" vertical="center"/>
    </xf>
    <xf numFmtId="0" fontId="14" fillId="6" borderId="0" xfId="1" applyFont="1" applyFill="1" applyBorder="1" applyAlignment="1" applyProtection="1">
      <alignment horizontal="right" vertical="center"/>
    </xf>
    <xf numFmtId="0" fontId="7" fillId="6" borderId="0" xfId="1" quotePrefix="1" applyFont="1" applyFill="1" applyBorder="1" applyAlignment="1" applyProtection="1">
      <alignment horizontal="left" vertical="center"/>
    </xf>
    <xf numFmtId="4" fontId="8" fillId="3" borderId="59" xfId="0" applyNumberFormat="1" applyFont="1" applyFill="1" applyBorder="1" applyAlignment="1" applyProtection="1">
      <alignment vertical="center"/>
    </xf>
    <xf numFmtId="2" fontId="4" fillId="5" borderId="13" xfId="0" applyNumberFormat="1" applyFont="1" applyFill="1" applyBorder="1" applyAlignment="1" applyProtection="1">
      <alignment horizontal="right" vertical="center"/>
    </xf>
    <xf numFmtId="0" fontId="9" fillId="3" borderId="12" xfId="0" applyFont="1" applyFill="1" applyBorder="1" applyAlignment="1" applyProtection="1">
      <alignment horizontal="right" vertical="center"/>
    </xf>
    <xf numFmtId="2" fontId="4" fillId="5" borderId="12" xfId="0" applyNumberFormat="1" applyFont="1" applyFill="1" applyBorder="1" applyAlignment="1" applyProtection="1">
      <alignment horizontal="center" vertical="center"/>
      <protection locked="0"/>
    </xf>
    <xf numFmtId="2" fontId="4" fillId="5" borderId="12" xfId="0" applyNumberFormat="1" applyFont="1" applyFill="1" applyBorder="1" applyAlignment="1" applyProtection="1">
      <alignment horizontal="right" vertical="center"/>
    </xf>
    <xf numFmtId="0" fontId="58" fillId="5" borderId="13" xfId="0" applyFont="1" applyFill="1" applyBorder="1" applyAlignment="1" applyProtection="1">
      <alignment horizontal="right" vertical="center"/>
    </xf>
    <xf numFmtId="43" fontId="22" fillId="2" borderId="0" xfId="2" applyFont="1" applyFill="1"/>
    <xf numFmtId="0" fontId="28" fillId="13" borderId="23" xfId="3" quotePrefix="1" applyFont="1" applyFill="1" applyBorder="1" applyAlignment="1">
      <alignment horizontal="center" vertical="center" wrapText="1"/>
    </xf>
    <xf numFmtId="4" fontId="28" fillId="13" borderId="23" xfId="3" quotePrefix="1" applyNumberFormat="1" applyFont="1" applyFill="1" applyBorder="1" applyAlignment="1">
      <alignment horizontal="right" vertical="center" wrapText="1"/>
    </xf>
    <xf numFmtId="4" fontId="28" fillId="0" borderId="23" xfId="3" quotePrefix="1" applyNumberFormat="1" applyFont="1" applyFill="1" applyBorder="1" applyAlignment="1">
      <alignment horizontal="right" vertical="center" wrapText="1"/>
    </xf>
    <xf numFmtId="0" fontId="28" fillId="15" borderId="23" xfId="3" quotePrefix="1" applyFont="1" applyFill="1" applyBorder="1" applyAlignment="1">
      <alignment horizontal="left" vertical="center" wrapText="1"/>
    </xf>
    <xf numFmtId="0" fontId="28" fillId="15" borderId="23" xfId="3" quotePrefix="1" applyFont="1" applyFill="1" applyBorder="1" applyAlignment="1">
      <alignment horizontal="center" vertical="center" wrapText="1"/>
    </xf>
    <xf numFmtId="4" fontId="43" fillId="15" borderId="23" xfId="3" quotePrefix="1" applyNumberFormat="1" applyFont="1" applyFill="1" applyBorder="1" applyAlignment="1">
      <alignment horizontal="right" vertical="center" wrapText="1"/>
    </xf>
    <xf numFmtId="2" fontId="55" fillId="15" borderId="23" xfId="0" applyNumberFormat="1" applyFont="1" applyFill="1" applyBorder="1" applyAlignment="1">
      <alignment horizontal="center" vertical="center" wrapText="1"/>
    </xf>
    <xf numFmtId="0" fontId="55" fillId="0" borderId="23" xfId="0" applyFont="1" applyBorder="1" applyAlignment="1">
      <alignment horizontal="center" vertical="center"/>
    </xf>
    <xf numFmtId="0" fontId="55" fillId="0" borderId="23" xfId="0" applyFont="1" applyBorder="1" applyAlignment="1">
      <alignment horizontal="center" vertical="center" wrapText="1"/>
    </xf>
    <xf numFmtId="0" fontId="56" fillId="0" borderId="23" xfId="0" applyFont="1" applyBorder="1" applyAlignment="1">
      <alignment horizontal="center" vertical="center" wrapText="1"/>
    </xf>
    <xf numFmtId="0" fontId="55" fillId="2" borderId="23" xfId="0" applyFont="1" applyFill="1" applyBorder="1" applyAlignment="1">
      <alignment horizontal="center" vertical="center"/>
    </xf>
    <xf numFmtId="0" fontId="56" fillId="2" borderId="23" xfId="0" applyFont="1" applyFill="1" applyBorder="1" applyAlignment="1">
      <alignment horizontal="center" vertical="center"/>
    </xf>
    <xf numFmtId="0" fontId="55" fillId="0" borderId="0" xfId="0" applyFont="1" applyAlignment="1">
      <alignment horizontal="center" vertical="center"/>
    </xf>
    <xf numFmtId="2" fontId="21" fillId="0" borderId="0" xfId="0" applyNumberFormat="1" applyFont="1" applyAlignment="1">
      <alignment horizontal="center" vertical="center"/>
    </xf>
    <xf numFmtId="2" fontId="56" fillId="0" borderId="23" xfId="0" applyNumberFormat="1" applyFont="1" applyBorder="1" applyAlignment="1">
      <alignment horizontal="center" vertical="center"/>
    </xf>
    <xf numFmtId="2" fontId="55" fillId="0" borderId="23" xfId="0" applyNumberFormat="1" applyFont="1" applyBorder="1" applyAlignment="1">
      <alignment horizontal="center" vertical="center"/>
    </xf>
    <xf numFmtId="2" fontId="56" fillId="2" borderId="23" xfId="0" applyNumberFormat="1" applyFont="1" applyFill="1" applyBorder="1" applyAlignment="1">
      <alignment horizontal="center" vertical="center"/>
    </xf>
    <xf numFmtId="2" fontId="55" fillId="2" borderId="23" xfId="0" applyNumberFormat="1" applyFont="1" applyFill="1" applyBorder="1" applyAlignment="1">
      <alignment horizontal="center" vertical="center"/>
    </xf>
    <xf numFmtId="2" fontId="55" fillId="0" borderId="0" xfId="0" applyNumberFormat="1" applyFont="1" applyAlignment="1">
      <alignment horizontal="center" vertical="center"/>
    </xf>
    <xf numFmtId="0" fontId="55" fillId="15" borderId="23" xfId="0" applyFont="1" applyFill="1" applyBorder="1" applyAlignment="1">
      <alignment horizontal="center" vertical="center"/>
    </xf>
    <xf numFmtId="2" fontId="55" fillId="15" borderId="23" xfId="0" applyNumberFormat="1" applyFont="1" applyFill="1" applyBorder="1" applyAlignment="1">
      <alignment horizontal="center" vertical="center"/>
    </xf>
    <xf numFmtId="2" fontId="4" fillId="5" borderId="13" xfId="0" applyNumberFormat="1" applyFont="1" applyFill="1" applyBorder="1" applyAlignment="1" applyProtection="1">
      <alignment horizontal="center" vertical="center"/>
      <protection locked="0"/>
    </xf>
    <xf numFmtId="0" fontId="8" fillId="3" borderId="15" xfId="0" applyFont="1" applyFill="1" applyBorder="1" applyAlignment="1" applyProtection="1">
      <alignment horizontal="center" vertical="center"/>
    </xf>
    <xf numFmtId="2" fontId="4" fillId="5" borderId="12" xfId="0" applyNumberFormat="1" applyFont="1" applyFill="1" applyBorder="1" applyAlignment="1" applyProtection="1">
      <alignment horizontal="center" vertical="center"/>
      <protection locked="0"/>
    </xf>
    <xf numFmtId="2" fontId="4" fillId="5" borderId="13" xfId="0" applyNumberFormat="1" applyFont="1" applyFill="1" applyBorder="1" applyAlignment="1" applyProtection="1">
      <alignment horizontal="center" vertical="center"/>
      <protection locked="0"/>
    </xf>
    <xf numFmtId="2" fontId="4" fillId="5" borderId="12" xfId="0" applyNumberFormat="1" applyFont="1" applyFill="1" applyBorder="1" applyAlignment="1" applyProtection="1">
      <alignment horizontal="center" vertical="center"/>
      <protection locked="0"/>
    </xf>
    <xf numFmtId="0" fontId="59" fillId="15" borderId="23" xfId="0" applyFont="1" applyFill="1" applyBorder="1" applyAlignment="1">
      <alignment horizontal="center"/>
    </xf>
    <xf numFmtId="0" fontId="60" fillId="0" borderId="0" xfId="0" applyFont="1" applyAlignment="1">
      <alignment horizontal="right" vertical="center"/>
    </xf>
    <xf numFmtId="2" fontId="55" fillId="20" borderId="0" xfId="0" applyNumberFormat="1" applyFont="1" applyFill="1" applyAlignment="1">
      <alignment horizontal="center" vertical="center"/>
    </xf>
    <xf numFmtId="0" fontId="0" fillId="14" borderId="23" xfId="0" applyFill="1" applyBorder="1"/>
    <xf numFmtId="0" fontId="22" fillId="2" borderId="0" xfId="0" applyFont="1" applyFill="1"/>
    <xf numFmtId="0" fontId="59" fillId="0" borderId="0" xfId="0" applyFont="1"/>
    <xf numFmtId="0" fontId="42" fillId="0" borderId="0" xfId="0" applyFont="1"/>
    <xf numFmtId="43" fontId="42" fillId="0" borderId="23" xfId="2" applyFont="1" applyBorder="1"/>
    <xf numFmtId="0" fontId="42" fillId="0" borderId="23" xfId="0" applyFont="1" applyBorder="1"/>
    <xf numFmtId="43" fontId="59" fillId="15" borderId="23" xfId="2" applyFont="1" applyFill="1" applyBorder="1"/>
    <xf numFmtId="43" fontId="59" fillId="15" borderId="23" xfId="0" applyNumberFormat="1" applyFont="1" applyFill="1" applyBorder="1"/>
    <xf numFmtId="2" fontId="4" fillId="5" borderId="13" xfId="0" applyNumberFormat="1" applyFont="1" applyFill="1" applyBorder="1" applyAlignment="1" applyProtection="1">
      <alignment horizontal="center" vertical="center"/>
      <protection locked="0"/>
    </xf>
    <xf numFmtId="2" fontId="4" fillId="5" borderId="12" xfId="0" applyNumberFormat="1" applyFont="1" applyFill="1" applyBorder="1" applyAlignment="1" applyProtection="1">
      <alignment horizontal="center" vertical="center"/>
      <protection locked="0"/>
    </xf>
    <xf numFmtId="0" fontId="50" fillId="0" borderId="61" xfId="0" applyFont="1" applyFill="1" applyBorder="1" applyAlignment="1">
      <alignment horizontal="center"/>
    </xf>
    <xf numFmtId="169" fontId="50" fillId="0" borderId="0" xfId="2" applyNumberFormat="1" applyFont="1"/>
    <xf numFmtId="0" fontId="25" fillId="0" borderId="0" xfId="3" applyFont="1" applyAlignment="1">
      <alignment vertical="top"/>
    </xf>
    <xf numFmtId="0" fontId="31" fillId="0" borderId="0" xfId="3" applyFont="1" applyAlignment="1">
      <alignment vertical="top"/>
    </xf>
    <xf numFmtId="0" fontId="31" fillId="12" borderId="0" xfId="3" applyFont="1" applyFill="1" applyAlignment="1">
      <alignment vertical="top"/>
    </xf>
    <xf numFmtId="0" fontId="31" fillId="0" borderId="0" xfId="3" applyFont="1" applyFill="1" applyAlignment="1">
      <alignment vertical="top"/>
    </xf>
    <xf numFmtId="0" fontId="31" fillId="13" borderId="0" xfId="3" applyFont="1" applyFill="1" applyAlignment="1">
      <alignment vertical="top"/>
    </xf>
    <xf numFmtId="0" fontId="33" fillId="0" borderId="0" xfId="3" applyFont="1" applyFill="1" applyAlignment="1">
      <alignment vertical="top"/>
    </xf>
    <xf numFmtId="0" fontId="31" fillId="0" borderId="23" xfId="3" applyFont="1" applyFill="1" applyBorder="1" applyAlignment="1">
      <alignment vertical="top"/>
    </xf>
    <xf numFmtId="0" fontId="31" fillId="0" borderId="0" xfId="3" applyFont="1" applyAlignment="1">
      <alignment horizontal="center" vertical="top" wrapText="1"/>
    </xf>
    <xf numFmtId="0" fontId="31" fillId="2" borderId="0" xfId="3" applyFont="1" applyFill="1" applyAlignment="1">
      <alignment vertical="top"/>
    </xf>
    <xf numFmtId="164" fontId="5" fillId="13" borderId="0" xfId="10" applyFont="1" applyFill="1" applyBorder="1" applyAlignment="1">
      <alignment vertical="top"/>
    </xf>
    <xf numFmtId="4" fontId="32" fillId="0" borderId="0" xfId="4" applyNumberFormat="1" applyFont="1" applyAlignment="1">
      <alignment horizontal="right" vertical="top"/>
    </xf>
    <xf numFmtId="0" fontId="32" fillId="0" borderId="0" xfId="3" applyFont="1" applyAlignment="1">
      <alignment horizontal="center" vertical="top"/>
    </xf>
    <xf numFmtId="0" fontId="32" fillId="0" borderId="0" xfId="3" applyFont="1" applyAlignment="1">
      <alignment vertical="top" wrapText="1"/>
    </xf>
    <xf numFmtId="0" fontId="0" fillId="0" borderId="0" xfId="0" applyFill="1"/>
    <xf numFmtId="0" fontId="38" fillId="0" borderId="23" xfId="407" applyFont="1" applyFill="1" applyBorder="1" applyAlignment="1">
      <alignment vertical="top"/>
    </xf>
    <xf numFmtId="0" fontId="5" fillId="0" borderId="0" xfId="3702"/>
    <xf numFmtId="0" fontId="39" fillId="13" borderId="23" xfId="407" applyFont="1" applyFill="1" applyBorder="1" applyAlignment="1">
      <alignment horizontal="left" vertical="top" wrapText="1"/>
    </xf>
    <xf numFmtId="0" fontId="38" fillId="0" borderId="37" xfId="407" applyFont="1" applyBorder="1" applyAlignment="1">
      <alignment vertical="top" wrapText="1"/>
    </xf>
    <xf numFmtId="4" fontId="39" fillId="13" borderId="23" xfId="2910" applyNumberFormat="1" applyFont="1" applyFill="1" applyBorder="1" applyAlignment="1">
      <alignment horizontal="center" vertical="top"/>
    </xf>
    <xf numFmtId="4" fontId="39" fillId="13" borderId="23" xfId="407" applyNumberFormat="1" applyFont="1" applyFill="1" applyBorder="1" applyAlignment="1">
      <alignment horizontal="center" vertical="top"/>
    </xf>
    <xf numFmtId="0" fontId="39" fillId="0" borderId="37" xfId="407" applyFont="1" applyBorder="1" applyAlignment="1">
      <alignment vertical="top" wrapText="1"/>
    </xf>
    <xf numFmtId="0" fontId="26" fillId="0" borderId="26" xfId="407" applyFont="1" applyBorder="1" applyAlignment="1">
      <alignment vertical="top" wrapText="1"/>
    </xf>
    <xf numFmtId="0" fontId="26" fillId="0" borderId="27" xfId="407" applyFont="1" applyBorder="1" applyAlignment="1">
      <alignment horizontal="left" vertical="top"/>
    </xf>
    <xf numFmtId="0" fontId="26" fillId="0" borderId="0" xfId="407" applyFont="1" applyBorder="1" applyAlignment="1">
      <alignment horizontal="center" vertical="top" wrapText="1"/>
    </xf>
    <xf numFmtId="0" fontId="26" fillId="0" borderId="0" xfId="407" applyFont="1" applyBorder="1" applyAlignment="1">
      <alignment horizontal="center" vertical="top"/>
    </xf>
    <xf numFmtId="4" fontId="26" fillId="0" borderId="0" xfId="2910" applyNumberFormat="1" applyFont="1" applyBorder="1" applyAlignment="1">
      <alignment horizontal="right" vertical="top"/>
    </xf>
    <xf numFmtId="4" fontId="26" fillId="0" borderId="0" xfId="2910" applyNumberFormat="1" applyFont="1" applyBorder="1" applyAlignment="1">
      <alignment horizontal="left" vertical="top"/>
    </xf>
    <xf numFmtId="14" fontId="26" fillId="0" borderId="0" xfId="2910" applyNumberFormat="1" applyFont="1" applyBorder="1" applyAlignment="1">
      <alignment horizontal="right" vertical="top"/>
    </xf>
    <xf numFmtId="0" fontId="26" fillId="0" borderId="28" xfId="407" applyFont="1" applyBorder="1" applyAlignment="1">
      <alignment vertical="top" wrapText="1"/>
    </xf>
    <xf numFmtId="0" fontId="26" fillId="13" borderId="27" xfId="407" applyFont="1" applyFill="1" applyBorder="1" applyAlignment="1">
      <alignment horizontal="left" vertical="top"/>
    </xf>
    <xf numFmtId="0" fontId="26" fillId="13" borderId="0" xfId="407" applyFont="1" applyFill="1" applyBorder="1" applyAlignment="1">
      <alignment horizontal="center" vertical="top" wrapText="1"/>
    </xf>
    <xf numFmtId="4" fontId="28" fillId="13" borderId="0" xfId="2910" applyNumberFormat="1" applyFont="1" applyFill="1" applyBorder="1" applyAlignment="1">
      <alignment horizontal="right" vertical="top"/>
    </xf>
    <xf numFmtId="4" fontId="29" fillId="13" borderId="0" xfId="2910" applyNumberFormat="1" applyFont="1" applyFill="1" applyBorder="1" applyAlignment="1">
      <alignment horizontal="right" vertical="top"/>
    </xf>
    <xf numFmtId="0" fontId="26" fillId="0" borderId="48" xfId="407" applyFont="1" applyBorder="1" applyAlignment="1">
      <alignment horizontal="center" vertical="top" wrapText="1"/>
    </xf>
    <xf numFmtId="0" fontId="26" fillId="0" borderId="48" xfId="407" applyFont="1" applyBorder="1" applyAlignment="1">
      <alignment horizontal="center" vertical="top"/>
    </xf>
    <xf numFmtId="4" fontId="28" fillId="13" borderId="48" xfId="2910" applyNumberFormat="1" applyFont="1" applyFill="1" applyBorder="1" applyAlignment="1">
      <alignment horizontal="right" vertical="top"/>
    </xf>
    <xf numFmtId="4" fontId="29" fillId="13" borderId="48" xfId="2910" applyNumberFormat="1" applyFont="1" applyFill="1" applyBorder="1" applyAlignment="1">
      <alignment horizontal="right" vertical="top"/>
    </xf>
    <xf numFmtId="0" fontId="26" fillId="0" borderId="55" xfId="407" applyFont="1" applyBorder="1" applyAlignment="1">
      <alignment vertical="top" wrapText="1"/>
    </xf>
    <xf numFmtId="0" fontId="38" fillId="0" borderId="52" xfId="407" applyFont="1" applyBorder="1" applyAlignment="1">
      <alignment horizontal="center" vertical="top" wrapText="1"/>
    </xf>
    <xf numFmtId="0" fontId="38" fillId="0" borderId="43" xfId="407" applyFont="1" applyBorder="1" applyAlignment="1">
      <alignment horizontal="center" vertical="top" wrapText="1"/>
    </xf>
    <xf numFmtId="0" fontId="38" fillId="0" borderId="49" xfId="407" applyFont="1" applyBorder="1" applyAlignment="1">
      <alignment horizontal="center" vertical="top" wrapText="1"/>
    </xf>
    <xf numFmtId="0" fontId="28" fillId="0" borderId="0" xfId="407" applyFont="1" applyAlignment="1">
      <alignment vertical="top"/>
    </xf>
    <xf numFmtId="0" fontId="38" fillId="15" borderId="56" xfId="407" applyFont="1" applyFill="1" applyBorder="1" applyAlignment="1">
      <alignment horizontal="center" vertical="top"/>
    </xf>
    <xf numFmtId="0" fontId="38" fillId="15" borderId="57" xfId="407" applyFont="1" applyFill="1" applyBorder="1" applyAlignment="1">
      <alignment vertical="top" wrapText="1"/>
    </xf>
    <xf numFmtId="0" fontId="39" fillId="15" borderId="57" xfId="407" applyFont="1" applyFill="1" applyBorder="1" applyAlignment="1">
      <alignment horizontal="center" vertical="top"/>
    </xf>
    <xf numFmtId="4" fontId="39" fillId="15" borderId="57" xfId="2910" applyNumberFormat="1" applyFont="1" applyFill="1" applyBorder="1" applyAlignment="1">
      <alignment horizontal="right" vertical="top"/>
    </xf>
    <xf numFmtId="0" fontId="39" fillId="15" borderId="54" xfId="407" applyFont="1" applyFill="1" applyBorder="1" applyAlignment="1">
      <alignment vertical="top" wrapText="1"/>
    </xf>
    <xf numFmtId="0" fontId="38" fillId="13" borderId="36" xfId="407" applyFont="1" applyFill="1" applyBorder="1" applyAlignment="1">
      <alignment horizontal="center" vertical="top"/>
    </xf>
    <xf numFmtId="0" fontId="38" fillId="13" borderId="23" xfId="407" applyFont="1" applyFill="1" applyBorder="1" applyAlignment="1">
      <alignment vertical="top" wrapText="1"/>
    </xf>
    <xf numFmtId="0" fontId="38" fillId="13" borderId="23" xfId="407" quotePrefix="1" applyFont="1" applyFill="1" applyBorder="1" applyAlignment="1">
      <alignment vertical="top" wrapText="1"/>
    </xf>
    <xf numFmtId="0" fontId="39" fillId="13" borderId="36" xfId="407" applyFont="1" applyFill="1" applyBorder="1" applyAlignment="1">
      <alignment horizontal="center" vertical="top"/>
    </xf>
    <xf numFmtId="0" fontId="39" fillId="13" borderId="23" xfId="407" quotePrefix="1" applyFont="1" applyFill="1" applyBorder="1" applyAlignment="1">
      <alignment horizontal="left" vertical="top" wrapText="1"/>
    </xf>
    <xf numFmtId="0" fontId="39" fillId="13" borderId="23" xfId="407" quotePrefix="1" applyFont="1" applyFill="1" applyBorder="1" applyAlignment="1">
      <alignment horizontal="center" vertical="top" wrapText="1"/>
    </xf>
    <xf numFmtId="4" fontId="39" fillId="13" borderId="23" xfId="407" quotePrefix="1" applyNumberFormat="1" applyFont="1" applyFill="1" applyBorder="1" applyAlignment="1">
      <alignment horizontal="right" vertical="top" wrapText="1"/>
    </xf>
    <xf numFmtId="4" fontId="39" fillId="13" borderId="23" xfId="407" applyNumberFormat="1" applyFont="1" applyFill="1" applyBorder="1" applyAlignment="1">
      <alignment horizontal="center" vertical="top" wrapText="1"/>
    </xf>
    <xf numFmtId="0" fontId="39" fillId="13" borderId="23" xfId="407" applyFont="1" applyFill="1" applyBorder="1" applyAlignment="1">
      <alignment horizontal="center" vertical="top"/>
    </xf>
    <xf numFmtId="4" fontId="39" fillId="13" borderId="23" xfId="2910" applyNumberFormat="1" applyFont="1" applyFill="1" applyBorder="1" applyAlignment="1">
      <alignment horizontal="right" vertical="top"/>
    </xf>
    <xf numFmtId="0" fontId="39" fillId="2" borderId="23" xfId="407" applyFont="1" applyFill="1" applyBorder="1" applyAlignment="1">
      <alignment horizontal="left" vertical="top" wrapText="1"/>
    </xf>
    <xf numFmtId="0" fontId="39" fillId="2" borderId="23" xfId="407" applyFont="1" applyFill="1" applyBorder="1" applyAlignment="1">
      <alignment horizontal="center" vertical="top"/>
    </xf>
    <xf numFmtId="4" fontId="39" fillId="2" borderId="23" xfId="407" applyNumberFormat="1" applyFont="1" applyFill="1" applyBorder="1" applyAlignment="1">
      <alignment horizontal="center" vertical="top"/>
    </xf>
    <xf numFmtId="0" fontId="39" fillId="2" borderId="37" xfId="407" applyFont="1" applyFill="1" applyBorder="1" applyAlignment="1">
      <alignment horizontal="left" vertical="top" wrapText="1"/>
    </xf>
    <xf numFmtId="0" fontId="38" fillId="12" borderId="36" xfId="407" applyFont="1" applyFill="1" applyBorder="1" applyAlignment="1">
      <alignment horizontal="center" vertical="top"/>
    </xf>
    <xf numFmtId="0" fontId="38" fillId="12" borderId="23" xfId="407" quotePrefix="1" applyFont="1" applyFill="1" applyBorder="1" applyAlignment="1">
      <alignment vertical="top" wrapText="1"/>
    </xf>
    <xf numFmtId="0" fontId="39" fillId="16" borderId="37" xfId="407" applyFont="1" applyFill="1" applyBorder="1" applyAlignment="1">
      <alignment vertical="top" wrapText="1"/>
    </xf>
    <xf numFmtId="2" fontId="39" fillId="13" borderId="23" xfId="407" applyNumberFormat="1" applyFont="1" applyFill="1" applyBorder="1" applyAlignment="1">
      <alignment horizontal="center" vertical="top"/>
    </xf>
    <xf numFmtId="4" fontId="39" fillId="13" borderId="23" xfId="2929" applyNumberFormat="1" applyFont="1" applyFill="1" applyBorder="1" applyAlignment="1">
      <alignment horizontal="right" vertical="top"/>
    </xf>
    <xf numFmtId="0" fontId="39" fillId="0" borderId="23" xfId="407" applyFont="1" applyBorder="1" applyAlignment="1">
      <alignment horizontal="left" vertical="top" wrapText="1"/>
    </xf>
    <xf numFmtId="0" fontId="39" fillId="0" borderId="23" xfId="407" applyFont="1" applyBorder="1" applyAlignment="1">
      <alignment vertical="top"/>
    </xf>
    <xf numFmtId="0" fontId="39" fillId="13" borderId="23" xfId="407" applyFont="1" applyFill="1" applyBorder="1" applyAlignment="1">
      <alignment vertical="top" wrapText="1"/>
    </xf>
    <xf numFmtId="4" fontId="39" fillId="13" borderId="23" xfId="407" applyNumberFormat="1" applyFont="1" applyFill="1" applyBorder="1" applyAlignment="1">
      <alignment horizontal="right" vertical="top"/>
    </xf>
    <xf numFmtId="0" fontId="39" fillId="16" borderId="36" xfId="407" applyFont="1" applyFill="1" applyBorder="1" applyAlignment="1">
      <alignment horizontal="center" vertical="top"/>
    </xf>
    <xf numFmtId="0" fontId="39" fillId="16" borderId="23" xfId="407" applyFont="1" applyFill="1" applyBorder="1" applyAlignment="1">
      <alignment vertical="top" wrapText="1"/>
    </xf>
    <xf numFmtId="0" fontId="39" fillId="16" borderId="23" xfId="407" applyFont="1" applyFill="1" applyBorder="1" applyAlignment="1">
      <alignment horizontal="center" vertical="top"/>
    </xf>
    <xf numFmtId="4" fontId="39" fillId="16" borderId="23" xfId="407" applyNumberFormat="1" applyFont="1" applyFill="1" applyBorder="1" applyAlignment="1">
      <alignment horizontal="right" vertical="top"/>
    </xf>
    <xf numFmtId="4" fontId="39" fillId="16" borderId="23" xfId="2910" applyNumberFormat="1" applyFont="1" applyFill="1" applyBorder="1" applyAlignment="1">
      <alignment horizontal="right" vertical="top"/>
    </xf>
    <xf numFmtId="4" fontId="39" fillId="16" borderId="23" xfId="407" quotePrefix="1" applyNumberFormat="1" applyFont="1" applyFill="1" applyBorder="1" applyAlignment="1">
      <alignment horizontal="right" vertical="top" wrapText="1"/>
    </xf>
    <xf numFmtId="0" fontId="39" fillId="13" borderId="23" xfId="407" applyFont="1" applyFill="1" applyBorder="1" applyAlignment="1">
      <alignment horizontal="center" vertical="top" wrapText="1"/>
    </xf>
    <xf numFmtId="0" fontId="39" fillId="2" borderId="37" xfId="407" applyFont="1" applyFill="1" applyBorder="1" applyAlignment="1">
      <alignment horizontal="justify" vertical="top" wrapText="1"/>
    </xf>
    <xf numFmtId="0" fontId="28" fillId="13" borderId="0" xfId="407" applyFont="1" applyFill="1" applyAlignment="1">
      <alignment vertical="top"/>
    </xf>
    <xf numFmtId="166" fontId="40" fillId="17" borderId="23" xfId="407" applyNumberFormat="1" applyFont="1" applyFill="1" applyBorder="1" applyAlignment="1">
      <alignment horizontal="center" vertical="top" wrapText="1"/>
    </xf>
    <xf numFmtId="166" fontId="32" fillId="2" borderId="23" xfId="407" applyNumberFormat="1" applyFont="1" applyFill="1" applyBorder="1" applyAlignment="1">
      <alignment horizontal="center" vertical="top" wrapText="1"/>
    </xf>
    <xf numFmtId="0" fontId="38" fillId="13" borderId="23" xfId="407" applyFont="1" applyFill="1" applyBorder="1" applyAlignment="1">
      <alignment horizontal="left" vertical="top" wrapText="1"/>
    </xf>
    <xf numFmtId="0" fontId="38" fillId="2" borderId="37" xfId="407" applyFont="1" applyFill="1" applyBorder="1" applyAlignment="1">
      <alignment horizontal="justify" vertical="top" wrapText="1"/>
    </xf>
    <xf numFmtId="0" fontId="28" fillId="0" borderId="0" xfId="407" applyFont="1" applyFill="1" applyAlignment="1">
      <alignment vertical="top"/>
    </xf>
    <xf numFmtId="0" fontId="39" fillId="0" borderId="36" xfId="407" applyFont="1" applyFill="1" applyBorder="1" applyAlignment="1">
      <alignment horizontal="center" vertical="top"/>
    </xf>
    <xf numFmtId="0" fontId="39" fillId="0" borderId="23" xfId="407" applyFont="1" applyFill="1" applyBorder="1" applyAlignment="1">
      <alignment horizontal="left" vertical="top" wrapText="1"/>
    </xf>
    <xf numFmtId="0" fontId="39" fillId="0" borderId="23" xfId="407" applyFont="1" applyFill="1" applyBorder="1" applyAlignment="1">
      <alignment horizontal="center" vertical="top"/>
    </xf>
    <xf numFmtId="43" fontId="39" fillId="0" borderId="23" xfId="2910" applyFont="1" applyFill="1" applyBorder="1" applyAlignment="1">
      <alignment horizontal="center" vertical="top"/>
    </xf>
    <xf numFmtId="43" fontId="39" fillId="0" borderId="23" xfId="2910" applyFont="1" applyFill="1" applyBorder="1" applyAlignment="1">
      <alignment horizontal="right" vertical="top"/>
    </xf>
    <xf numFmtId="43" fontId="39" fillId="0" borderId="23" xfId="2910" quotePrefix="1" applyFont="1" applyFill="1" applyBorder="1" applyAlignment="1">
      <alignment horizontal="right" vertical="top" wrapText="1"/>
    </xf>
    <xf numFmtId="0" fontId="39" fillId="0" borderId="37" xfId="407" applyFont="1" applyFill="1" applyBorder="1" applyAlignment="1">
      <alignment vertical="top"/>
    </xf>
    <xf numFmtId="0" fontId="39" fillId="0" borderId="37" xfId="407" applyFont="1" applyFill="1" applyBorder="1" applyAlignment="1">
      <alignment vertical="top" wrapText="1"/>
    </xf>
    <xf numFmtId="0" fontId="38" fillId="12" borderId="23" xfId="407" applyFont="1" applyFill="1" applyBorder="1" applyAlignment="1">
      <alignment vertical="top" wrapText="1"/>
    </xf>
    <xf numFmtId="0" fontId="38" fillId="12" borderId="23" xfId="407" applyFont="1" applyFill="1" applyBorder="1" applyAlignment="1">
      <alignment horizontal="center" vertical="top" wrapText="1"/>
    </xf>
    <xf numFmtId="164" fontId="39" fillId="0" borderId="23" xfId="1987" applyFont="1" applyFill="1" applyBorder="1" applyAlignment="1">
      <alignment horizontal="center" vertical="top"/>
    </xf>
    <xf numFmtId="164" fontId="39" fillId="13" borderId="23" xfId="1987" applyFont="1" applyFill="1" applyBorder="1" applyAlignment="1">
      <alignment horizontal="center" vertical="top"/>
    </xf>
    <xf numFmtId="0" fontId="39" fillId="0" borderId="37" xfId="407" applyFont="1" applyBorder="1" applyAlignment="1">
      <alignment horizontal="center" vertical="top" wrapText="1"/>
    </xf>
    <xf numFmtId="0" fontId="38" fillId="12" borderId="23" xfId="407" applyFont="1" applyFill="1" applyBorder="1" applyAlignment="1">
      <alignment vertical="top"/>
    </xf>
    <xf numFmtId="167" fontId="39" fillId="13" borderId="23" xfId="2910" applyNumberFormat="1" applyFont="1" applyFill="1" applyBorder="1" applyAlignment="1">
      <alignment horizontal="right" vertical="top"/>
    </xf>
    <xf numFmtId="164" fontId="39" fillId="13" borderId="23" xfId="1987" applyFont="1" applyFill="1" applyBorder="1" applyAlignment="1">
      <alignment horizontal="left" vertical="top"/>
    </xf>
    <xf numFmtId="0" fontId="38" fillId="0" borderId="23" xfId="407" applyFont="1" applyBorder="1" applyAlignment="1">
      <alignment vertical="top"/>
    </xf>
    <xf numFmtId="4" fontId="39" fillId="0" borderId="23" xfId="407" applyNumberFormat="1" applyFont="1" applyBorder="1" applyAlignment="1">
      <alignment vertical="top"/>
    </xf>
    <xf numFmtId="0" fontId="39" fillId="2" borderId="37" xfId="407" applyFont="1" applyFill="1" applyBorder="1" applyAlignment="1">
      <alignment vertical="top" wrapText="1"/>
    </xf>
    <xf numFmtId="0" fontId="38" fillId="12" borderId="23" xfId="407" quotePrefix="1" applyFont="1" applyFill="1" applyBorder="1" applyAlignment="1">
      <alignment vertical="top"/>
    </xf>
    <xf numFmtId="0" fontId="38" fillId="12" borderId="23" xfId="407" quotePrefix="1" applyFont="1" applyFill="1" applyBorder="1" applyAlignment="1">
      <alignment horizontal="center" vertical="top"/>
    </xf>
    <xf numFmtId="2" fontId="39" fillId="13" borderId="23" xfId="407" applyNumberFormat="1" applyFont="1" applyFill="1" applyBorder="1" applyAlignment="1">
      <alignment horizontal="center" vertical="top" wrapText="1"/>
    </xf>
    <xf numFmtId="4" fontId="32" fillId="13" borderId="23" xfId="407" applyNumberFormat="1" applyFont="1" applyFill="1" applyBorder="1" applyAlignment="1">
      <alignment horizontal="right" vertical="top" wrapText="1"/>
    </xf>
    <xf numFmtId="0" fontId="38" fillId="13" borderId="36" xfId="407" applyFont="1" applyFill="1" applyBorder="1" applyAlignment="1">
      <alignment vertical="top" wrapText="1"/>
    </xf>
    <xf numFmtId="4" fontId="38" fillId="13" borderId="23" xfId="2910" applyNumberFormat="1" applyFont="1" applyFill="1" applyBorder="1" applyAlignment="1">
      <alignment horizontal="right" vertical="top"/>
    </xf>
    <xf numFmtId="0" fontId="38" fillId="12" borderId="36" xfId="407" applyFont="1" applyFill="1" applyBorder="1" applyAlignment="1">
      <alignment horizontal="center" vertical="top" wrapText="1"/>
    </xf>
    <xf numFmtId="0" fontId="28" fillId="0" borderId="0" xfId="407" applyFont="1" applyAlignment="1">
      <alignment horizontal="center" vertical="top" wrapText="1"/>
    </xf>
    <xf numFmtId="164" fontId="39" fillId="13" borderId="23" xfId="268" applyFont="1" applyFill="1" applyBorder="1" applyAlignment="1">
      <alignment horizontal="center" vertical="top"/>
    </xf>
    <xf numFmtId="4" fontId="39" fillId="13" borderId="23" xfId="407" applyNumberFormat="1" applyFont="1" applyFill="1" applyBorder="1" applyAlignment="1">
      <alignment vertical="top" wrapText="1"/>
    </xf>
    <xf numFmtId="0" fontId="38" fillId="0" borderId="36" xfId="407" applyFont="1" applyFill="1" applyBorder="1" applyAlignment="1">
      <alignment horizontal="center" vertical="top"/>
    </xf>
    <xf numFmtId="0" fontId="32" fillId="0" borderId="0" xfId="407" applyFont="1" applyAlignment="1">
      <alignment horizontal="center" vertical="top"/>
    </xf>
    <xf numFmtId="0" fontId="32" fillId="0" borderId="0" xfId="407" applyFont="1" applyAlignment="1">
      <alignment vertical="top" wrapText="1"/>
    </xf>
    <xf numFmtId="4" fontId="32" fillId="0" borderId="0" xfId="2910" applyNumberFormat="1" applyFont="1" applyAlignment="1">
      <alignment horizontal="right" vertical="top"/>
    </xf>
    <xf numFmtId="0" fontId="28" fillId="0" borderId="0" xfId="407" applyFont="1" applyAlignment="1">
      <alignment vertical="top" wrapText="1"/>
    </xf>
    <xf numFmtId="0" fontId="39" fillId="14" borderId="23" xfId="407" applyFont="1" applyFill="1" applyBorder="1" applyAlignment="1">
      <alignment horizontal="left" vertical="top" wrapText="1"/>
    </xf>
    <xf numFmtId="0" fontId="38" fillId="0" borderId="23" xfId="407" applyFont="1" applyFill="1" applyBorder="1" applyAlignment="1">
      <alignment vertical="top" wrapText="1"/>
    </xf>
    <xf numFmtId="0" fontId="38" fillId="14" borderId="23" xfId="407" applyFont="1" applyFill="1" applyBorder="1" applyAlignment="1">
      <alignment vertical="top" wrapText="1"/>
    </xf>
    <xf numFmtId="164" fontId="39" fillId="13" borderId="23" xfId="268" applyFont="1" applyFill="1" applyBorder="1" applyAlignment="1">
      <alignment horizontal="right" vertical="top"/>
    </xf>
    <xf numFmtId="0" fontId="7" fillId="6" borderId="4" xfId="1" applyFont="1" applyFill="1" applyBorder="1" applyAlignment="1" applyProtection="1">
      <alignment horizontal="center" vertical="center"/>
    </xf>
    <xf numFmtId="0" fontId="123" fillId="0" borderId="23" xfId="3" applyFont="1" applyFill="1" applyBorder="1" applyAlignment="1">
      <alignment vertical="top" wrapText="1" shrinkToFit="1"/>
    </xf>
    <xf numFmtId="0" fontId="32" fillId="0" borderId="23" xfId="3" applyFont="1" applyFill="1" applyBorder="1" applyAlignment="1">
      <alignment horizontal="left" vertical="top" wrapText="1"/>
    </xf>
    <xf numFmtId="0" fontId="5" fillId="13" borderId="23" xfId="0" applyFont="1" applyFill="1" applyBorder="1" applyAlignment="1">
      <alignment vertical="top" wrapText="1"/>
    </xf>
    <xf numFmtId="0" fontId="0" fillId="2" borderId="23" xfId="0" applyFill="1" applyBorder="1"/>
    <xf numFmtId="4" fontId="8" fillId="3" borderId="94" xfId="0" applyNumberFormat="1" applyFont="1" applyFill="1" applyBorder="1" applyAlignment="1" applyProtection="1">
      <alignment vertical="center"/>
    </xf>
    <xf numFmtId="2" fontId="8" fillId="3" borderId="94" xfId="0" applyNumberFormat="1" applyFont="1" applyFill="1" applyBorder="1" applyAlignment="1" applyProtection="1">
      <alignment vertical="center"/>
    </xf>
    <xf numFmtId="0" fontId="4" fillId="3" borderId="23" xfId="0" applyFont="1" applyFill="1" applyBorder="1" applyAlignment="1" applyProtection="1">
      <alignment vertical="center"/>
    </xf>
    <xf numFmtId="0" fontId="4" fillId="5" borderId="23" xfId="0" applyFont="1" applyFill="1" applyBorder="1" applyAlignment="1" applyProtection="1">
      <alignment vertical="center"/>
    </xf>
    <xf numFmtId="2" fontId="0" fillId="2" borderId="23" xfId="0" applyNumberFormat="1" applyFill="1" applyBorder="1"/>
    <xf numFmtId="4" fontId="32" fillId="0" borderId="92" xfId="4" applyNumberFormat="1" applyFont="1" applyBorder="1" applyAlignment="1">
      <alignment horizontal="right" vertical="top"/>
    </xf>
    <xf numFmtId="0" fontId="6" fillId="13" borderId="61" xfId="3" applyFont="1" applyFill="1" applyBorder="1" applyAlignment="1">
      <alignment vertical="top"/>
    </xf>
    <xf numFmtId="0" fontId="5" fillId="13" borderId="61" xfId="3" applyFill="1" applyBorder="1" applyAlignment="1">
      <alignment horizontal="center" vertical="top"/>
    </xf>
    <xf numFmtId="4" fontId="32" fillId="0" borderId="50" xfId="4" applyNumberFormat="1" applyFont="1" applyBorder="1" applyAlignment="1">
      <alignment horizontal="right" vertical="top"/>
    </xf>
    <xf numFmtId="4" fontId="31" fillId="0" borderId="0" xfId="3" applyNumberFormat="1" applyFont="1" applyAlignment="1">
      <alignment vertical="top"/>
    </xf>
    <xf numFmtId="0" fontId="6" fillId="13" borderId="0" xfId="3" applyFont="1" applyFill="1" applyBorder="1" applyAlignment="1">
      <alignment horizontal="left" vertical="top"/>
    </xf>
    <xf numFmtId="0" fontId="5" fillId="13" borderId="0" xfId="3" applyFill="1" applyBorder="1" applyAlignment="1">
      <alignment horizontal="left" vertical="top" wrapText="1"/>
    </xf>
    <xf numFmtId="0" fontId="32" fillId="0" borderId="0" xfId="3" applyFont="1" applyAlignment="1">
      <alignment horizontal="left" vertical="top" wrapText="1"/>
    </xf>
    <xf numFmtId="164" fontId="5" fillId="13" borderId="0" xfId="10" applyFont="1" applyFill="1" applyBorder="1" applyAlignment="1">
      <alignment horizontal="center" vertical="top"/>
    </xf>
    <xf numFmtId="0" fontId="7" fillId="6" borderId="4" xfId="1" applyFont="1" applyFill="1" applyBorder="1" applyAlignment="1" applyProtection="1">
      <alignment horizontal="center" vertical="center"/>
    </xf>
    <xf numFmtId="0" fontId="7" fillId="6" borderId="0" xfId="1" applyFont="1" applyFill="1" applyBorder="1" applyAlignment="1" applyProtection="1">
      <alignment horizontal="center" vertical="center"/>
    </xf>
    <xf numFmtId="0" fontId="7" fillId="6" borderId="5" xfId="1"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2" fontId="4" fillId="5" borderId="13" xfId="0" applyNumberFormat="1" applyFont="1" applyFill="1" applyBorder="1" applyAlignment="1" applyProtection="1">
      <alignment horizontal="center" vertical="center"/>
      <protection locked="0"/>
    </xf>
    <xf numFmtId="0" fontId="8" fillId="3" borderId="15" xfId="0" applyFont="1" applyFill="1" applyBorder="1" applyAlignment="1" applyProtection="1">
      <alignment horizontal="center" vertical="center"/>
    </xf>
    <xf numFmtId="2" fontId="4" fillId="5" borderId="12" xfId="0" applyNumberFormat="1" applyFont="1" applyFill="1" applyBorder="1" applyAlignment="1" applyProtection="1">
      <alignment horizontal="center" vertical="center"/>
      <protection locked="0"/>
    </xf>
    <xf numFmtId="0" fontId="127" fillId="3" borderId="0" xfId="0" applyFont="1" applyFill="1" applyBorder="1" applyAlignment="1" applyProtection="1">
      <alignment vertical="center"/>
    </xf>
    <xf numFmtId="0" fontId="32" fillId="0" borderId="61" xfId="3" applyFont="1" applyBorder="1" applyAlignment="1">
      <alignment horizontal="center" vertical="top"/>
    </xf>
    <xf numFmtId="0" fontId="32" fillId="0" borderId="0" xfId="3" applyFont="1" applyBorder="1" applyAlignment="1">
      <alignment horizontal="left" vertical="top" wrapText="1"/>
    </xf>
    <xf numFmtId="0" fontId="32" fillId="0" borderId="0" xfId="3" applyFont="1" applyBorder="1" applyAlignment="1">
      <alignment horizontal="center" vertical="top"/>
    </xf>
    <xf numFmtId="0" fontId="30" fillId="0" borderId="42" xfId="3" applyNumberFormat="1" applyFont="1" applyBorder="1" applyAlignment="1">
      <alignment horizontal="left" vertical="top" wrapText="1"/>
    </xf>
    <xf numFmtId="0" fontId="30" fillId="0" borderId="44" xfId="3" applyNumberFormat="1" applyFont="1" applyBorder="1" applyAlignment="1">
      <alignment horizontal="left" vertical="top" wrapText="1"/>
    </xf>
    <xf numFmtId="0" fontId="32" fillId="0" borderId="42" xfId="3" applyFont="1" applyBorder="1" applyAlignment="1">
      <alignment horizontal="center" vertical="top"/>
    </xf>
    <xf numFmtId="0" fontId="32" fillId="0" borderId="44" xfId="3" applyFont="1" applyBorder="1" applyAlignment="1">
      <alignment horizontal="left" vertical="top" wrapText="1"/>
    </xf>
    <xf numFmtId="0" fontId="32" fillId="0" borderId="44" xfId="3" applyFont="1" applyBorder="1" applyAlignment="1">
      <alignment horizontal="center" vertical="top"/>
    </xf>
    <xf numFmtId="0" fontId="27" fillId="0" borderId="38" xfId="3" applyFont="1" applyBorder="1" applyAlignment="1">
      <alignment horizontal="left" vertical="top"/>
    </xf>
    <xf numFmtId="0" fontId="26" fillId="0" borderId="40" xfId="3" applyFont="1" applyBorder="1" applyAlignment="1">
      <alignment horizontal="left" vertical="top" wrapText="1"/>
    </xf>
    <xf numFmtId="0" fontId="26" fillId="0" borderId="40" xfId="3" applyFont="1" applyBorder="1" applyAlignment="1">
      <alignment horizontal="center" vertical="top"/>
    </xf>
    <xf numFmtId="0" fontId="26" fillId="0" borderId="40" xfId="3" applyFont="1" applyBorder="1" applyAlignment="1">
      <alignment horizontal="center" vertical="top" wrapText="1"/>
    </xf>
    <xf numFmtId="4" fontId="26" fillId="0" borderId="40" xfId="4" applyNumberFormat="1" applyFont="1" applyBorder="1" applyAlignment="1">
      <alignment horizontal="right" vertical="top"/>
    </xf>
    <xf numFmtId="0" fontId="27" fillId="13" borderId="38" xfId="3" applyFont="1" applyFill="1" applyBorder="1" applyAlignment="1">
      <alignment horizontal="left" vertical="top"/>
    </xf>
    <xf numFmtId="0" fontId="26" fillId="13" borderId="40" xfId="3" applyFont="1" applyFill="1" applyBorder="1" applyAlignment="1">
      <alignment horizontal="left" vertical="top" wrapText="1"/>
    </xf>
    <xf numFmtId="0" fontId="26" fillId="13" borderId="40" xfId="3" applyFont="1" applyFill="1" applyBorder="1" applyAlignment="1">
      <alignment horizontal="center" vertical="top"/>
    </xf>
    <xf numFmtId="0" fontId="26" fillId="13" borderId="40" xfId="3" applyFont="1" applyFill="1" applyBorder="1" applyAlignment="1">
      <alignment horizontal="center" vertical="top" wrapText="1"/>
    </xf>
    <xf numFmtId="4" fontId="28" fillId="13" borderId="40" xfId="4" applyNumberFormat="1" applyFont="1" applyFill="1" applyBorder="1" applyAlignment="1">
      <alignment horizontal="right" vertical="top"/>
    </xf>
    <xf numFmtId="4" fontId="29" fillId="13" borderId="39" xfId="4" applyNumberFormat="1" applyFont="1" applyFill="1" applyBorder="1" applyAlignment="1">
      <alignment horizontal="right" vertical="top"/>
    </xf>
    <xf numFmtId="0" fontId="129" fillId="18" borderId="23" xfId="0" applyFont="1" applyFill="1" applyBorder="1" applyAlignment="1">
      <alignment horizontal="center" vertical="center"/>
    </xf>
    <xf numFmtId="0" fontId="129" fillId="18" borderId="23" xfId="0" applyFont="1" applyFill="1" applyBorder="1" applyAlignment="1">
      <alignment horizontal="center" vertical="center" wrapText="1"/>
    </xf>
    <xf numFmtId="2" fontId="129" fillId="18" borderId="23" xfId="0" applyNumberFormat="1" applyFont="1" applyFill="1" applyBorder="1" applyAlignment="1">
      <alignment horizontal="center" vertical="center" wrapText="1"/>
    </xf>
    <xf numFmtId="0" fontId="130" fillId="0" borderId="0" xfId="0" applyFont="1" applyAlignment="1">
      <alignment horizontal="center" vertical="center"/>
    </xf>
    <xf numFmtId="0" fontId="32" fillId="0" borderId="44" xfId="3" applyFont="1" applyBorder="1" applyAlignment="1">
      <alignment horizontal="center" vertical="top" wrapText="1"/>
    </xf>
    <xf numFmtId="0" fontId="32" fillId="0" borderId="0" xfId="3" applyFont="1" applyBorder="1" applyAlignment="1">
      <alignment horizontal="center" vertical="top" wrapText="1"/>
    </xf>
    <xf numFmtId="0" fontId="30" fillId="0" borderId="44" xfId="3" applyNumberFormat="1" applyFont="1" applyBorder="1" applyAlignment="1">
      <alignment horizontal="center" vertical="top" wrapText="1"/>
    </xf>
    <xf numFmtId="0" fontId="6" fillId="13" borderId="0" xfId="3" applyFont="1" applyFill="1" applyBorder="1" applyAlignment="1">
      <alignment horizontal="center" vertical="top"/>
    </xf>
    <xf numFmtId="0" fontId="5" fillId="13" borderId="0" xfId="3" applyFill="1" applyBorder="1" applyAlignment="1">
      <alignment horizontal="center" vertical="top" wrapText="1"/>
    </xf>
    <xf numFmtId="0" fontId="32" fillId="0" borderId="0" xfId="3" applyFont="1" applyAlignment="1">
      <alignment horizontal="center" vertical="top" wrapText="1"/>
    </xf>
    <xf numFmtId="4" fontId="30" fillId="0" borderId="44" xfId="3" applyNumberFormat="1" applyFont="1" applyBorder="1" applyAlignment="1">
      <alignment horizontal="left" vertical="top" wrapText="1"/>
    </xf>
    <xf numFmtId="4" fontId="5" fillId="13" borderId="0" xfId="3" applyNumberFormat="1" applyFill="1" applyBorder="1" applyAlignment="1">
      <alignment vertical="top"/>
    </xf>
    <xf numFmtId="0" fontId="0" fillId="0" borderId="23" xfId="0" applyBorder="1" applyAlignment="1">
      <alignment wrapText="1"/>
    </xf>
    <xf numFmtId="0" fontId="22" fillId="14" borderId="81" xfId="0" applyFont="1" applyFill="1" applyBorder="1"/>
    <xf numFmtId="0" fontId="22" fillId="14" borderId="0" xfId="0" applyFont="1" applyFill="1"/>
    <xf numFmtId="43" fontId="22" fillId="14" borderId="0" xfId="2" applyFont="1" applyFill="1"/>
    <xf numFmtId="0" fontId="22" fillId="14" borderId="23" xfId="0" applyFont="1" applyFill="1" applyBorder="1"/>
    <xf numFmtId="0" fontId="0" fillId="14" borderId="23" xfId="0" applyFill="1" applyBorder="1" applyAlignment="1">
      <alignment wrapText="1"/>
    </xf>
    <xf numFmtId="4" fontId="25" fillId="0" borderId="40" xfId="3" applyNumberFormat="1" applyFont="1" applyBorder="1" applyAlignment="1">
      <alignment horizontal="right" vertical="top"/>
    </xf>
    <xf numFmtId="4" fontId="30" fillId="0" borderId="44" xfId="3" applyNumberFormat="1" applyFont="1" applyBorder="1" applyAlignment="1">
      <alignment horizontal="right" vertical="top" wrapText="1"/>
    </xf>
    <xf numFmtId="4" fontId="5" fillId="13" borderId="0" xfId="10" applyNumberFormat="1" applyFont="1" applyFill="1" applyBorder="1" applyAlignment="1">
      <alignment horizontal="right" vertical="top"/>
    </xf>
    <xf numFmtId="4" fontId="39" fillId="13" borderId="23" xfId="2910" quotePrefix="1" applyNumberFormat="1" applyFont="1" applyFill="1" applyBorder="1" applyAlignment="1">
      <alignment horizontal="center" vertical="top"/>
    </xf>
    <xf numFmtId="4" fontId="39" fillId="13" borderId="23" xfId="2910" quotePrefix="1" applyNumberFormat="1" applyFont="1" applyFill="1" applyBorder="1" applyAlignment="1">
      <alignment horizontal="right" vertical="top"/>
    </xf>
    <xf numFmtId="0" fontId="106" fillId="20" borderId="23" xfId="74" applyFont="1" applyFill="1" applyBorder="1" applyAlignment="1">
      <alignment vertical="top"/>
    </xf>
    <xf numFmtId="0" fontId="106" fillId="20" borderId="23" xfId="74" applyFont="1" applyFill="1" applyBorder="1" applyAlignment="1">
      <alignment vertical="top" wrapText="1"/>
    </xf>
    <xf numFmtId="0" fontId="102" fillId="0" borderId="23" xfId="74" applyFont="1" applyBorder="1" applyAlignment="1">
      <alignment vertical="top"/>
    </xf>
    <xf numFmtId="0" fontId="102" fillId="0" borderId="23" xfId="74" applyFont="1" applyBorder="1" applyAlignment="1">
      <alignment vertical="top" wrapText="1"/>
    </xf>
    <xf numFmtId="0" fontId="124" fillId="0" borderId="23" xfId="3710" applyFont="1" applyBorder="1" applyAlignment="1">
      <alignment horizontal="center" vertical="top" wrapText="1"/>
    </xf>
    <xf numFmtId="0" fontId="124" fillId="0" borderId="23" xfId="3710" applyFont="1" applyBorder="1" applyAlignment="1">
      <alignment horizontal="left" vertical="top" wrapText="1"/>
    </xf>
    <xf numFmtId="0" fontId="124" fillId="0" borderId="38" xfId="3710" applyFont="1" applyBorder="1" applyAlignment="1">
      <alignment horizontal="center" vertical="top" wrapText="1"/>
    </xf>
    <xf numFmtId="164" fontId="102" fillId="0" borderId="23" xfId="269" applyNumberFormat="1" applyFont="1" applyBorder="1" applyAlignment="1">
      <alignment vertical="top"/>
    </xf>
    <xf numFmtId="0" fontId="131" fillId="0" borderId="38" xfId="3710" applyFont="1" applyFill="1" applyBorder="1" applyAlignment="1">
      <alignment horizontal="center" vertical="top" wrapText="1"/>
    </xf>
    <xf numFmtId="0" fontId="132" fillId="0" borderId="42" xfId="0" applyFont="1" applyFill="1" applyBorder="1" applyAlignment="1">
      <alignment vertical="top" wrapText="1"/>
    </xf>
    <xf numFmtId="0" fontId="132" fillId="0" borderId="44" xfId="0" applyFont="1" applyFill="1" applyBorder="1" applyAlignment="1">
      <alignment vertical="top" wrapText="1"/>
    </xf>
    <xf numFmtId="0" fontId="124" fillId="0" borderId="23" xfId="3710" applyFont="1" applyBorder="1" applyAlignment="1">
      <alignment horizontal="center" vertical="center" wrapText="1"/>
    </xf>
    <xf numFmtId="0" fontId="124" fillId="0" borderId="23" xfId="3710" applyFont="1" applyBorder="1" applyAlignment="1">
      <alignment horizontal="left" vertical="center" wrapText="1"/>
    </xf>
    <xf numFmtId="0" fontId="133" fillId="0" borderId="0" xfId="0" applyFont="1" applyAlignment="1">
      <alignment vertical="top"/>
    </xf>
    <xf numFmtId="4" fontId="106" fillId="20" borderId="23" xfId="269" applyNumberFormat="1" applyFont="1" applyFill="1" applyBorder="1" applyAlignment="1">
      <alignment vertical="top"/>
    </xf>
    <xf numFmtId="4" fontId="102" fillId="0" borderId="23" xfId="269" applyNumberFormat="1" applyFont="1" applyBorder="1" applyAlignment="1">
      <alignment vertical="top"/>
    </xf>
    <xf numFmtId="4" fontId="133" fillId="0" borderId="0" xfId="0" applyNumberFormat="1" applyFont="1" applyAlignment="1">
      <alignment vertical="top"/>
    </xf>
    <xf numFmtId="4" fontId="124" fillId="0" borderId="23" xfId="3710" applyNumberFormat="1" applyFont="1" applyBorder="1" applyAlignment="1">
      <alignment horizontal="center" vertical="top" wrapText="1"/>
    </xf>
    <xf numFmtId="4" fontId="133" fillId="0" borderId="23" xfId="0" applyNumberFormat="1" applyFont="1" applyBorder="1" applyAlignment="1">
      <alignment vertical="top"/>
    </xf>
    <xf numFmtId="0" fontId="134" fillId="0" borderId="23" xfId="0" applyFont="1" applyBorder="1" applyAlignment="1">
      <alignment vertical="top"/>
    </xf>
    <xf numFmtId="4" fontId="132" fillId="0" borderId="44" xfId="0" applyNumberFormat="1" applyFont="1" applyFill="1" applyBorder="1" applyAlignment="1">
      <alignment vertical="top" wrapText="1"/>
    </xf>
    <xf numFmtId="0" fontId="133" fillId="0" borderId="23" xfId="0" applyFont="1" applyBorder="1" applyAlignment="1">
      <alignment vertical="top"/>
    </xf>
    <xf numFmtId="0" fontId="124" fillId="0" borderId="23" xfId="3710" applyFont="1" applyBorder="1" applyAlignment="1" applyProtection="1">
      <alignment horizontal="center" vertical="center" wrapText="1"/>
      <protection locked="0"/>
    </xf>
    <xf numFmtId="0" fontId="124" fillId="0" borderId="23" xfId="3710" applyFont="1" applyBorder="1" applyAlignment="1" applyProtection="1">
      <alignment horizontal="left" vertical="center" wrapText="1"/>
      <protection locked="0"/>
    </xf>
    <xf numFmtId="4" fontId="124" fillId="0" borderId="23" xfId="3710" applyNumberFormat="1" applyFont="1" applyBorder="1" applyAlignment="1">
      <alignment horizontal="center" vertical="center" wrapText="1"/>
    </xf>
    <xf numFmtId="0" fontId="8" fillId="3" borderId="16" xfId="0" applyFont="1" applyFill="1" applyBorder="1" applyAlignment="1" applyProtection="1">
      <alignment horizontal="center" vertical="center" wrapText="1"/>
    </xf>
    <xf numFmtId="0" fontId="21" fillId="0" borderId="23" xfId="0" applyFont="1" applyBorder="1" applyAlignment="1">
      <alignment horizontal="center" vertical="center"/>
    </xf>
    <xf numFmtId="0" fontId="136" fillId="0" borderId="23" xfId="0" applyFont="1" applyBorder="1"/>
    <xf numFmtId="0" fontId="28" fillId="0" borderId="23" xfId="3" applyFont="1" applyFill="1" applyBorder="1" applyAlignment="1">
      <alignment horizontal="center" vertical="top"/>
    </xf>
    <xf numFmtId="0" fontId="134" fillId="0" borderId="0" xfId="0" applyFont="1"/>
    <xf numFmtId="0" fontId="134" fillId="0" borderId="0" xfId="0" applyFont="1" applyAlignment="1">
      <alignment wrapText="1"/>
    </xf>
    <xf numFmtId="0" fontId="133" fillId="0" borderId="23" xfId="0" applyFont="1" applyBorder="1" applyAlignment="1">
      <alignment vertical="top" wrapText="1"/>
    </xf>
    <xf numFmtId="0" fontId="137" fillId="10" borderId="23" xfId="0" applyFont="1" applyFill="1" applyBorder="1" applyAlignment="1">
      <alignment horizontal="center" vertical="top"/>
    </xf>
    <xf numFmtId="43" fontId="137" fillId="10" borderId="23" xfId="2" applyFont="1" applyFill="1" applyBorder="1" applyAlignment="1">
      <alignment horizontal="center" vertical="top"/>
    </xf>
    <xf numFmtId="0" fontId="127" fillId="0" borderId="0" xfId="0" applyFont="1" applyAlignment="1">
      <alignment vertical="top"/>
    </xf>
    <xf numFmtId="0" fontId="125" fillId="15" borderId="44" xfId="403" applyFont="1" applyFill="1" applyBorder="1" applyAlignment="1">
      <alignment vertical="top" wrapText="1"/>
    </xf>
    <xf numFmtId="0" fontId="126" fillId="15" borderId="44" xfId="403" applyFont="1" applyFill="1" applyBorder="1" applyAlignment="1">
      <alignment vertical="top" wrapText="1"/>
    </xf>
    <xf numFmtId="0" fontId="126" fillId="15" borderId="44" xfId="403" applyFont="1" applyFill="1" applyBorder="1" applyAlignment="1">
      <alignment horizontal="left" vertical="top" wrapText="1"/>
    </xf>
    <xf numFmtId="0" fontId="0" fillId="0" borderId="0" xfId="0" applyAlignment="1">
      <alignment vertical="top"/>
    </xf>
    <xf numFmtId="212" fontId="0" fillId="0" borderId="0" xfId="3721" applyNumberFormat="1" applyFont="1" applyAlignment="1">
      <alignment vertical="top"/>
    </xf>
    <xf numFmtId="0" fontId="133" fillId="0" borderId="23" xfId="0" applyFont="1" applyBorder="1" applyAlignment="1">
      <alignment horizontal="center" vertical="top"/>
    </xf>
    <xf numFmtId="0" fontId="124" fillId="0" borderId="43" xfId="3710" applyFont="1" applyBorder="1" applyAlignment="1">
      <alignment horizontal="center" vertical="center" wrapText="1"/>
    </xf>
    <xf numFmtId="0" fontId="134" fillId="0" borderId="23" xfId="0" applyFont="1" applyBorder="1" applyAlignment="1">
      <alignment wrapText="1"/>
    </xf>
    <xf numFmtId="0" fontId="106" fillId="20" borderId="23" xfId="74" applyFont="1" applyFill="1" applyBorder="1" applyAlignment="1">
      <alignment horizontal="center" vertical="top"/>
    </xf>
    <xf numFmtId="0" fontId="102" fillId="0" borderId="23" xfId="74" applyFont="1" applyBorder="1" applyAlignment="1">
      <alignment horizontal="center" vertical="top"/>
    </xf>
    <xf numFmtId="0" fontId="133" fillId="0" borderId="0" xfId="0" applyFont="1" applyAlignment="1">
      <alignment horizontal="center" vertical="top"/>
    </xf>
    <xf numFmtId="164" fontId="102" fillId="0" borderId="23" xfId="269" applyNumberFormat="1" applyFont="1" applyBorder="1" applyAlignment="1">
      <alignment horizontal="center" vertical="top"/>
    </xf>
    <xf numFmtId="0" fontId="132" fillId="0" borderId="44" xfId="0" applyFont="1" applyFill="1" applyBorder="1" applyAlignment="1">
      <alignment horizontal="center" vertical="top" wrapText="1"/>
    </xf>
    <xf numFmtId="0" fontId="138" fillId="0" borderId="23" xfId="0" applyFont="1" applyFill="1" applyBorder="1" applyAlignment="1">
      <alignment horizontal="left" wrapText="1"/>
    </xf>
    <xf numFmtId="0" fontId="132" fillId="0" borderId="42" xfId="0" applyFont="1" applyFill="1" applyBorder="1" applyAlignment="1">
      <alignment wrapText="1"/>
    </xf>
    <xf numFmtId="0" fontId="132" fillId="0" borderId="44" xfId="0" applyFont="1" applyFill="1" applyBorder="1" applyAlignment="1">
      <alignment wrapText="1"/>
    </xf>
    <xf numFmtId="0" fontId="139" fillId="0" borderId="23" xfId="0" applyFont="1" applyBorder="1"/>
    <xf numFmtId="0" fontId="8" fillId="3" borderId="0" xfId="0" applyFont="1" applyFill="1" applyBorder="1" applyAlignment="1" applyProtection="1">
      <alignment horizontal="left" vertical="center"/>
    </xf>
    <xf numFmtId="0" fontId="7" fillId="6" borderId="4" xfId="1" applyFont="1" applyFill="1" applyBorder="1" applyAlignment="1" applyProtection="1">
      <alignment horizontal="center" vertical="center"/>
    </xf>
    <xf numFmtId="0" fontId="137" fillId="10" borderId="23" xfId="0" applyFont="1" applyFill="1" applyBorder="1"/>
    <xf numFmtId="43" fontId="137" fillId="10" borderId="23" xfId="2" applyFont="1" applyFill="1" applyBorder="1"/>
    <xf numFmtId="43" fontId="137" fillId="10" borderId="23" xfId="0" applyNumberFormat="1" applyFont="1" applyFill="1" applyBorder="1"/>
    <xf numFmtId="0" fontId="137" fillId="10" borderId="23" xfId="0" applyFont="1" applyFill="1" applyBorder="1" applyAlignment="1">
      <alignment horizontal="center"/>
    </xf>
    <xf numFmtId="0" fontId="127" fillId="0" borderId="0" xfId="0" applyFont="1"/>
    <xf numFmtId="0" fontId="129" fillId="18" borderId="38" xfId="0" applyFont="1" applyFill="1" applyBorder="1" applyAlignment="1">
      <alignment horizontal="center" vertical="center"/>
    </xf>
    <xf numFmtId="0" fontId="129" fillId="18" borderId="40" xfId="0" applyFont="1" applyFill="1" applyBorder="1" applyAlignment="1">
      <alignment horizontal="center" vertical="center"/>
    </xf>
    <xf numFmtId="0" fontId="129" fillId="18" borderId="40" xfId="0" applyFont="1" applyFill="1" applyBorder="1" applyAlignment="1">
      <alignment horizontal="center" vertical="center" wrapText="1"/>
    </xf>
    <xf numFmtId="2" fontId="129" fillId="18" borderId="40" xfId="0" applyNumberFormat="1" applyFont="1" applyFill="1" applyBorder="1" applyAlignment="1">
      <alignment horizontal="center" vertical="center" wrapText="1"/>
    </xf>
    <xf numFmtId="0" fontId="129" fillId="18" borderId="39" xfId="0" applyFont="1" applyFill="1" applyBorder="1" applyAlignment="1">
      <alignment horizontal="center" vertical="center" wrapText="1"/>
    </xf>
    <xf numFmtId="0" fontId="12" fillId="3" borderId="12" xfId="0" applyFont="1" applyFill="1" applyBorder="1" applyAlignment="1" applyProtection="1">
      <alignment horizontal="right" vertical="center"/>
    </xf>
    <xf numFmtId="0" fontId="8" fillId="3" borderId="40" xfId="0" applyFont="1" applyFill="1" applyBorder="1" applyAlignment="1" applyProtection="1">
      <alignment horizontal="center" vertical="center"/>
    </xf>
    <xf numFmtId="2" fontId="8" fillId="3" borderId="40" xfId="0" applyNumberFormat="1" applyFont="1" applyFill="1" applyBorder="1" applyAlignment="1" applyProtection="1">
      <alignment vertical="center"/>
    </xf>
    <xf numFmtId="2" fontId="8" fillId="3" borderId="0" xfId="0" applyNumberFormat="1" applyFont="1" applyFill="1" applyBorder="1" applyAlignment="1" applyProtection="1">
      <alignment vertical="center"/>
    </xf>
    <xf numFmtId="0" fontId="12" fillId="3" borderId="40" xfId="0" applyFont="1" applyFill="1" applyBorder="1" applyAlignment="1" applyProtection="1">
      <alignment horizontal="right" vertical="center"/>
    </xf>
    <xf numFmtId="0" fontId="8" fillId="3" borderId="40" xfId="0" applyFont="1" applyFill="1" applyBorder="1" applyAlignment="1" applyProtection="1">
      <alignment horizontal="left" vertical="center"/>
    </xf>
    <xf numFmtId="2" fontId="13" fillId="3" borderId="12" xfId="0" applyNumberFormat="1" applyFont="1" applyFill="1" applyBorder="1" applyAlignment="1" applyProtection="1">
      <alignment vertical="center"/>
    </xf>
    <xf numFmtId="0" fontId="42" fillId="0" borderId="0" xfId="0" applyFont="1" applyAlignment="1">
      <alignment vertical="top"/>
    </xf>
    <xf numFmtId="43" fontId="129" fillId="16" borderId="23" xfId="2918" applyFont="1" applyFill="1" applyBorder="1" applyAlignment="1">
      <alignment vertical="top"/>
    </xf>
    <xf numFmtId="0" fontId="129" fillId="16" borderId="23" xfId="0" applyFont="1" applyFill="1" applyBorder="1" applyAlignment="1">
      <alignment horizontal="center" vertical="top"/>
    </xf>
    <xf numFmtId="0" fontId="129" fillId="16" borderId="23" xfId="0" applyFont="1" applyFill="1" applyBorder="1" applyAlignment="1">
      <alignment horizontal="center" vertical="top" wrapText="1"/>
    </xf>
    <xf numFmtId="0" fontId="129" fillId="89" borderId="23" xfId="0" applyFont="1" applyFill="1" applyBorder="1" applyAlignment="1">
      <alignment horizontal="center" vertical="top" wrapText="1"/>
    </xf>
    <xf numFmtId="0" fontId="129" fillId="90" borderId="23" xfId="0" applyFont="1" applyFill="1" applyBorder="1" applyAlignment="1">
      <alignment horizontal="center" vertical="top" wrapText="1"/>
    </xf>
    <xf numFmtId="0" fontId="129" fillId="91" borderId="23" xfId="0" applyFont="1" applyFill="1" applyBorder="1" applyAlignment="1">
      <alignment horizontal="center" vertical="top" wrapText="1"/>
    </xf>
    <xf numFmtId="0" fontId="129" fillId="92" borderId="23" xfId="0" applyFont="1" applyFill="1" applyBorder="1" applyAlignment="1">
      <alignment horizontal="center" vertical="top" wrapText="1"/>
    </xf>
    <xf numFmtId="0" fontId="135" fillId="0" borderId="0" xfId="0" applyFont="1" applyAlignment="1">
      <alignment vertical="top"/>
    </xf>
    <xf numFmtId="0" fontId="129" fillId="89" borderId="23" xfId="0" applyFont="1" applyFill="1" applyBorder="1" applyAlignment="1">
      <alignment horizontal="center" vertical="top"/>
    </xf>
    <xf numFmtId="0" fontId="129" fillId="90" borderId="23" xfId="0" applyFont="1" applyFill="1" applyBorder="1" applyAlignment="1">
      <alignment horizontal="center" vertical="top"/>
    </xf>
    <xf numFmtId="0" fontId="129" fillId="91" borderId="23" xfId="0" applyFont="1" applyFill="1" applyBorder="1" applyAlignment="1">
      <alignment horizontal="center" vertical="top"/>
    </xf>
    <xf numFmtId="0" fontId="129" fillId="92" borderId="23" xfId="0" applyFont="1" applyFill="1" applyBorder="1" applyAlignment="1">
      <alignment horizontal="center" vertical="top"/>
    </xf>
    <xf numFmtId="0" fontId="42" fillId="89" borderId="23" xfId="0" applyFont="1" applyFill="1" applyBorder="1" applyAlignment="1">
      <alignment horizontal="center" vertical="top"/>
    </xf>
    <xf numFmtId="0" fontId="42" fillId="90" borderId="23" xfId="0" applyFont="1" applyFill="1" applyBorder="1" applyAlignment="1">
      <alignment vertical="top"/>
    </xf>
    <xf numFmtId="0" fontId="42" fillId="91" borderId="23" xfId="0" applyFont="1" applyFill="1" applyBorder="1" applyAlignment="1">
      <alignment vertical="top"/>
    </xf>
    <xf numFmtId="0" fontId="42" fillId="92" borderId="23" xfId="0" applyFont="1" applyFill="1" applyBorder="1" applyAlignment="1">
      <alignment vertical="top"/>
    </xf>
    <xf numFmtId="0" fontId="42" fillId="0" borderId="23" xfId="0" applyFont="1" applyFill="1" applyBorder="1" applyAlignment="1">
      <alignment vertical="top"/>
    </xf>
    <xf numFmtId="43" fontId="42" fillId="0" borderId="23" xfId="2918" applyFont="1" applyFill="1" applyBorder="1" applyAlignment="1">
      <alignment vertical="top"/>
    </xf>
    <xf numFmtId="43" fontId="59" fillId="93" borderId="23" xfId="2918" applyFont="1" applyFill="1" applyBorder="1" applyAlignment="1">
      <alignment vertical="top"/>
    </xf>
    <xf numFmtId="0" fontId="42" fillId="0" borderId="23" xfId="0" applyFont="1" applyBorder="1" applyAlignment="1">
      <alignment horizontal="center" vertical="top"/>
    </xf>
    <xf numFmtId="43" fontId="42" fillId="0" borderId="23" xfId="2918" applyFont="1" applyBorder="1" applyAlignment="1">
      <alignment vertical="top"/>
    </xf>
    <xf numFmtId="0" fontId="42" fillId="0" borderId="23" xfId="0" applyFont="1" applyBorder="1" applyAlignment="1">
      <alignment horizontal="left" vertical="top"/>
    </xf>
    <xf numFmtId="0" fontId="42" fillId="0" borderId="23" xfId="0" applyFont="1" applyFill="1" applyBorder="1" applyAlignment="1">
      <alignment horizontal="center" vertical="top"/>
    </xf>
    <xf numFmtId="43" fontId="42" fillId="0" borderId="23" xfId="2918" applyFont="1" applyBorder="1" applyAlignment="1">
      <alignment vertical="top" wrapText="1"/>
    </xf>
    <xf numFmtId="0" fontId="42" fillId="0" borderId="23" xfId="0" applyFont="1" applyBorder="1" applyAlignment="1">
      <alignment horizontal="left" vertical="top" wrapText="1"/>
    </xf>
    <xf numFmtId="0" fontId="143" fillId="89" borderId="23" xfId="0" applyFont="1" applyFill="1" applyBorder="1" applyAlignment="1">
      <alignment horizontal="center" vertical="top"/>
    </xf>
    <xf numFmtId="0" fontId="143" fillId="90" borderId="23" xfId="0" applyFont="1" applyFill="1" applyBorder="1" applyAlignment="1">
      <alignment horizontal="left" vertical="top"/>
    </xf>
    <xf numFmtId="0" fontId="143" fillId="91" borderId="23" xfId="0" applyFont="1" applyFill="1" applyBorder="1" applyAlignment="1">
      <alignment horizontal="left" vertical="top"/>
    </xf>
    <xf numFmtId="0" fontId="143" fillId="92" borderId="23" xfId="0" applyFont="1" applyFill="1" applyBorder="1" applyAlignment="1">
      <alignment horizontal="left" vertical="top"/>
    </xf>
    <xf numFmtId="0" fontId="143" fillId="0" borderId="23" xfId="0" applyFont="1" applyBorder="1" applyAlignment="1">
      <alignment horizontal="left" vertical="top"/>
    </xf>
    <xf numFmtId="43" fontId="42" fillId="0" borderId="23" xfId="0" applyNumberFormat="1" applyFont="1" applyFill="1" applyBorder="1" applyAlignment="1">
      <alignment vertical="top"/>
    </xf>
    <xf numFmtId="0" fontId="144" fillId="0" borderId="23" xfId="0" applyFont="1" applyBorder="1" applyAlignment="1">
      <alignment horizontal="left" vertical="top"/>
    </xf>
    <xf numFmtId="0" fontId="42" fillId="0" borderId="23" xfId="0" applyFont="1" applyBorder="1" applyAlignment="1">
      <alignment horizontal="center" vertical="top" wrapText="1"/>
    </xf>
    <xf numFmtId="0" fontId="145" fillId="0" borderId="23" xfId="0" applyFont="1" applyBorder="1" applyAlignment="1">
      <alignment horizontal="left" vertical="top"/>
    </xf>
    <xf numFmtId="0" fontId="42" fillId="0" borderId="0" xfId="0" applyFont="1" applyAlignment="1">
      <alignment horizontal="center" vertical="top"/>
    </xf>
    <xf numFmtId="43" fontId="42" fillId="0" borderId="0" xfId="2918" applyFont="1" applyAlignment="1">
      <alignment vertical="top"/>
    </xf>
    <xf numFmtId="0" fontId="42" fillId="0" borderId="0" xfId="0" applyFont="1" applyAlignment="1">
      <alignment horizontal="left" vertical="top" wrapText="1"/>
    </xf>
    <xf numFmtId="0" fontId="42" fillId="0" borderId="0" xfId="0" applyFont="1" applyFill="1" applyAlignment="1">
      <alignment horizontal="center" vertical="top"/>
    </xf>
    <xf numFmtId="0" fontId="42" fillId="0" borderId="0" xfId="0" applyFont="1" applyFill="1" applyAlignment="1">
      <alignment vertical="top"/>
    </xf>
    <xf numFmtId="0" fontId="42" fillId="89" borderId="0" xfId="0" applyFont="1" applyFill="1" applyAlignment="1">
      <alignment horizontal="center" vertical="top"/>
    </xf>
    <xf numFmtId="0" fontId="42" fillId="90" borderId="0" xfId="0" applyFont="1" applyFill="1" applyAlignment="1">
      <alignment vertical="top"/>
    </xf>
    <xf numFmtId="0" fontId="42" fillId="91" borderId="0" xfId="0" applyFont="1" applyFill="1" applyAlignment="1">
      <alignment vertical="top"/>
    </xf>
    <xf numFmtId="0" fontId="42" fillId="92" borderId="0" xfId="0" applyFont="1" applyFill="1" applyAlignment="1">
      <alignment vertical="top"/>
    </xf>
    <xf numFmtId="43" fontId="42" fillId="0" borderId="0" xfId="2918" applyFont="1" applyFill="1" applyAlignment="1">
      <alignment vertical="top"/>
    </xf>
    <xf numFmtId="2" fontId="22" fillId="2" borderId="23" xfId="0" applyNumberFormat="1" applyFont="1" applyFill="1" applyBorder="1"/>
    <xf numFmtId="0" fontId="22" fillId="2" borderId="23" xfId="0" applyFont="1" applyFill="1" applyBorder="1"/>
    <xf numFmtId="0" fontId="128" fillId="3" borderId="16" xfId="0" applyFont="1" applyFill="1" applyBorder="1" applyAlignment="1" applyProtection="1">
      <alignment horizontal="center" vertical="center" wrapText="1"/>
    </xf>
    <xf numFmtId="0" fontId="21" fillId="15" borderId="38" xfId="0" applyFont="1" applyFill="1" applyBorder="1" applyAlignment="1">
      <alignment vertical="top"/>
    </xf>
    <xf numFmtId="0" fontId="21" fillId="15" borderId="40" xfId="0" applyFont="1" applyFill="1" applyBorder="1" applyAlignment="1">
      <alignment vertical="top"/>
    </xf>
    <xf numFmtId="0" fontId="21" fillId="15" borderId="40" xfId="0" applyFont="1" applyFill="1" applyBorder="1" applyAlignment="1">
      <alignment horizontal="center" vertical="top"/>
    </xf>
    <xf numFmtId="0" fontId="21" fillId="15" borderId="39" xfId="0" applyFont="1" applyFill="1" applyBorder="1" applyAlignment="1">
      <alignment vertical="top"/>
    </xf>
    <xf numFmtId="0" fontId="0" fillId="0" borderId="23" xfId="0" applyBorder="1" applyAlignment="1">
      <alignment vertical="top"/>
    </xf>
    <xf numFmtId="43" fontId="0" fillId="0" borderId="23" xfId="2" applyFont="1" applyBorder="1" applyAlignment="1">
      <alignment vertical="top"/>
    </xf>
    <xf numFmtId="0" fontId="0" fillId="0" borderId="23" xfId="0" applyBorder="1" applyAlignment="1">
      <alignment horizontal="center" vertical="top"/>
    </xf>
    <xf numFmtId="43" fontId="0" fillId="0" borderId="23" xfId="2" applyFont="1" applyBorder="1" applyAlignment="1">
      <alignment horizontal="center" vertical="top"/>
    </xf>
    <xf numFmtId="0" fontId="0" fillId="0" borderId="23" xfId="0" applyFill="1" applyBorder="1" applyAlignment="1">
      <alignment vertical="top"/>
    </xf>
    <xf numFmtId="0" fontId="21" fillId="0" borderId="23" xfId="0" applyFont="1" applyBorder="1" applyAlignment="1">
      <alignment vertical="top"/>
    </xf>
    <xf numFmtId="0" fontId="21" fillId="11" borderId="23" xfId="0" applyFont="1" applyFill="1" applyBorder="1" applyAlignment="1">
      <alignment vertical="top"/>
    </xf>
    <xf numFmtId="43" fontId="21" fillId="11" borderId="23" xfId="2" applyFont="1" applyFill="1" applyBorder="1" applyAlignment="1">
      <alignment vertical="top"/>
    </xf>
    <xf numFmtId="43" fontId="0" fillId="11" borderId="23" xfId="2" applyFont="1" applyFill="1" applyBorder="1" applyAlignment="1">
      <alignment vertical="top"/>
    </xf>
    <xf numFmtId="43" fontId="0" fillId="11" borderId="23" xfId="2" applyFont="1" applyFill="1" applyBorder="1" applyAlignment="1">
      <alignment horizontal="center" vertical="top"/>
    </xf>
    <xf numFmtId="43" fontId="0" fillId="0" borderId="23" xfId="2" applyFont="1" applyFill="1" applyBorder="1" applyAlignment="1">
      <alignment vertical="top"/>
    </xf>
    <xf numFmtId="0" fontId="0" fillId="0" borderId="23" xfId="0" applyFill="1" applyBorder="1" applyAlignment="1">
      <alignment horizontal="center" vertical="top"/>
    </xf>
    <xf numFmtId="0" fontId="137" fillId="10" borderId="23" xfId="0" applyFont="1" applyFill="1" applyBorder="1" applyAlignment="1">
      <alignment vertical="top"/>
    </xf>
    <xf numFmtId="43" fontId="137" fillId="10" borderId="23" xfId="2" applyFont="1" applyFill="1" applyBorder="1" applyAlignment="1">
      <alignment vertical="top"/>
    </xf>
    <xf numFmtId="43" fontId="137" fillId="10" borderId="23" xfId="0" applyNumberFormat="1" applyFont="1" applyFill="1" applyBorder="1" applyAlignment="1">
      <alignment vertical="top"/>
    </xf>
    <xf numFmtId="0" fontId="127" fillId="0" borderId="23" xfId="0" applyFont="1" applyBorder="1" applyAlignment="1">
      <alignment vertical="top"/>
    </xf>
    <xf numFmtId="0" fontId="50" fillId="0" borderId="61" xfId="0" applyFont="1" applyFill="1" applyBorder="1" applyAlignment="1">
      <alignment horizontal="center" vertical="top"/>
    </xf>
    <xf numFmtId="169" fontId="50" fillId="0" borderId="0" xfId="2" applyNumberFormat="1" applyFont="1" applyAlignment="1">
      <alignment vertical="top"/>
    </xf>
    <xf numFmtId="43" fontId="0" fillId="0" borderId="0" xfId="2" applyFont="1" applyAlignment="1">
      <alignment vertical="top"/>
    </xf>
    <xf numFmtId="0" fontId="0" fillId="0" borderId="0" xfId="0" applyAlignment="1">
      <alignment horizontal="center" vertical="top"/>
    </xf>
    <xf numFmtId="0" fontId="137" fillId="0" borderId="38" xfId="0" applyFont="1" applyFill="1" applyBorder="1" applyAlignment="1">
      <alignment vertical="top"/>
    </xf>
    <xf numFmtId="43" fontId="127" fillId="0" borderId="40" xfId="2" applyFont="1" applyFill="1" applyBorder="1" applyAlignment="1">
      <alignment vertical="top"/>
    </xf>
    <xf numFmtId="0" fontId="127" fillId="0" borderId="40" xfId="0" applyFont="1" applyFill="1" applyBorder="1" applyAlignment="1">
      <alignment vertical="top"/>
    </xf>
    <xf numFmtId="43" fontId="127" fillId="0" borderId="39" xfId="2" applyFont="1" applyFill="1" applyBorder="1" applyAlignment="1">
      <alignment vertical="top"/>
    </xf>
    <xf numFmtId="43" fontId="137" fillId="0" borderId="23" xfId="0" applyNumberFormat="1" applyFont="1" applyFill="1" applyBorder="1" applyAlignment="1">
      <alignment vertical="top"/>
    </xf>
    <xf numFmtId="0" fontId="127" fillId="0" borderId="23" xfId="0" applyFont="1" applyBorder="1" applyAlignment="1">
      <alignment horizontal="center" vertical="top"/>
    </xf>
    <xf numFmtId="0" fontId="127" fillId="0" borderId="38" xfId="0" applyFont="1" applyFill="1" applyBorder="1" applyAlignment="1">
      <alignment vertical="top"/>
    </xf>
    <xf numFmtId="43" fontId="140" fillId="0" borderId="40" xfId="2" applyFont="1" applyFill="1" applyBorder="1" applyAlignment="1">
      <alignment vertical="top"/>
    </xf>
    <xf numFmtId="43" fontId="140" fillId="0" borderId="39" xfId="2" applyFont="1" applyFill="1" applyBorder="1" applyAlignment="1">
      <alignment vertical="top"/>
    </xf>
    <xf numFmtId="43" fontId="127" fillId="0" borderId="23" xfId="0" applyNumberFormat="1" applyFont="1" applyFill="1" applyBorder="1" applyAlignment="1">
      <alignment vertical="top"/>
    </xf>
    <xf numFmtId="0" fontId="141" fillId="0" borderId="38" xfId="0" applyFont="1" applyFill="1" applyBorder="1" applyAlignment="1">
      <alignment vertical="top"/>
    </xf>
    <xf numFmtId="0" fontId="137" fillId="11" borderId="38" xfId="0" applyFont="1" applyFill="1" applyBorder="1" applyAlignment="1">
      <alignment vertical="top"/>
    </xf>
    <xf numFmtId="43" fontId="127" fillId="11" borderId="40" xfId="2" applyFont="1" applyFill="1" applyBorder="1" applyAlignment="1">
      <alignment vertical="top"/>
    </xf>
    <xf numFmtId="0" fontId="127" fillId="11" borderId="40" xfId="0" applyFont="1" applyFill="1" applyBorder="1" applyAlignment="1">
      <alignment vertical="top"/>
    </xf>
    <xf numFmtId="43" fontId="127" fillId="11" borderId="39" xfId="2" applyFont="1" applyFill="1" applyBorder="1" applyAlignment="1">
      <alignment vertical="top"/>
    </xf>
    <xf numFmtId="43" fontId="137" fillId="11" borderId="23" xfId="0" applyNumberFormat="1" applyFont="1" applyFill="1" applyBorder="1" applyAlignment="1">
      <alignment vertical="top"/>
    </xf>
    <xf numFmtId="43" fontId="137" fillId="11" borderId="23" xfId="0" applyNumberFormat="1" applyFont="1" applyFill="1" applyBorder="1" applyAlignment="1">
      <alignment horizontal="center" vertical="top"/>
    </xf>
    <xf numFmtId="0" fontId="32" fillId="0" borderId="0" xfId="3" applyFont="1" applyBorder="1" applyAlignment="1">
      <alignment vertical="top" wrapText="1"/>
    </xf>
    <xf numFmtId="4" fontId="32" fillId="0" borderId="0" xfId="4" applyNumberFormat="1" applyFont="1" applyBorder="1" applyAlignment="1">
      <alignment horizontal="right" vertical="top"/>
    </xf>
    <xf numFmtId="0" fontId="43" fillId="0" borderId="61" xfId="3" applyFont="1" applyFill="1" applyBorder="1" applyAlignment="1">
      <alignment horizontal="right" vertical="top" wrapText="1"/>
    </xf>
    <xf numFmtId="0" fontId="43" fillId="0" borderId="0" xfId="3" applyFont="1" applyFill="1" applyBorder="1" applyAlignment="1">
      <alignment horizontal="right" vertical="top" wrapText="1"/>
    </xf>
    <xf numFmtId="4" fontId="43" fillId="0" borderId="0" xfId="2" applyNumberFormat="1" applyFont="1" applyFill="1" applyBorder="1" applyAlignment="1">
      <alignment vertical="top"/>
    </xf>
    <xf numFmtId="0" fontId="123" fillId="13" borderId="23" xfId="0" applyFont="1" applyFill="1" applyBorder="1" applyAlignment="1">
      <alignment vertical="top" wrapText="1"/>
    </xf>
    <xf numFmtId="0" fontId="25" fillId="0" borderId="23" xfId="3" applyFont="1" applyBorder="1" applyAlignment="1">
      <alignment vertical="top"/>
    </xf>
    <xf numFmtId="0" fontId="31" fillId="0" borderId="23" xfId="3" applyFont="1" applyBorder="1" applyAlignment="1">
      <alignment vertical="top"/>
    </xf>
    <xf numFmtId="4" fontId="31" fillId="0" borderId="23" xfId="3" applyNumberFormat="1" applyFont="1" applyBorder="1" applyAlignment="1">
      <alignment vertical="top"/>
    </xf>
    <xf numFmtId="0" fontId="31" fillId="0" borderId="47" xfId="3" applyFont="1" applyBorder="1" applyAlignment="1">
      <alignment vertical="top"/>
    </xf>
    <xf numFmtId="0" fontId="31" fillId="0" borderId="92" xfId="3" applyFont="1" applyBorder="1" applyAlignment="1">
      <alignment vertical="top"/>
    </xf>
    <xf numFmtId="0" fontId="31" fillId="0" borderId="51" xfId="3" applyFont="1" applyBorder="1" applyAlignment="1">
      <alignment vertical="top"/>
    </xf>
    <xf numFmtId="0" fontId="133" fillId="0" borderId="23" xfId="0" applyFont="1" applyBorder="1" applyAlignment="1">
      <alignment horizontal="center" vertical="top"/>
    </xf>
    <xf numFmtId="4" fontId="0" fillId="0" borderId="23" xfId="0" applyNumberFormat="1" applyBorder="1"/>
    <xf numFmtId="0" fontId="146" fillId="0" borderId="23" xfId="0" applyFont="1" applyBorder="1"/>
    <xf numFmtId="4" fontId="146" fillId="0" borderId="23" xfId="0" applyNumberFormat="1" applyFont="1" applyBorder="1"/>
    <xf numFmtId="0" fontId="123" fillId="13" borderId="23" xfId="0" applyFont="1" applyFill="1" applyBorder="1" applyAlignment="1">
      <alignment horizontal="center" vertical="top" wrapText="1"/>
    </xf>
    <xf numFmtId="4" fontId="32" fillId="0" borderId="23" xfId="4" applyNumberFormat="1" applyFont="1" applyBorder="1" applyAlignment="1">
      <alignment horizontal="right" vertical="top"/>
    </xf>
    <xf numFmtId="0" fontId="30" fillId="0" borderId="23" xfId="3" applyFont="1" applyBorder="1" applyAlignment="1">
      <alignment horizontal="left" vertical="top"/>
    </xf>
    <xf numFmtId="4" fontId="30" fillId="0" borderId="23" xfId="4" applyNumberFormat="1" applyFont="1" applyBorder="1" applyAlignment="1">
      <alignment horizontal="right" vertical="top"/>
    </xf>
    <xf numFmtId="0" fontId="137" fillId="10" borderId="38" xfId="0" applyFont="1" applyFill="1" applyBorder="1" applyAlignment="1">
      <alignment vertical="top"/>
    </xf>
    <xf numFmtId="0" fontId="137" fillId="10" borderId="39" xfId="0" applyFont="1" applyFill="1" applyBorder="1" applyAlignment="1">
      <alignment vertical="top"/>
    </xf>
    <xf numFmtId="4" fontId="124" fillId="0" borderId="23" xfId="3710" applyNumberFormat="1" applyFont="1" applyBorder="1" applyAlignment="1">
      <alignment horizontal="right" vertical="top" wrapText="1"/>
    </xf>
    <xf numFmtId="4" fontId="124" fillId="0" borderId="23" xfId="2" applyNumberFormat="1" applyFont="1" applyBorder="1" applyAlignment="1">
      <alignment horizontal="right" vertical="center" wrapText="1"/>
    </xf>
    <xf numFmtId="4" fontId="124" fillId="0" borderId="23" xfId="3710" applyNumberFormat="1" applyFont="1" applyBorder="1" applyAlignment="1">
      <alignment horizontal="right" vertical="center" wrapText="1"/>
    </xf>
    <xf numFmtId="4" fontId="106" fillId="20" borderId="23" xfId="269" applyNumberFormat="1" applyFont="1" applyFill="1" applyBorder="1" applyAlignment="1">
      <alignment horizontal="right" vertical="top"/>
    </xf>
    <xf numFmtId="4" fontId="102" fillId="0" borderId="23" xfId="269" applyNumberFormat="1" applyFont="1" applyBorder="1" applyAlignment="1">
      <alignment horizontal="right" vertical="top"/>
    </xf>
    <xf numFmtId="4" fontId="133" fillId="0" borderId="0" xfId="0" applyNumberFormat="1" applyFont="1" applyAlignment="1">
      <alignment horizontal="right" vertical="top"/>
    </xf>
    <xf numFmtId="4" fontId="124" fillId="0" borderId="23" xfId="2" applyNumberFormat="1" applyFont="1" applyBorder="1" applyAlignment="1">
      <alignment horizontal="right" vertical="top" wrapText="1"/>
    </xf>
    <xf numFmtId="4" fontId="132" fillId="0" borderId="44" xfId="0" applyNumberFormat="1" applyFont="1" applyFill="1" applyBorder="1" applyAlignment="1">
      <alignment horizontal="right" vertical="top" wrapText="1"/>
    </xf>
    <xf numFmtId="4" fontId="133" fillId="0" borderId="23" xfId="0" applyNumberFormat="1" applyFont="1" applyBorder="1" applyAlignment="1">
      <alignment horizontal="right" vertical="top"/>
    </xf>
    <xf numFmtId="4" fontId="133" fillId="0" borderId="23" xfId="2" applyNumberFormat="1" applyFont="1" applyBorder="1" applyAlignment="1">
      <alignment horizontal="right" vertical="top"/>
    </xf>
    <xf numFmtId="4" fontId="132" fillId="0" borderId="44" xfId="0" applyNumberFormat="1" applyFont="1" applyFill="1" applyBorder="1" applyAlignment="1">
      <alignment horizontal="right" wrapText="1"/>
    </xf>
    <xf numFmtId="0" fontId="5" fillId="13" borderId="60" xfId="3" applyFill="1" applyBorder="1" applyAlignment="1">
      <alignment horizontal="center" vertical="top"/>
    </xf>
    <xf numFmtId="0" fontId="5" fillId="13" borderId="50" xfId="3" applyFill="1" applyBorder="1" applyAlignment="1">
      <alignment horizontal="left" vertical="top" wrapText="1"/>
    </xf>
    <xf numFmtId="0" fontId="5" fillId="13" borderId="50" xfId="3" applyFill="1" applyBorder="1" applyAlignment="1">
      <alignment horizontal="center" vertical="top" wrapText="1"/>
    </xf>
    <xf numFmtId="165" fontId="81" fillId="13" borderId="50" xfId="11" applyNumberFormat="1" applyFont="1" applyFill="1" applyBorder="1" applyAlignment="1">
      <alignment horizontal="center" vertical="top" wrapText="1"/>
    </xf>
    <xf numFmtId="4" fontId="81" fillId="13" borderId="50" xfId="11" applyNumberFormat="1" applyFont="1" applyFill="1" applyBorder="1" applyAlignment="1">
      <alignment horizontal="center" vertical="top" wrapText="1"/>
    </xf>
    <xf numFmtId="4" fontId="81" fillId="13" borderId="50" xfId="11" applyNumberFormat="1" applyFont="1" applyFill="1" applyBorder="1" applyAlignment="1">
      <alignment horizontal="right" vertical="top" wrapText="1"/>
    </xf>
    <xf numFmtId="0" fontId="123" fillId="13" borderId="23" xfId="0" applyFont="1" applyFill="1" applyBorder="1" applyAlignment="1">
      <alignment vertical="top"/>
    </xf>
    <xf numFmtId="4" fontId="123" fillId="0" borderId="23" xfId="3" quotePrefix="1" applyNumberFormat="1" applyFont="1" applyFill="1" applyBorder="1" applyAlignment="1">
      <alignment vertical="top" wrapText="1"/>
    </xf>
    <xf numFmtId="4" fontId="123" fillId="0" borderId="23" xfId="3" applyNumberFormat="1" applyFont="1" applyFill="1" applyBorder="1" applyAlignment="1">
      <alignment vertical="top"/>
    </xf>
    <xf numFmtId="0" fontId="30" fillId="0" borderId="41" xfId="3" applyFont="1" applyBorder="1" applyAlignment="1">
      <alignment horizontal="left" vertical="top"/>
    </xf>
    <xf numFmtId="4" fontId="30" fillId="0" borderId="41" xfId="4" applyNumberFormat="1" applyFont="1" applyBorder="1" applyAlignment="1">
      <alignment horizontal="right" vertical="top"/>
    </xf>
    <xf numFmtId="0" fontId="5" fillId="13" borderId="0" xfId="3" applyFill="1" applyBorder="1" applyAlignment="1">
      <alignment horizontal="center" vertical="top"/>
    </xf>
    <xf numFmtId="0" fontId="31" fillId="0" borderId="0" xfId="3" applyFont="1" applyBorder="1" applyAlignment="1">
      <alignment vertical="top"/>
    </xf>
    <xf numFmtId="213" fontId="106" fillId="20" borderId="23" xfId="269" applyNumberFormat="1" applyFont="1" applyFill="1" applyBorder="1" applyAlignment="1">
      <alignment horizontal="center" vertical="top"/>
    </xf>
    <xf numFmtId="213" fontId="102" fillId="0" borderId="23" xfId="269" applyNumberFormat="1" applyFont="1" applyBorder="1" applyAlignment="1">
      <alignment horizontal="center" vertical="top"/>
    </xf>
    <xf numFmtId="213" fontId="133" fillId="0" borderId="0" xfId="0" applyNumberFormat="1" applyFont="1" applyAlignment="1">
      <alignment horizontal="center" vertical="top"/>
    </xf>
    <xf numFmtId="213" fontId="124" fillId="0" borderId="23" xfId="3710" applyNumberFormat="1" applyFont="1" applyBorder="1" applyAlignment="1">
      <alignment horizontal="center" vertical="top" wrapText="1"/>
    </xf>
    <xf numFmtId="213" fontId="132" fillId="0" borderId="44" xfId="0" applyNumberFormat="1" applyFont="1" applyFill="1" applyBorder="1" applyAlignment="1">
      <alignment horizontal="center" vertical="top" wrapText="1"/>
    </xf>
    <xf numFmtId="213" fontId="124" fillId="0" borderId="23" xfId="3710" applyNumberFormat="1" applyFont="1" applyBorder="1" applyAlignment="1">
      <alignment horizontal="center" vertical="center" wrapText="1"/>
    </xf>
    <xf numFmtId="213" fontId="133" fillId="0" borderId="23" xfId="0" applyNumberFormat="1" applyFont="1" applyBorder="1" applyAlignment="1">
      <alignment horizontal="center" vertical="top"/>
    </xf>
    <xf numFmtId="213" fontId="124" fillId="0" borderId="23" xfId="3710" applyNumberFormat="1" applyFont="1" applyBorder="1" applyAlignment="1" applyProtection="1">
      <alignment horizontal="center" vertical="center" wrapText="1"/>
      <protection locked="0"/>
    </xf>
    <xf numFmtId="213" fontId="124" fillId="0" borderId="23" xfId="2" applyNumberFormat="1" applyFont="1" applyBorder="1" applyAlignment="1">
      <alignment horizontal="center" vertical="center" wrapText="1"/>
    </xf>
    <xf numFmtId="213" fontId="133" fillId="0" borderId="23" xfId="2" applyNumberFormat="1" applyFont="1" applyBorder="1" applyAlignment="1">
      <alignment horizontal="center" vertical="top"/>
    </xf>
    <xf numFmtId="213" fontId="124" fillId="0" borderId="43" xfId="3710" applyNumberFormat="1" applyFont="1" applyBorder="1" applyAlignment="1">
      <alignment horizontal="center" vertical="center" wrapText="1"/>
    </xf>
    <xf numFmtId="213" fontId="132" fillId="0" borderId="44" xfId="0" applyNumberFormat="1" applyFont="1" applyFill="1" applyBorder="1" applyAlignment="1">
      <alignment horizontal="center" wrapText="1"/>
    </xf>
    <xf numFmtId="4" fontId="133" fillId="0" borderId="23" xfId="2" applyNumberFormat="1" applyFont="1" applyBorder="1" applyAlignment="1">
      <alignment vertical="top"/>
    </xf>
    <xf numFmtId="4" fontId="132" fillId="0" borderId="44" xfId="0" applyNumberFormat="1" applyFont="1" applyFill="1" applyBorder="1" applyAlignment="1">
      <alignment wrapText="1"/>
    </xf>
    <xf numFmtId="0" fontId="124" fillId="0" borderId="23" xfId="3710" applyFont="1" applyBorder="1" applyAlignment="1">
      <alignment horizontal="right" vertical="center" wrapText="1" indent="1"/>
    </xf>
    <xf numFmtId="0" fontId="133" fillId="0" borderId="23" xfId="0" applyFont="1" applyBorder="1" applyAlignment="1">
      <alignment horizontal="right" vertical="top" indent="1"/>
    </xf>
    <xf numFmtId="164" fontId="102" fillId="0" borderId="23" xfId="269" applyNumberFormat="1" applyFont="1" applyBorder="1" applyAlignment="1">
      <alignment horizontal="left" vertical="top"/>
    </xf>
    <xf numFmtId="164" fontId="102" fillId="13" borderId="0" xfId="10" applyFont="1" applyFill="1" applyBorder="1" applyAlignment="1">
      <alignment horizontal="center" vertical="top"/>
    </xf>
    <xf numFmtId="165" fontId="81" fillId="13" borderId="0" xfId="11" applyNumberFormat="1" applyFont="1" applyFill="1" applyBorder="1" applyAlignment="1">
      <alignment horizontal="center" vertical="top" wrapText="1"/>
    </xf>
    <xf numFmtId="0" fontId="30" fillId="0" borderId="61" xfId="3" applyNumberFormat="1" applyFont="1" applyBorder="1" applyAlignment="1">
      <alignment horizontal="left" vertical="top" wrapText="1"/>
    </xf>
    <xf numFmtId="0" fontId="147" fillId="0" borderId="91" xfId="3" applyFont="1" applyFill="1" applyBorder="1" applyAlignment="1">
      <alignment horizontal="center" vertical="top" wrapText="1"/>
    </xf>
    <xf numFmtId="0" fontId="147" fillId="0" borderId="48" xfId="3" applyFont="1" applyFill="1" applyBorder="1" applyAlignment="1">
      <alignment horizontal="center" vertical="top" wrapText="1"/>
    </xf>
    <xf numFmtId="0" fontId="147" fillId="0" borderId="97" xfId="3" applyFont="1" applyFill="1" applyBorder="1" applyAlignment="1">
      <alignment horizontal="center" vertical="top" wrapText="1"/>
    </xf>
    <xf numFmtId="4" fontId="147" fillId="0" borderId="91" xfId="4" applyNumberFormat="1" applyFont="1" applyFill="1" applyBorder="1" applyAlignment="1">
      <alignment horizontal="center" vertical="top" wrapText="1"/>
    </xf>
    <xf numFmtId="4" fontId="148" fillId="0" borderId="23" xfId="3" applyNumberFormat="1" applyFont="1" applyFill="1" applyBorder="1" applyAlignment="1">
      <alignment horizontal="center" vertical="top"/>
    </xf>
    <xf numFmtId="0" fontId="133" fillId="0" borderId="0" xfId="0" applyFont="1" applyFill="1" applyAlignment="1">
      <alignment horizontal="center" vertical="top"/>
    </xf>
    <xf numFmtId="0" fontId="149" fillId="0" borderId="0" xfId="3" applyFont="1" applyFill="1" applyAlignment="1">
      <alignment horizontal="center" vertical="top"/>
    </xf>
    <xf numFmtId="165" fontId="81" fillId="13" borderId="61" xfId="11" applyNumberFormat="1" applyFont="1" applyFill="1" applyBorder="1" applyAlignment="1">
      <alignment horizontal="center" vertical="top" wrapText="1"/>
    </xf>
    <xf numFmtId="4" fontId="81" fillId="13" borderId="60" xfId="11" applyNumberFormat="1" applyFont="1" applyFill="1" applyBorder="1" applyAlignment="1">
      <alignment horizontal="right" vertical="top" wrapText="1"/>
    </xf>
    <xf numFmtId="4" fontId="123" fillId="0" borderId="41" xfId="3" applyNumberFormat="1" applyFont="1" applyFill="1" applyBorder="1" applyAlignment="1">
      <alignment vertical="top"/>
    </xf>
    <xf numFmtId="0" fontId="31" fillId="0" borderId="41" xfId="3" applyFont="1" applyBorder="1" applyAlignment="1">
      <alignment vertical="top"/>
    </xf>
    <xf numFmtId="0" fontId="0" fillId="0" borderId="0" xfId="0" applyAlignment="1">
      <alignment vertical="center"/>
    </xf>
    <xf numFmtId="4" fontId="31" fillId="0" borderId="0" xfId="3" applyNumberFormat="1" applyFont="1" applyAlignment="1">
      <alignment vertical="center"/>
    </xf>
    <xf numFmtId="0" fontId="31" fillId="0" borderId="0" xfId="3" applyFont="1" applyAlignment="1">
      <alignment vertical="center"/>
    </xf>
    <xf numFmtId="0" fontId="30" fillId="96" borderId="97" xfId="3" applyFont="1" applyFill="1" applyBorder="1" applyAlignment="1">
      <alignment horizontal="right" vertical="center" wrapText="1"/>
    </xf>
    <xf numFmtId="4" fontId="30" fillId="96" borderId="91" xfId="3" applyNumberFormat="1" applyFont="1" applyFill="1" applyBorder="1" applyAlignment="1">
      <alignment vertical="center"/>
    </xf>
    <xf numFmtId="10" fontId="30" fillId="96" borderId="100" xfId="3721" applyNumberFormat="1" applyFont="1" applyFill="1" applyBorder="1" applyAlignment="1">
      <alignment horizontal="right" vertical="center"/>
    </xf>
    <xf numFmtId="0" fontId="31" fillId="0" borderId="40" xfId="3" applyFont="1" applyFill="1" applyBorder="1" applyAlignment="1">
      <alignment vertical="top"/>
    </xf>
    <xf numFmtId="0" fontId="0" fillId="0" borderId="40" xfId="0" applyFill="1" applyBorder="1" applyAlignment="1">
      <alignment vertical="top"/>
    </xf>
    <xf numFmtId="4" fontId="31" fillId="0" borderId="40" xfId="3" applyNumberFormat="1" applyFont="1" applyFill="1" applyBorder="1" applyAlignment="1">
      <alignment vertical="top"/>
    </xf>
    <xf numFmtId="0" fontId="122" fillId="0" borderId="60" xfId="3" applyFont="1" applyFill="1" applyBorder="1" applyAlignment="1">
      <alignment vertical="top"/>
    </xf>
    <xf numFmtId="0" fontId="122" fillId="0" borderId="50" xfId="3" applyFont="1" applyFill="1" applyBorder="1" applyAlignment="1">
      <alignment vertical="top" wrapText="1"/>
    </xf>
    <xf numFmtId="0" fontId="122" fillId="0" borderId="51" xfId="3" applyFont="1" applyFill="1" applyBorder="1" applyAlignment="1">
      <alignment vertical="top" wrapText="1"/>
    </xf>
    <xf numFmtId="4" fontId="122" fillId="0" borderId="41" xfId="3" applyNumberFormat="1" applyFont="1" applyFill="1" applyBorder="1" applyAlignment="1">
      <alignment vertical="top"/>
    </xf>
    <xf numFmtId="0" fontId="31" fillId="0" borderId="50" xfId="3" applyFont="1" applyFill="1" applyBorder="1" applyAlignment="1">
      <alignment vertical="top"/>
    </xf>
    <xf numFmtId="4" fontId="6" fillId="13" borderId="23" xfId="10" applyNumberFormat="1" applyFont="1" applyFill="1" applyBorder="1" applyAlignment="1">
      <alignment horizontal="right" vertical="top"/>
    </xf>
    <xf numFmtId="10" fontId="57" fillId="0" borderId="23" xfId="3" applyNumberFormat="1" applyFont="1" applyBorder="1" applyAlignment="1">
      <alignment vertical="top"/>
    </xf>
    <xf numFmtId="4" fontId="6" fillId="13" borderId="23" xfId="10" applyNumberFormat="1" applyFont="1" applyFill="1" applyBorder="1" applyAlignment="1">
      <alignment horizontal="left" vertical="top"/>
    </xf>
    <xf numFmtId="0" fontId="32" fillId="0" borderId="23" xfId="3" applyFont="1" applyBorder="1" applyAlignment="1">
      <alignment horizontal="center" vertical="top"/>
    </xf>
    <xf numFmtId="0" fontId="32" fillId="0" borderId="23" xfId="3" applyFont="1" applyBorder="1" applyAlignment="1">
      <alignment horizontal="left" vertical="top" wrapText="1"/>
    </xf>
    <xf numFmtId="0" fontId="32" fillId="0" borderId="23" xfId="3" applyFont="1" applyBorder="1" applyAlignment="1">
      <alignment horizontal="center" vertical="top" wrapText="1"/>
    </xf>
    <xf numFmtId="0" fontId="32" fillId="0" borderId="23" xfId="3" applyFont="1" applyBorder="1" applyAlignment="1">
      <alignment vertical="top" wrapText="1"/>
    </xf>
    <xf numFmtId="0" fontId="150" fillId="0" borderId="0" xfId="0" applyFont="1" applyAlignment="1">
      <alignment horizontal="center" vertical="top"/>
    </xf>
    <xf numFmtId="0" fontId="151" fillId="0" borderId="0" xfId="3" applyFont="1" applyAlignment="1">
      <alignment horizontal="center" vertical="top"/>
    </xf>
    <xf numFmtId="4" fontId="45" fillId="0" borderId="23" xfId="3721" applyNumberFormat="1" applyFont="1" applyBorder="1" applyAlignment="1">
      <alignment vertical="top"/>
    </xf>
    <xf numFmtId="4" fontId="125" fillId="15" borderId="23" xfId="403" applyNumberFormat="1" applyFont="1" applyFill="1" applyBorder="1" applyAlignment="1">
      <alignment vertical="top" wrapText="1"/>
    </xf>
    <xf numFmtId="0" fontId="125" fillId="15" borderId="23" xfId="403" applyFont="1" applyFill="1" applyBorder="1" applyAlignment="1">
      <alignment vertical="top" wrapText="1"/>
    </xf>
    <xf numFmtId="4" fontId="126" fillId="15" borderId="23" xfId="403" applyNumberFormat="1" applyFont="1" applyFill="1" applyBorder="1" applyAlignment="1">
      <alignment vertical="top" wrapText="1"/>
    </xf>
    <xf numFmtId="0" fontId="126" fillId="15" borderId="23" xfId="403" applyFont="1" applyFill="1" applyBorder="1" applyAlignment="1">
      <alignment vertical="top" wrapText="1"/>
    </xf>
    <xf numFmtId="4" fontId="126" fillId="15" borderId="23" xfId="403" applyNumberFormat="1" applyFont="1" applyFill="1" applyBorder="1" applyAlignment="1">
      <alignment horizontal="left" vertical="top" wrapText="1"/>
    </xf>
    <xf numFmtId="0" fontId="126" fillId="15" borderId="23" xfId="403" applyFont="1" applyFill="1" applyBorder="1" applyAlignment="1">
      <alignment horizontal="left" vertical="top" wrapText="1"/>
    </xf>
    <xf numFmtId="4" fontId="0" fillId="0" borderId="23" xfId="0" applyNumberFormat="1" applyBorder="1" applyAlignment="1">
      <alignment vertical="top"/>
    </xf>
    <xf numFmtId="4" fontId="150" fillId="0" borderId="23" xfId="0" applyNumberFormat="1" applyFont="1" applyBorder="1" applyAlignment="1">
      <alignment horizontal="center" vertical="top"/>
    </xf>
    <xf numFmtId="0" fontId="151" fillId="0" borderId="23" xfId="3" applyFont="1" applyBorder="1" applyAlignment="1">
      <alignment horizontal="center" vertical="top"/>
    </xf>
    <xf numFmtId="4" fontId="133" fillId="0" borderId="23" xfId="0" applyNumberFormat="1" applyFont="1" applyFill="1" applyBorder="1" applyAlignment="1">
      <alignment horizontal="center" vertical="top"/>
    </xf>
    <xf numFmtId="0" fontId="149" fillId="0" borderId="23" xfId="3" applyFont="1" applyFill="1" applyBorder="1" applyAlignment="1">
      <alignment horizontal="center" vertical="top"/>
    </xf>
    <xf numFmtId="4" fontId="0" fillId="0" borderId="23" xfId="0" applyNumberFormat="1" applyFill="1" applyBorder="1" applyAlignment="1">
      <alignment vertical="top"/>
    </xf>
    <xf numFmtId="4" fontId="31" fillId="0" borderId="23" xfId="3" applyNumberFormat="1" applyFont="1" applyFill="1" applyBorder="1" applyAlignment="1">
      <alignment vertical="top"/>
    </xf>
    <xf numFmtId="0" fontId="152" fillId="12" borderId="91" xfId="3" applyFont="1" applyFill="1" applyBorder="1" applyAlignment="1">
      <alignment horizontal="center" vertical="top" wrapText="1"/>
    </xf>
    <xf numFmtId="4" fontId="152" fillId="12" borderId="91" xfId="4" applyNumberFormat="1" applyFont="1" applyFill="1" applyBorder="1" applyAlignment="1">
      <alignment horizontal="center" vertical="top" wrapText="1"/>
    </xf>
    <xf numFmtId="4" fontId="152" fillId="0" borderId="23" xfId="3" applyNumberFormat="1" applyFont="1" applyBorder="1" applyAlignment="1">
      <alignment horizontal="center" vertical="top"/>
    </xf>
    <xf numFmtId="0" fontId="153" fillId="12" borderId="33" xfId="3" applyFont="1" applyFill="1" applyBorder="1" applyAlignment="1">
      <alignment horizontal="center" vertical="top"/>
    </xf>
    <xf numFmtId="0" fontId="153" fillId="12" borderId="32" xfId="3" applyFont="1" applyFill="1" applyBorder="1" applyAlignment="1">
      <alignment horizontal="left" vertical="top" wrapText="1"/>
    </xf>
    <xf numFmtId="0" fontId="153" fillId="12" borderId="32" xfId="3" applyFont="1" applyFill="1" applyBorder="1" applyAlignment="1">
      <alignment horizontal="center" vertical="top" wrapText="1"/>
    </xf>
    <xf numFmtId="0" fontId="153" fillId="12" borderId="33" xfId="3" applyFont="1" applyFill="1" applyBorder="1" applyAlignment="1">
      <alignment vertical="top" wrapText="1"/>
    </xf>
    <xf numFmtId="0" fontId="154" fillId="12" borderId="33" xfId="3" applyFont="1" applyFill="1" applyBorder="1" applyAlignment="1">
      <alignment horizontal="center" vertical="top"/>
    </xf>
    <xf numFmtId="4" fontId="154" fillId="12" borderId="33" xfId="4" applyNumberFormat="1" applyFont="1" applyFill="1" applyBorder="1" applyAlignment="1">
      <alignment horizontal="right" vertical="top"/>
    </xf>
    <xf numFmtId="10" fontId="155" fillId="0" borderId="23" xfId="3721" applyNumberFormat="1" applyFont="1" applyBorder="1" applyAlignment="1">
      <alignment vertical="top"/>
    </xf>
    <xf numFmtId="0" fontId="156" fillId="16" borderId="41" xfId="3" applyFont="1" applyFill="1" applyBorder="1" applyAlignment="1">
      <alignment horizontal="center" vertical="top"/>
    </xf>
    <xf numFmtId="0" fontId="156" fillId="16" borderId="34" xfId="3" quotePrefix="1" applyFont="1" applyFill="1" applyBorder="1" applyAlignment="1">
      <alignment vertical="top"/>
    </xf>
    <xf numFmtId="0" fontId="156" fillId="16" borderId="35" xfId="3" quotePrefix="1" applyFont="1" applyFill="1" applyBorder="1" applyAlignment="1">
      <alignment vertical="top" wrapText="1"/>
    </xf>
    <xf numFmtId="0" fontId="156" fillId="16" borderId="53" xfId="3" quotePrefix="1" applyFont="1" applyFill="1" applyBorder="1" applyAlignment="1">
      <alignment vertical="top" wrapText="1"/>
    </xf>
    <xf numFmtId="0" fontId="157" fillId="0" borderId="23" xfId="3" applyFont="1" applyFill="1" applyBorder="1" applyAlignment="1">
      <alignment horizontal="center" vertical="top"/>
    </xf>
    <xf numFmtId="0" fontId="157" fillId="0" borderId="23" xfId="3" applyFont="1" applyFill="1" applyBorder="1" applyAlignment="1">
      <alignment horizontal="left" vertical="top"/>
    </xf>
    <xf numFmtId="0" fontId="157" fillId="0" borderId="23" xfId="3" applyFont="1" applyFill="1" applyBorder="1" applyAlignment="1">
      <alignment horizontal="center" vertical="top" wrapText="1"/>
    </xf>
    <xf numFmtId="0" fontId="156" fillId="0" borderId="23" xfId="3" quotePrefix="1" applyFont="1" applyFill="1" applyBorder="1" applyAlignment="1">
      <alignment horizontal="center" vertical="top" wrapText="1"/>
    </xf>
    <xf numFmtId="0" fontId="157" fillId="0" borderId="23" xfId="3" quotePrefix="1" applyFont="1" applyFill="1" applyBorder="1" applyAlignment="1">
      <alignment horizontal="left" vertical="top" wrapText="1"/>
    </xf>
    <xf numFmtId="4" fontId="157" fillId="0" borderId="23" xfId="3" quotePrefix="1" applyNumberFormat="1" applyFont="1" applyFill="1" applyBorder="1" applyAlignment="1">
      <alignment vertical="top" wrapText="1"/>
    </xf>
    <xf numFmtId="0" fontId="158" fillId="0" borderId="23" xfId="3" applyFont="1" applyBorder="1" applyAlignment="1">
      <alignment vertical="top"/>
    </xf>
    <xf numFmtId="0" fontId="157" fillId="0" borderId="23" xfId="3" applyFont="1" applyFill="1" applyBorder="1" applyAlignment="1">
      <alignment horizontal="left" vertical="top" wrapText="1"/>
    </xf>
    <xf numFmtId="0" fontId="157" fillId="13" borderId="23" xfId="3" applyFont="1" applyFill="1" applyBorder="1" applyAlignment="1">
      <alignment horizontal="left" vertical="top"/>
    </xf>
    <xf numFmtId="0" fontId="157" fillId="13" borderId="23" xfId="3" applyFont="1" applyFill="1" applyBorder="1" applyAlignment="1">
      <alignment horizontal="center" vertical="top" wrapText="1"/>
    </xf>
    <xf numFmtId="0" fontId="157" fillId="13" borderId="23" xfId="3" applyFont="1" applyFill="1" applyBorder="1" applyAlignment="1">
      <alignment horizontal="center" vertical="top"/>
    </xf>
    <xf numFmtId="0" fontId="157" fillId="13" borderId="23" xfId="3" applyFont="1" applyFill="1" applyBorder="1" applyAlignment="1">
      <alignment horizontal="left" vertical="top" wrapText="1"/>
    </xf>
    <xf numFmtId="0" fontId="157" fillId="2" borderId="23" xfId="3" applyFont="1" applyFill="1" applyBorder="1" applyAlignment="1">
      <alignment vertical="top"/>
    </xf>
    <xf numFmtId="0" fontId="157" fillId="2" borderId="39" xfId="3" applyFont="1" applyFill="1" applyBorder="1" applyAlignment="1">
      <alignment horizontal="center" vertical="top"/>
    </xf>
    <xf numFmtId="0" fontId="157" fillId="13" borderId="39" xfId="3" applyFont="1" applyFill="1" applyBorder="1" applyAlignment="1">
      <alignment vertical="top"/>
    </xf>
    <xf numFmtId="10" fontId="158" fillId="0" borderId="23" xfId="3721" applyNumberFormat="1" applyFont="1" applyBorder="1" applyAlignment="1">
      <alignment vertical="top"/>
    </xf>
    <xf numFmtId="0" fontId="156" fillId="0" borderId="38" xfId="3" applyFont="1" applyFill="1" applyBorder="1" applyAlignment="1">
      <alignment vertical="top"/>
    </xf>
    <xf numFmtId="0" fontId="156" fillId="0" borderId="40" xfId="3" applyFont="1" applyFill="1" applyBorder="1" applyAlignment="1">
      <alignment vertical="top"/>
    </xf>
    <xf numFmtId="0" fontId="156" fillId="0" borderId="40" xfId="3" applyFont="1" applyFill="1" applyBorder="1" applyAlignment="1">
      <alignment vertical="top" wrapText="1"/>
    </xf>
    <xf numFmtId="0" fontId="156" fillId="0" borderId="39" xfId="3" applyFont="1" applyFill="1" applyBorder="1" applyAlignment="1">
      <alignment vertical="top" wrapText="1"/>
    </xf>
    <xf numFmtId="4" fontId="156" fillId="21" borderId="23" xfId="3" quotePrefix="1" applyNumberFormat="1" applyFont="1" applyFill="1" applyBorder="1" applyAlignment="1">
      <alignment vertical="top" wrapText="1"/>
    </xf>
    <xf numFmtId="10" fontId="158" fillId="0" borderId="23" xfId="6" applyNumberFormat="1" applyFont="1" applyBorder="1" applyAlignment="1">
      <alignment vertical="top"/>
    </xf>
    <xf numFmtId="0" fontId="156" fillId="88" borderId="23" xfId="3" applyFont="1" applyFill="1" applyBorder="1" applyAlignment="1">
      <alignment horizontal="center" vertical="top"/>
    </xf>
    <xf numFmtId="0" fontId="156" fillId="88" borderId="38" xfId="3" applyFont="1" applyFill="1" applyBorder="1" applyAlignment="1">
      <alignment vertical="top"/>
    </xf>
    <xf numFmtId="0" fontId="156" fillId="88" borderId="40" xfId="3" applyFont="1" applyFill="1" applyBorder="1" applyAlignment="1">
      <alignment vertical="top" wrapText="1"/>
    </xf>
    <xf numFmtId="0" fontId="156" fillId="88" borderId="40" xfId="3" quotePrefix="1" applyFont="1" applyFill="1" applyBorder="1" applyAlignment="1">
      <alignment vertical="top" wrapText="1"/>
    </xf>
    <xf numFmtId="0" fontId="156" fillId="88" borderId="39" xfId="3" quotePrefix="1" applyFont="1" applyFill="1" applyBorder="1" applyAlignment="1">
      <alignment vertical="top" wrapText="1"/>
    </xf>
    <xf numFmtId="0" fontId="157" fillId="0" borderId="23" xfId="3" applyFont="1" applyBorder="1" applyAlignment="1">
      <alignment horizontal="center" vertical="top"/>
    </xf>
    <xf numFmtId="0" fontId="157" fillId="0" borderId="23" xfId="1993" applyFont="1" applyFill="1" applyBorder="1" applyAlignment="1">
      <alignment horizontal="left" vertical="top"/>
    </xf>
    <xf numFmtId="0" fontId="157" fillId="0" borderId="23" xfId="1993" applyFont="1" applyFill="1" applyBorder="1" applyAlignment="1">
      <alignment horizontal="center" vertical="top"/>
    </xf>
    <xf numFmtId="44" fontId="157" fillId="0" borderId="23" xfId="846" applyFont="1" applyFill="1" applyBorder="1" applyAlignment="1">
      <alignment horizontal="left" vertical="top" wrapText="1"/>
    </xf>
    <xf numFmtId="44" fontId="157" fillId="0" borderId="23" xfId="846" applyFont="1" applyFill="1" applyBorder="1" applyAlignment="1">
      <alignment horizontal="center" vertical="top"/>
    </xf>
    <xf numFmtId="49" fontId="157" fillId="0" borderId="23" xfId="1993" applyNumberFormat="1" applyFont="1" applyFill="1" applyBorder="1" applyAlignment="1">
      <alignment horizontal="center" vertical="top"/>
    </xf>
    <xf numFmtId="44" fontId="157" fillId="0" borderId="23" xfId="846" applyNumberFormat="1" applyFont="1" applyFill="1" applyBorder="1" applyAlignment="1">
      <alignment horizontal="left" vertical="top" wrapText="1"/>
    </xf>
    <xf numFmtId="44" fontId="158" fillId="0" borderId="23" xfId="5" applyFont="1" applyBorder="1" applyAlignment="1">
      <alignment vertical="top"/>
    </xf>
    <xf numFmtId="0" fontId="156" fillId="88" borderId="38" xfId="3" quotePrefix="1" applyFont="1" applyFill="1" applyBorder="1" applyAlignment="1">
      <alignment vertical="top"/>
    </xf>
    <xf numFmtId="4" fontId="157" fillId="13" borderId="23" xfId="4" applyNumberFormat="1" applyFont="1" applyFill="1" applyBorder="1" applyAlignment="1">
      <alignment horizontal="center" vertical="top"/>
    </xf>
    <xf numFmtId="0" fontId="157" fillId="0" borderId="23" xfId="3" applyFont="1" applyBorder="1" applyAlignment="1">
      <alignment horizontal="left" vertical="top"/>
    </xf>
    <xf numFmtId="0" fontId="157" fillId="0" borderId="23" xfId="3" applyFont="1" applyBorder="1" applyAlignment="1">
      <alignment horizontal="center" vertical="top" wrapText="1"/>
    </xf>
    <xf numFmtId="0" fontId="157" fillId="13" borderId="23" xfId="3" applyFont="1" applyFill="1" applyBorder="1" applyAlignment="1">
      <alignment vertical="top" wrapText="1"/>
    </xf>
    <xf numFmtId="164" fontId="157" fillId="13" borderId="23" xfId="8" applyFont="1" applyFill="1" applyBorder="1" applyAlignment="1">
      <alignment horizontal="center" vertical="top"/>
    </xf>
    <xf numFmtId="0" fontId="156" fillId="12" borderId="23" xfId="3" applyFont="1" applyFill="1" applyBorder="1" applyAlignment="1">
      <alignment horizontal="center" vertical="top"/>
    </xf>
    <xf numFmtId="0" fontId="156" fillId="12" borderId="38" xfId="3" quotePrefix="1" applyFont="1" applyFill="1" applyBorder="1" applyAlignment="1">
      <alignment vertical="top"/>
    </xf>
    <xf numFmtId="0" fontId="156" fillId="12" borderId="40" xfId="3" quotePrefix="1" applyFont="1" applyFill="1" applyBorder="1" applyAlignment="1">
      <alignment vertical="top" wrapText="1"/>
    </xf>
    <xf numFmtId="0" fontId="156" fillId="12" borderId="39" xfId="3" quotePrefix="1" applyFont="1" applyFill="1" applyBorder="1" applyAlignment="1">
      <alignment vertical="top" wrapText="1"/>
    </xf>
    <xf numFmtId="0" fontId="156" fillId="12" borderId="38" xfId="3" applyFont="1" applyFill="1" applyBorder="1" applyAlignment="1">
      <alignment vertical="top"/>
    </xf>
    <xf numFmtId="0" fontId="156" fillId="12" borderId="40" xfId="3" applyFont="1" applyFill="1" applyBorder="1" applyAlignment="1">
      <alignment vertical="top" wrapText="1"/>
    </xf>
    <xf numFmtId="0" fontId="157" fillId="0" borderId="23" xfId="3" applyFont="1" applyBorder="1" applyAlignment="1">
      <alignment horizontal="left" vertical="top" wrapText="1"/>
    </xf>
    <xf numFmtId="0" fontId="157" fillId="0" borderId="23" xfId="3111" applyFont="1" applyFill="1" applyBorder="1" applyAlignment="1">
      <alignment horizontal="left" vertical="top"/>
    </xf>
    <xf numFmtId="0" fontId="157" fillId="0" borderId="23" xfId="3111" applyFont="1" applyFill="1" applyBorder="1" applyAlignment="1">
      <alignment horizontal="center" vertical="top"/>
    </xf>
    <xf numFmtId="4" fontId="158" fillId="0" borderId="23" xfId="3" applyNumberFormat="1" applyFont="1" applyBorder="1" applyAlignment="1">
      <alignment vertical="top"/>
    </xf>
    <xf numFmtId="0" fontId="157" fillId="2" borderId="23" xfId="3" applyFont="1" applyFill="1" applyBorder="1" applyAlignment="1">
      <alignment horizontal="left" vertical="top"/>
    </xf>
    <xf numFmtId="0" fontId="157" fillId="2" borderId="23" xfId="3" applyFont="1" applyFill="1" applyBorder="1" applyAlignment="1">
      <alignment horizontal="center" vertical="top" wrapText="1"/>
    </xf>
    <xf numFmtId="0" fontId="157" fillId="13" borderId="23" xfId="407" applyFont="1" applyFill="1" applyBorder="1" applyAlignment="1">
      <alignment vertical="top" wrapText="1"/>
    </xf>
    <xf numFmtId="0" fontId="157" fillId="13" borderId="23" xfId="407" applyFont="1" applyFill="1" applyBorder="1" applyAlignment="1">
      <alignment horizontal="center" vertical="top"/>
    </xf>
    <xf numFmtId="0" fontId="157" fillId="0" borderId="23" xfId="3" applyFont="1" applyFill="1" applyBorder="1" applyAlignment="1">
      <alignment horizontal="right" vertical="top"/>
    </xf>
    <xf numFmtId="0" fontId="157" fillId="94" borderId="23" xfId="3" applyFont="1" applyFill="1" applyBorder="1" applyAlignment="1">
      <alignment horizontal="right" vertical="top"/>
    </xf>
    <xf numFmtId="0" fontId="157" fillId="94" borderId="23" xfId="3" applyFont="1" applyFill="1" applyBorder="1" applyAlignment="1">
      <alignment horizontal="left" vertical="top"/>
    </xf>
    <xf numFmtId="0" fontId="157" fillId="94" borderId="23" xfId="3" applyFont="1" applyFill="1" applyBorder="1" applyAlignment="1">
      <alignment horizontal="center" vertical="top" wrapText="1"/>
    </xf>
    <xf numFmtId="0" fontId="157" fillId="94" borderId="23" xfId="3" applyFont="1" applyFill="1" applyBorder="1" applyAlignment="1">
      <alignment horizontal="center" vertical="top"/>
    </xf>
    <xf numFmtId="0" fontId="157" fillId="94" borderId="23" xfId="3" applyFont="1" applyFill="1" applyBorder="1" applyAlignment="1">
      <alignment horizontal="left" vertical="top" wrapText="1"/>
    </xf>
    <xf numFmtId="0" fontId="158" fillId="94" borderId="23" xfId="3" applyFont="1" applyFill="1" applyBorder="1" applyAlignment="1">
      <alignment vertical="top"/>
    </xf>
    <xf numFmtId="0" fontId="157" fillId="94" borderId="23" xfId="3" applyFont="1" applyFill="1" applyBorder="1" applyAlignment="1">
      <alignment horizontal="right" vertical="top" wrapText="1"/>
    </xf>
    <xf numFmtId="10" fontId="158" fillId="94" borderId="23" xfId="6" applyNumberFormat="1" applyFont="1" applyFill="1" applyBorder="1" applyAlignment="1">
      <alignment vertical="top"/>
    </xf>
    <xf numFmtId="0" fontId="155" fillId="0" borderId="23" xfId="3" applyFont="1" applyBorder="1" applyAlignment="1">
      <alignment vertical="top"/>
    </xf>
    <xf numFmtId="0" fontId="156" fillId="88" borderId="23" xfId="3" applyFont="1" applyFill="1" applyBorder="1" applyAlignment="1">
      <alignment horizontal="left" vertical="top"/>
    </xf>
    <xf numFmtId="0" fontId="156" fillId="88" borderId="23" xfId="3" applyFont="1" applyFill="1" applyBorder="1" applyAlignment="1">
      <alignment horizontal="center" vertical="top" wrapText="1"/>
    </xf>
    <xf numFmtId="0" fontId="156" fillId="88" borderId="23" xfId="3" applyFont="1" applyFill="1" applyBorder="1" applyAlignment="1">
      <alignment horizontal="left" vertical="top" wrapText="1"/>
    </xf>
    <xf numFmtId="0" fontId="157" fillId="88" borderId="23" xfId="3" applyFont="1" applyFill="1" applyBorder="1" applyAlignment="1">
      <alignment horizontal="center" vertical="top" wrapText="1"/>
    </xf>
    <xf numFmtId="4" fontId="157" fillId="88" borderId="23" xfId="3" applyNumberFormat="1" applyFont="1" applyFill="1" applyBorder="1" applyAlignment="1">
      <alignment vertical="top"/>
    </xf>
    <xf numFmtId="4" fontId="157" fillId="88" borderId="23" xfId="4" applyNumberFormat="1" applyFont="1" applyFill="1" applyBorder="1" applyAlignment="1">
      <alignment vertical="top"/>
    </xf>
    <xf numFmtId="4" fontId="157" fillId="88" borderId="23" xfId="3" quotePrefix="1" applyNumberFormat="1" applyFont="1" applyFill="1" applyBorder="1" applyAlignment="1">
      <alignment vertical="top" wrapText="1"/>
    </xf>
    <xf numFmtId="0" fontId="156" fillId="16" borderId="38" xfId="3" applyFont="1" applyFill="1" applyBorder="1" applyAlignment="1">
      <alignment horizontal="center" vertical="top"/>
    </xf>
    <xf numFmtId="0" fontId="156" fillId="16" borderId="40" xfId="3" applyFont="1" applyFill="1" applyBorder="1" applyAlignment="1">
      <alignment vertical="top"/>
    </xf>
    <xf numFmtId="0" fontId="156" fillId="16" borderId="40" xfId="3" applyFont="1" applyFill="1" applyBorder="1" applyAlignment="1">
      <alignment vertical="top" wrapText="1"/>
    </xf>
    <xf numFmtId="4" fontId="157" fillId="16" borderId="40" xfId="3" quotePrefix="1" applyNumberFormat="1" applyFont="1" applyFill="1" applyBorder="1" applyAlignment="1">
      <alignment vertical="top" wrapText="1"/>
    </xf>
    <xf numFmtId="4" fontId="156" fillId="16" borderId="39" xfId="3" quotePrefix="1" applyNumberFormat="1" applyFont="1" applyFill="1" applyBorder="1" applyAlignment="1">
      <alignment vertical="top" wrapText="1"/>
    </xf>
    <xf numFmtId="0" fontId="158" fillId="0" borderId="23" xfId="3" applyFont="1" applyFill="1" applyBorder="1" applyAlignment="1">
      <alignment horizontal="center" vertical="top"/>
    </xf>
    <xf numFmtId="0" fontId="157" fillId="13" borderId="23" xfId="0" applyFont="1" applyFill="1" applyBorder="1" applyAlignment="1">
      <alignment vertical="top"/>
    </xf>
    <xf numFmtId="0" fontId="157" fillId="13" borderId="23" xfId="0" applyFont="1" applyFill="1" applyBorder="1" applyAlignment="1">
      <alignment vertical="top" wrapText="1"/>
    </xf>
    <xf numFmtId="0" fontId="157" fillId="13" borderId="23" xfId="0" applyFont="1" applyFill="1" applyBorder="1" applyAlignment="1">
      <alignment horizontal="center" vertical="top" wrapText="1"/>
    </xf>
    <xf numFmtId="4" fontId="157" fillId="0" borderId="23" xfId="3" applyNumberFormat="1" applyFont="1" applyFill="1" applyBorder="1" applyAlignment="1">
      <alignment vertical="top"/>
    </xf>
    <xf numFmtId="0" fontId="158" fillId="0" borderId="23" xfId="3" applyFont="1" applyFill="1" applyBorder="1" applyAlignment="1">
      <alignment vertical="top"/>
    </xf>
    <xf numFmtId="0" fontId="154" fillId="0" borderId="23" xfId="3" applyFont="1" applyBorder="1" applyAlignment="1">
      <alignment horizontal="center" vertical="top" wrapText="1"/>
    </xf>
    <xf numFmtId="0" fontId="157" fillId="0" borderId="23" xfId="3" applyFont="1" applyFill="1" applyBorder="1" applyAlignment="1">
      <alignment horizontal="right" vertical="top" wrapText="1"/>
    </xf>
    <xf numFmtId="0" fontId="156" fillId="20" borderId="38" xfId="3" applyFont="1" applyFill="1" applyBorder="1" applyAlignment="1">
      <alignment vertical="top"/>
    </xf>
    <xf numFmtId="0" fontId="156" fillId="20" borderId="40" xfId="3" applyFont="1" applyFill="1" applyBorder="1" applyAlignment="1">
      <alignment vertical="top"/>
    </xf>
    <xf numFmtId="0" fontId="156" fillId="20" borderId="40" xfId="3" applyFont="1" applyFill="1" applyBorder="1" applyAlignment="1">
      <alignment vertical="top" wrapText="1"/>
    </xf>
    <xf numFmtId="0" fontId="156" fillId="20" borderId="39" xfId="3" applyFont="1" applyFill="1" applyBorder="1" applyAlignment="1">
      <alignment vertical="top" wrapText="1"/>
    </xf>
    <xf numFmtId="4" fontId="156" fillId="20" borderId="23" xfId="3" quotePrefix="1" applyNumberFormat="1" applyFont="1" applyFill="1" applyBorder="1" applyAlignment="1">
      <alignment vertical="top" wrapText="1"/>
    </xf>
    <xf numFmtId="0" fontId="156" fillId="12" borderId="31" xfId="3" applyFont="1" applyFill="1" applyBorder="1" applyAlignment="1">
      <alignment horizontal="center" vertical="top"/>
    </xf>
    <xf numFmtId="0" fontId="156" fillId="12" borderId="29" xfId="3" applyFont="1" applyFill="1" applyBorder="1" applyAlignment="1">
      <alignment vertical="top"/>
    </xf>
    <xf numFmtId="0" fontId="156" fillId="12" borderId="30" xfId="3" applyFont="1" applyFill="1" applyBorder="1" applyAlignment="1">
      <alignment vertical="top" wrapText="1"/>
    </xf>
    <xf numFmtId="0" fontId="156" fillId="12" borderId="30" xfId="3" applyFont="1" applyFill="1" applyBorder="1" applyAlignment="1">
      <alignment horizontal="center" vertical="top" wrapText="1"/>
    </xf>
    <xf numFmtId="4" fontId="156" fillId="12" borderId="30" xfId="3" applyNumberFormat="1" applyFont="1" applyFill="1" applyBorder="1" applyAlignment="1">
      <alignment vertical="top" wrapText="1"/>
    </xf>
    <xf numFmtId="4" fontId="156" fillId="12" borderId="32" xfId="3" applyNumberFormat="1" applyFont="1" applyFill="1" applyBorder="1" applyAlignment="1">
      <alignment vertical="top" wrapText="1"/>
    </xf>
    <xf numFmtId="0" fontId="156" fillId="12" borderId="41" xfId="3" applyFont="1" applyFill="1" applyBorder="1" applyAlignment="1">
      <alignment horizontal="center" vertical="top"/>
    </xf>
    <xf numFmtId="0" fontId="156" fillId="12" borderId="34" xfId="3" applyFont="1" applyFill="1" applyBorder="1" applyAlignment="1">
      <alignment vertical="top"/>
    </xf>
    <xf numFmtId="0" fontId="156" fillId="12" borderId="35" xfId="3" applyFont="1" applyFill="1" applyBorder="1" applyAlignment="1">
      <alignment vertical="top" wrapText="1"/>
    </xf>
    <xf numFmtId="0" fontId="156" fillId="12" borderId="53" xfId="3" applyFont="1" applyFill="1" applyBorder="1" applyAlignment="1">
      <alignment vertical="top" wrapText="1"/>
    </xf>
    <xf numFmtId="0" fontId="159" fillId="13" borderId="23" xfId="3" applyFont="1" applyFill="1" applyBorder="1" applyAlignment="1">
      <alignment horizontal="center" vertical="top"/>
    </xf>
    <xf numFmtId="0" fontId="156" fillId="12" borderId="39" xfId="3" applyFont="1" applyFill="1" applyBorder="1" applyAlignment="1">
      <alignment vertical="top" wrapText="1"/>
    </xf>
    <xf numFmtId="0" fontId="157" fillId="0" borderId="43" xfId="3" applyFont="1" applyBorder="1" applyAlignment="1">
      <alignment horizontal="left" vertical="top"/>
    </xf>
    <xf numFmtId="0" fontId="157" fillId="0" borderId="42" xfId="3" applyFont="1" applyBorder="1" applyAlignment="1">
      <alignment horizontal="center" vertical="top" wrapText="1"/>
    </xf>
    <xf numFmtId="0" fontId="157" fillId="0" borderId="42" xfId="3" applyFont="1" applyBorder="1" applyAlignment="1">
      <alignment horizontal="center" vertical="top"/>
    </xf>
    <xf numFmtId="0" fontId="157" fillId="13" borderId="43" xfId="3" applyFont="1" applyFill="1" applyBorder="1" applyAlignment="1">
      <alignment horizontal="left" vertical="top"/>
    </xf>
    <xf numFmtId="0" fontId="157" fillId="13" borderId="43" xfId="3" applyFont="1" applyFill="1" applyBorder="1" applyAlignment="1">
      <alignment horizontal="center" vertical="top" wrapText="1"/>
    </xf>
    <xf numFmtId="0" fontId="157" fillId="13" borderId="43" xfId="3" applyFont="1" applyFill="1" applyBorder="1" applyAlignment="1">
      <alignment horizontal="center" vertical="top"/>
    </xf>
    <xf numFmtId="0" fontId="156" fillId="13" borderId="38" xfId="3" applyFont="1" applyFill="1" applyBorder="1" applyAlignment="1">
      <alignment vertical="top"/>
    </xf>
    <xf numFmtId="0" fontId="156" fillId="13" borderId="40" xfId="3" applyFont="1" applyFill="1" applyBorder="1" applyAlignment="1">
      <alignment vertical="top"/>
    </xf>
    <xf numFmtId="0" fontId="156" fillId="13" borderId="40" xfId="3" applyFont="1" applyFill="1" applyBorder="1" applyAlignment="1">
      <alignment vertical="top" wrapText="1"/>
    </xf>
    <xf numFmtId="0" fontId="156" fillId="12" borderId="38" xfId="3" applyFont="1" applyFill="1" applyBorder="1" applyAlignment="1">
      <alignment horizontal="left" vertical="top"/>
    </xf>
    <xf numFmtId="0" fontId="156" fillId="12" borderId="40" xfId="3" applyFont="1" applyFill="1" applyBorder="1" applyAlignment="1">
      <alignment horizontal="center" vertical="top" wrapText="1"/>
    </xf>
    <xf numFmtId="0" fontId="156" fillId="12" borderId="40" xfId="3" applyFont="1" applyFill="1" applyBorder="1" applyAlignment="1">
      <alignment horizontal="left" vertical="top" wrapText="1"/>
    </xf>
    <xf numFmtId="4" fontId="156" fillId="12" borderId="40" xfId="3" applyNumberFormat="1" applyFont="1" applyFill="1" applyBorder="1" applyAlignment="1">
      <alignment vertical="top" wrapText="1"/>
    </xf>
    <xf numFmtId="4" fontId="156" fillId="12" borderId="39" xfId="3" applyNumberFormat="1" applyFont="1" applyFill="1" applyBorder="1" applyAlignment="1">
      <alignment vertical="top" wrapText="1"/>
    </xf>
    <xf numFmtId="0" fontId="156" fillId="0" borderId="23" xfId="3" applyFont="1" applyFill="1" applyBorder="1" applyAlignment="1">
      <alignment horizontal="center" vertical="top"/>
    </xf>
    <xf numFmtId="0" fontId="156" fillId="0" borderId="40" xfId="3" applyFont="1" applyFill="1" applyBorder="1" applyAlignment="1">
      <alignment horizontal="left" vertical="top"/>
    </xf>
    <xf numFmtId="0" fontId="156" fillId="0" borderId="44" xfId="3" applyFont="1" applyFill="1" applyBorder="1" applyAlignment="1">
      <alignment horizontal="center" vertical="top" wrapText="1"/>
    </xf>
    <xf numFmtId="0" fontId="156" fillId="0" borderId="40" xfId="3" applyFont="1" applyFill="1" applyBorder="1" applyAlignment="1">
      <alignment horizontal="left" vertical="top" wrapText="1"/>
    </xf>
    <xf numFmtId="4" fontId="156" fillId="0" borderId="40" xfId="3" applyNumberFormat="1" applyFont="1" applyFill="1" applyBorder="1" applyAlignment="1">
      <alignment vertical="top" wrapText="1"/>
    </xf>
    <xf numFmtId="4" fontId="156" fillId="0" borderId="39" xfId="3" applyNumberFormat="1" applyFont="1" applyFill="1" applyBorder="1" applyAlignment="1">
      <alignment vertical="top" wrapText="1"/>
    </xf>
    <xf numFmtId="0" fontId="160" fillId="0" borderId="23" xfId="0" applyFont="1" applyBorder="1" applyAlignment="1">
      <alignment vertical="top"/>
    </xf>
    <xf numFmtId="0" fontId="156" fillId="0" borderId="23" xfId="3" applyFont="1" applyFill="1" applyBorder="1" applyAlignment="1">
      <alignment horizontal="left" vertical="top"/>
    </xf>
    <xf numFmtId="0" fontId="156" fillId="0" borderId="23" xfId="3" applyFont="1" applyFill="1" applyBorder="1" applyAlignment="1">
      <alignment horizontal="left" vertical="top" wrapText="1"/>
    </xf>
    <xf numFmtId="4" fontId="157" fillId="13" borderId="23" xfId="4" applyNumberFormat="1" applyFont="1" applyFill="1" applyBorder="1" applyAlignment="1">
      <alignment vertical="top"/>
    </xf>
    <xf numFmtId="4" fontId="157" fillId="13" borderId="23" xfId="3" quotePrefix="1" applyNumberFormat="1" applyFont="1" applyFill="1" applyBorder="1" applyAlignment="1">
      <alignment vertical="top" wrapText="1"/>
    </xf>
    <xf numFmtId="0" fontId="156" fillId="0" borderId="23" xfId="407" applyFont="1" applyFill="1" applyBorder="1" applyAlignment="1">
      <alignment horizontal="left" vertical="top"/>
    </xf>
    <xf numFmtId="0" fontId="156" fillId="0" borderId="23" xfId="407" applyFont="1" applyFill="1" applyBorder="1" applyAlignment="1">
      <alignment horizontal="left" vertical="top" wrapText="1"/>
    </xf>
    <xf numFmtId="0" fontId="156" fillId="13" borderId="39" xfId="3" applyFont="1" applyFill="1" applyBorder="1" applyAlignment="1">
      <alignment vertical="top" wrapText="1"/>
    </xf>
    <xf numFmtId="4" fontId="156" fillId="21" borderId="23" xfId="5" applyNumberFormat="1" applyFont="1" applyFill="1" applyBorder="1" applyAlignment="1">
      <alignment vertical="top"/>
    </xf>
    <xf numFmtId="4" fontId="161" fillId="20" borderId="23" xfId="5" applyNumberFormat="1" applyFont="1" applyFill="1" applyBorder="1" applyAlignment="1">
      <alignment vertical="top"/>
    </xf>
    <xf numFmtId="0" fontId="156" fillId="12" borderId="23" xfId="3" quotePrefix="1" applyFont="1" applyFill="1" applyBorder="1" applyAlignment="1">
      <alignment horizontal="center" vertical="top"/>
    </xf>
    <xf numFmtId="4" fontId="156" fillId="12" borderId="23" xfId="3" quotePrefix="1" applyNumberFormat="1" applyFont="1" applyFill="1" applyBorder="1" applyAlignment="1">
      <alignment vertical="top"/>
    </xf>
    <xf numFmtId="0" fontId="157" fillId="13" borderId="38" xfId="3" applyFont="1" applyFill="1" applyBorder="1" applyAlignment="1">
      <alignment horizontal="left" vertical="top" wrapText="1"/>
    </xf>
    <xf numFmtId="0" fontId="157" fillId="94" borderId="38" xfId="3" applyFont="1" applyFill="1" applyBorder="1" applyAlignment="1">
      <alignment horizontal="left" vertical="top" wrapText="1"/>
    </xf>
    <xf numFmtId="4" fontId="157" fillId="13" borderId="39" xfId="4" applyNumberFormat="1" applyFont="1" applyFill="1" applyBorder="1" applyAlignment="1">
      <alignment vertical="top"/>
    </xf>
    <xf numFmtId="4" fontId="156" fillId="21" borderId="23" xfId="3" applyNumberFormat="1" applyFont="1" applyFill="1" applyBorder="1" applyAlignment="1">
      <alignment vertical="top"/>
    </xf>
    <xf numFmtId="0" fontId="156" fillId="20" borderId="95" xfId="3" applyFont="1" applyFill="1" applyBorder="1" applyAlignment="1">
      <alignment vertical="top"/>
    </xf>
    <xf numFmtId="0" fontId="156" fillId="20" borderId="45" xfId="3" applyFont="1" applyFill="1" applyBorder="1" applyAlignment="1">
      <alignment vertical="top"/>
    </xf>
    <xf numFmtId="0" fontId="156" fillId="20" borderId="45" xfId="3" applyFont="1" applyFill="1" applyBorder="1" applyAlignment="1">
      <alignment vertical="top" wrapText="1"/>
    </xf>
    <xf numFmtId="0" fontId="156" fillId="20" borderId="46" xfId="3" applyFont="1" applyFill="1" applyBorder="1" applyAlignment="1">
      <alignment vertical="top" wrapText="1"/>
    </xf>
    <xf numFmtId="0" fontId="156" fillId="20" borderId="47" xfId="3" applyFont="1" applyFill="1" applyBorder="1" applyAlignment="1">
      <alignment vertical="top" wrapText="1"/>
    </xf>
    <xf numFmtId="4" fontId="156" fillId="20" borderId="23" xfId="3" applyNumberFormat="1" applyFont="1" applyFill="1" applyBorder="1" applyAlignment="1">
      <alignment vertical="top"/>
    </xf>
    <xf numFmtId="0" fontId="156" fillId="12" borderId="33" xfId="3" applyFont="1" applyFill="1" applyBorder="1" applyAlignment="1">
      <alignment horizontal="center" vertical="top"/>
    </xf>
    <xf numFmtId="0" fontId="156" fillId="12" borderId="31" xfId="3" applyFont="1" applyFill="1" applyBorder="1" applyAlignment="1">
      <alignment vertical="top"/>
    </xf>
    <xf numFmtId="0" fontId="156" fillId="12" borderId="30" xfId="3" applyFont="1" applyFill="1" applyBorder="1" applyAlignment="1">
      <alignment horizontal="center" vertical="top"/>
    </xf>
    <xf numFmtId="4" fontId="156" fillId="12" borderId="30" xfId="3" applyNumberFormat="1" applyFont="1" applyFill="1" applyBorder="1" applyAlignment="1">
      <alignment vertical="top"/>
    </xf>
    <xf numFmtId="4" fontId="156" fillId="12" borderId="32" xfId="3" applyNumberFormat="1" applyFont="1" applyFill="1" applyBorder="1" applyAlignment="1">
      <alignment vertical="top"/>
    </xf>
    <xf numFmtId="0" fontId="156" fillId="12" borderId="34" xfId="3" quotePrefix="1" applyFont="1" applyFill="1" applyBorder="1" applyAlignment="1">
      <alignment vertical="top"/>
    </xf>
    <xf numFmtId="0" fontId="156" fillId="12" borderId="35" xfId="3" quotePrefix="1" applyFont="1" applyFill="1" applyBorder="1" applyAlignment="1">
      <alignment vertical="top" wrapText="1"/>
    </xf>
    <xf numFmtId="0" fontId="156" fillId="12" borderId="53" xfId="3" quotePrefix="1" applyFont="1" applyFill="1" applyBorder="1" applyAlignment="1">
      <alignment vertical="top" wrapText="1"/>
    </xf>
    <xf numFmtId="39" fontId="157" fillId="0" borderId="23" xfId="9" applyNumberFormat="1" applyFont="1" applyFill="1" applyBorder="1" applyAlignment="1">
      <alignment horizontal="center" vertical="top"/>
    </xf>
    <xf numFmtId="0" fontId="157" fillId="0" borderId="23" xfId="3" applyFont="1" applyFill="1" applyBorder="1" applyAlignment="1">
      <alignment vertical="top" wrapText="1"/>
    </xf>
    <xf numFmtId="0" fontId="157" fillId="0" borderId="23" xfId="3" quotePrefix="1" applyFont="1" applyFill="1" applyBorder="1" applyAlignment="1">
      <alignment horizontal="center" vertical="top" wrapText="1"/>
    </xf>
    <xf numFmtId="0" fontId="156" fillId="0" borderId="23" xfId="3" quotePrefix="1" applyFont="1" applyFill="1" applyBorder="1" applyAlignment="1">
      <alignment horizontal="left" vertical="top" wrapText="1"/>
    </xf>
    <xf numFmtId="0" fontId="157" fillId="0" borderId="39" xfId="3" applyFont="1" applyFill="1" applyBorder="1" applyAlignment="1">
      <alignment horizontal="center" vertical="top" wrapText="1"/>
    </xf>
    <xf numFmtId="0" fontId="157" fillId="0" borderId="39" xfId="3" applyFont="1" applyFill="1" applyBorder="1" applyAlignment="1">
      <alignment horizontal="center" vertical="top"/>
    </xf>
    <xf numFmtId="49" fontId="157" fillId="0" borderId="23" xfId="3" applyNumberFormat="1" applyFont="1" applyFill="1" applyBorder="1" applyAlignment="1">
      <alignment horizontal="left" vertical="top"/>
    </xf>
    <xf numFmtId="49" fontId="157" fillId="0" borderId="23" xfId="3" applyNumberFormat="1" applyFont="1" applyFill="1" applyBorder="1" applyAlignment="1">
      <alignment horizontal="center" vertical="top" wrapText="1"/>
    </xf>
    <xf numFmtId="0" fontId="157" fillId="95" borderId="23" xfId="3" applyFont="1" applyFill="1" applyBorder="1" applyAlignment="1">
      <alignment horizontal="center" vertical="top"/>
    </xf>
    <xf numFmtId="0" fontId="157" fillId="95" borderId="23" xfId="3" applyFont="1" applyFill="1" applyBorder="1" applyAlignment="1">
      <alignment horizontal="left" vertical="top"/>
    </xf>
    <xf numFmtId="0" fontId="157" fillId="95" borderId="39" xfId="3" applyFont="1" applyFill="1" applyBorder="1" applyAlignment="1">
      <alignment horizontal="center" vertical="top" wrapText="1"/>
    </xf>
    <xf numFmtId="0" fontId="157" fillId="95" borderId="39" xfId="3" applyFont="1" applyFill="1" applyBorder="1" applyAlignment="1">
      <alignment horizontal="center" vertical="top"/>
    </xf>
    <xf numFmtId="0" fontId="157" fillId="95" borderId="23" xfId="3" applyFont="1" applyFill="1" applyBorder="1" applyAlignment="1">
      <alignment horizontal="left" vertical="top" wrapText="1"/>
    </xf>
    <xf numFmtId="0" fontId="155" fillId="95" borderId="23" xfId="3" applyFont="1" applyFill="1" applyBorder="1" applyAlignment="1">
      <alignment vertical="top"/>
    </xf>
    <xf numFmtId="0" fontId="157" fillId="0" borderId="23" xfId="3" applyFont="1" applyFill="1" applyBorder="1" applyAlignment="1">
      <alignment vertical="top"/>
    </xf>
    <xf numFmtId="0" fontId="157" fillId="0" borderId="41" xfId="3" applyFont="1" applyFill="1" applyBorder="1" applyAlignment="1">
      <alignment horizontal="center" vertical="top"/>
    </xf>
    <xf numFmtId="0" fontId="157" fillId="0" borderId="60" xfId="3" applyFont="1" applyFill="1" applyBorder="1" applyAlignment="1">
      <alignment horizontal="left" vertical="top"/>
    </xf>
    <xf numFmtId="0" fontId="157" fillId="0" borderId="60" xfId="3" applyFont="1" applyFill="1" applyBorder="1" applyAlignment="1">
      <alignment horizontal="center" vertical="top" wrapText="1"/>
    </xf>
    <xf numFmtId="0" fontId="157" fillId="0" borderId="41" xfId="3" applyFont="1" applyFill="1" applyBorder="1" applyAlignment="1">
      <alignment horizontal="center" vertical="top" wrapText="1"/>
    </xf>
    <xf numFmtId="0" fontId="157" fillId="0" borderId="51" xfId="3" applyFont="1" applyFill="1" applyBorder="1" applyAlignment="1">
      <alignment horizontal="justify" vertical="top" wrapText="1"/>
    </xf>
    <xf numFmtId="4" fontId="157" fillId="20" borderId="23" xfId="3" applyNumberFormat="1" applyFont="1" applyFill="1" applyBorder="1" applyAlignment="1">
      <alignment vertical="top"/>
    </xf>
    <xf numFmtId="0" fontId="156" fillId="12" borderId="30" xfId="3" quotePrefix="1" applyFont="1" applyFill="1" applyBorder="1" applyAlignment="1">
      <alignment horizontal="center" vertical="top"/>
    </xf>
    <xf numFmtId="4" fontId="156" fillId="12" borderId="30" xfId="3" quotePrefix="1" applyNumberFormat="1" applyFont="1" applyFill="1" applyBorder="1" applyAlignment="1">
      <alignment vertical="top"/>
    </xf>
    <xf numFmtId="4" fontId="156" fillId="12" borderId="32" xfId="3" quotePrefix="1" applyNumberFormat="1" applyFont="1" applyFill="1" applyBorder="1" applyAlignment="1">
      <alignment vertical="top"/>
    </xf>
    <xf numFmtId="0" fontId="157" fillId="0" borderId="23" xfId="3" quotePrefix="1" applyFont="1" applyFill="1" applyBorder="1" applyAlignment="1">
      <alignment horizontal="center" vertical="top"/>
    </xf>
    <xf numFmtId="0" fontId="157" fillId="0" borderId="23" xfId="3" quotePrefix="1" applyFont="1" applyFill="1" applyBorder="1" applyAlignment="1">
      <alignment horizontal="left" vertical="top"/>
    </xf>
    <xf numFmtId="0" fontId="156" fillId="12" borderId="60" xfId="3" applyFont="1" applyFill="1" applyBorder="1" applyAlignment="1">
      <alignment horizontal="left" vertical="top"/>
    </xf>
    <xf numFmtId="0" fontId="156" fillId="12" borderId="50" xfId="3" applyFont="1" applyFill="1" applyBorder="1" applyAlignment="1">
      <alignment horizontal="left" vertical="top" wrapText="1"/>
    </xf>
    <xf numFmtId="0" fontId="156" fillId="12" borderId="50" xfId="3" applyFont="1" applyFill="1" applyBorder="1" applyAlignment="1">
      <alignment vertical="top" wrapText="1"/>
    </xf>
    <xf numFmtId="4" fontId="156" fillId="12" borderId="51" xfId="3" applyNumberFormat="1" applyFont="1" applyFill="1" applyBorder="1" applyAlignment="1">
      <alignment vertical="top" wrapText="1"/>
    </xf>
    <xf numFmtId="0" fontId="157" fillId="0" borderId="38" xfId="3" applyFont="1" applyFill="1" applyBorder="1" applyAlignment="1">
      <alignment horizontal="center" vertical="top" wrapText="1"/>
    </xf>
    <xf numFmtId="0" fontId="157" fillId="0" borderId="38" xfId="3" applyFont="1" applyFill="1" applyBorder="1" applyAlignment="1">
      <alignment horizontal="center" vertical="top"/>
    </xf>
    <xf numFmtId="0" fontId="157" fillId="0" borderId="38" xfId="3" applyFont="1" applyFill="1" applyBorder="1" applyAlignment="1">
      <alignment horizontal="left" vertical="top" wrapText="1"/>
    </xf>
    <xf numFmtId="44" fontId="161" fillId="0" borderId="23" xfId="3" applyNumberFormat="1" applyFont="1" applyBorder="1" applyAlignment="1">
      <alignment vertical="top"/>
    </xf>
    <xf numFmtId="0" fontId="154" fillId="0" borderId="23" xfId="3" applyFont="1" applyFill="1" applyBorder="1" applyAlignment="1">
      <alignment horizontal="center" vertical="top" wrapText="1"/>
    </xf>
    <xf numFmtId="164" fontId="157" fillId="0" borderId="23" xfId="8" applyFont="1" applyFill="1" applyBorder="1" applyAlignment="1">
      <alignment horizontal="center" vertical="top"/>
    </xf>
    <xf numFmtId="0" fontId="157" fillId="0" borderId="43" xfId="3" applyFont="1" applyFill="1" applyBorder="1" applyAlignment="1">
      <alignment horizontal="center" vertical="top" wrapText="1"/>
    </xf>
    <xf numFmtId="0" fontId="157" fillId="0" borderId="43" xfId="3" applyFont="1" applyFill="1" applyBorder="1" applyAlignment="1">
      <alignment horizontal="center" vertical="top"/>
    </xf>
    <xf numFmtId="0" fontId="156" fillId="12" borderId="31" xfId="3" quotePrefix="1" applyFont="1" applyFill="1" applyBorder="1" applyAlignment="1">
      <alignment vertical="top"/>
    </xf>
    <xf numFmtId="0" fontId="156" fillId="12" borderId="30" xfId="3" quotePrefix="1" applyFont="1" applyFill="1" applyBorder="1" applyAlignment="1">
      <alignment vertical="top" wrapText="1"/>
    </xf>
    <xf numFmtId="0" fontId="156" fillId="12" borderId="35" xfId="3" applyFont="1" applyFill="1" applyBorder="1" applyAlignment="1">
      <alignment vertical="top"/>
    </xf>
    <xf numFmtId="0" fontId="156" fillId="12" borderId="53" xfId="3" applyFont="1" applyFill="1" applyBorder="1" applyAlignment="1">
      <alignment vertical="top"/>
    </xf>
    <xf numFmtId="0" fontId="156" fillId="16" borderId="23" xfId="3" applyFont="1" applyFill="1" applyBorder="1" applyAlignment="1">
      <alignment horizontal="center" vertical="top"/>
    </xf>
    <xf numFmtId="0" fontId="156" fillId="16" borderId="38" xfId="3" applyFont="1" applyFill="1" applyBorder="1" applyAlignment="1">
      <alignment vertical="top"/>
    </xf>
    <xf numFmtId="0" fontId="156" fillId="16" borderId="39" xfId="3" applyFont="1" applyFill="1" applyBorder="1" applyAlignment="1">
      <alignment vertical="top" wrapText="1"/>
    </xf>
    <xf numFmtId="0" fontId="156" fillId="12" borderId="40" xfId="3" applyFont="1" applyFill="1" applyBorder="1" applyAlignment="1">
      <alignment horizontal="center" vertical="top"/>
    </xf>
    <xf numFmtId="4" fontId="156" fillId="12" borderId="40" xfId="3" applyNumberFormat="1" applyFont="1" applyFill="1" applyBorder="1" applyAlignment="1">
      <alignment vertical="top"/>
    </xf>
    <xf numFmtId="4" fontId="156" fillId="12" borderId="39" xfId="3" applyNumberFormat="1" applyFont="1" applyFill="1" applyBorder="1" applyAlignment="1">
      <alignment vertical="top"/>
    </xf>
    <xf numFmtId="0" fontId="163" fillId="0" borderId="23" xfId="3710" applyFont="1" applyBorder="1" applyAlignment="1">
      <alignment horizontal="center" vertical="top" wrapText="1"/>
    </xf>
    <xf numFmtId="0" fontId="157" fillId="0" borderId="23" xfId="3" applyFont="1" applyFill="1" applyBorder="1" applyAlignment="1">
      <alignment vertical="top" wrapText="1" shrinkToFit="1"/>
    </xf>
    <xf numFmtId="0" fontId="156" fillId="16" borderId="23" xfId="3" applyFont="1" applyFill="1" applyBorder="1" applyAlignment="1">
      <alignment horizontal="right" vertical="top"/>
    </xf>
    <xf numFmtId="0" fontId="156" fillId="16" borderId="40" xfId="3" applyFont="1" applyFill="1" applyBorder="1" applyAlignment="1">
      <alignment horizontal="center" vertical="top"/>
    </xf>
    <xf numFmtId="4" fontId="156" fillId="16" borderId="40" xfId="3" applyNumberFormat="1" applyFont="1" applyFill="1" applyBorder="1" applyAlignment="1">
      <alignment vertical="top"/>
    </xf>
    <xf numFmtId="4" fontId="156" fillId="16" borderId="39" xfId="3" applyNumberFormat="1" applyFont="1" applyFill="1" applyBorder="1" applyAlignment="1">
      <alignment vertical="top"/>
    </xf>
    <xf numFmtId="0" fontId="157" fillId="0" borderId="38" xfId="3" applyFont="1" applyFill="1" applyBorder="1" applyAlignment="1">
      <alignment vertical="top"/>
    </xf>
    <xf numFmtId="0" fontId="157" fillId="0" borderId="40" xfId="3" applyFont="1" applyFill="1" applyBorder="1" applyAlignment="1">
      <alignment vertical="top" wrapText="1"/>
    </xf>
    <xf numFmtId="0" fontId="157" fillId="0" borderId="39" xfId="3" applyFont="1" applyFill="1" applyBorder="1" applyAlignment="1">
      <alignment vertical="top" wrapText="1"/>
    </xf>
    <xf numFmtId="0" fontId="157" fillId="0" borderId="23" xfId="846" applyNumberFormat="1" applyFont="1" applyFill="1" applyBorder="1" applyAlignment="1">
      <alignment horizontal="left" vertical="top" wrapText="1"/>
    </xf>
    <xf numFmtId="4" fontId="156" fillId="12" borderId="23" xfId="3" applyNumberFormat="1" applyFont="1" applyFill="1" applyBorder="1" applyAlignment="1">
      <alignment vertical="top"/>
    </xf>
    <xf numFmtId="0" fontId="158" fillId="2" borderId="23" xfId="3" applyFont="1" applyFill="1" applyBorder="1" applyAlignment="1">
      <alignment vertical="top"/>
    </xf>
    <xf numFmtId="164" fontId="158" fillId="0" borderId="23" xfId="3" applyNumberFormat="1" applyFont="1" applyBorder="1" applyAlignment="1">
      <alignment vertical="top"/>
    </xf>
    <xf numFmtId="0" fontId="156" fillId="12" borderId="87" xfId="3" applyFont="1" applyFill="1" applyBorder="1" applyAlignment="1">
      <alignment horizontal="center" vertical="top"/>
    </xf>
    <xf numFmtId="0" fontId="156" fillId="12" borderId="25" xfId="3" applyFont="1" applyFill="1" applyBorder="1" applyAlignment="1">
      <alignment horizontal="center" vertical="top"/>
    </xf>
    <xf numFmtId="4" fontId="156" fillId="12" borderId="25" xfId="3" applyNumberFormat="1" applyFont="1" applyFill="1" applyBorder="1" applyAlignment="1">
      <alignment vertical="top"/>
    </xf>
    <xf numFmtId="4" fontId="156" fillId="12" borderId="86" xfId="3" applyNumberFormat="1" applyFont="1" applyFill="1" applyBorder="1" applyAlignment="1">
      <alignment vertical="top"/>
    </xf>
    <xf numFmtId="0" fontId="161" fillId="16" borderId="23" xfId="0" applyFont="1" applyFill="1" applyBorder="1" applyAlignment="1">
      <alignment horizontal="left" vertical="top"/>
    </xf>
    <xf numFmtId="0" fontId="161" fillId="16" borderId="23" xfId="0" applyFont="1" applyFill="1" applyBorder="1" applyAlignment="1">
      <alignment horizontal="center" vertical="top"/>
    </xf>
    <xf numFmtId="0" fontId="156" fillId="16" borderId="23" xfId="3" applyFont="1" applyFill="1" applyBorder="1" applyAlignment="1">
      <alignment horizontal="center" vertical="top" wrapText="1"/>
    </xf>
    <xf numFmtId="49" fontId="164" fillId="16" borderId="39" xfId="0" applyNumberFormat="1" applyFont="1" applyFill="1" applyBorder="1" applyAlignment="1">
      <alignment horizontal="center" vertical="top"/>
    </xf>
    <xf numFmtId="4" fontId="158" fillId="16" borderId="23" xfId="2" applyNumberFormat="1" applyFont="1" applyFill="1" applyBorder="1" applyAlignment="1">
      <alignment vertical="top"/>
    </xf>
    <xf numFmtId="4" fontId="156" fillId="16" borderId="23" xfId="3" applyNumberFormat="1" applyFont="1" applyFill="1" applyBorder="1" applyAlignment="1">
      <alignment vertical="top"/>
    </xf>
    <xf numFmtId="0" fontId="157" fillId="13" borderId="41" xfId="0" applyFont="1" applyFill="1" applyBorder="1" applyAlignment="1">
      <alignment vertical="top" wrapText="1"/>
    </xf>
    <xf numFmtId="49" fontId="159" fillId="13" borderId="23" xfId="0" applyNumberFormat="1" applyFont="1" applyFill="1" applyBorder="1" applyAlignment="1">
      <alignment horizontal="center" vertical="top"/>
    </xf>
    <xf numFmtId="0" fontId="156" fillId="0" borderId="95" xfId="3" applyFont="1" applyFill="1" applyBorder="1" applyAlignment="1">
      <alignment vertical="top"/>
    </xf>
    <xf numFmtId="0" fontId="156" fillId="0" borderId="45" xfId="3" applyFont="1" applyFill="1" applyBorder="1" applyAlignment="1">
      <alignment vertical="top"/>
    </xf>
    <xf numFmtId="0" fontId="156" fillId="0" borderId="45" xfId="3" applyFont="1" applyFill="1" applyBorder="1" applyAlignment="1">
      <alignment vertical="top" wrapText="1"/>
    </xf>
    <xf numFmtId="0" fontId="161" fillId="16" borderId="23" xfId="0" applyFont="1" applyFill="1" applyBorder="1" applyAlignment="1">
      <alignment vertical="top" wrapText="1"/>
    </xf>
    <xf numFmtId="170" fontId="157" fillId="0" borderId="38" xfId="3" applyNumberFormat="1" applyFont="1" applyFill="1" applyBorder="1" applyAlignment="1">
      <alignment horizontal="center" vertical="top"/>
    </xf>
    <xf numFmtId="0" fontId="161" fillId="0" borderId="95" xfId="3" applyFont="1" applyFill="1" applyBorder="1" applyAlignment="1">
      <alignment vertical="top"/>
    </xf>
    <xf numFmtId="0" fontId="161" fillId="0" borderId="45" xfId="3" applyFont="1" applyFill="1" applyBorder="1" applyAlignment="1">
      <alignment vertical="top"/>
    </xf>
    <xf numFmtId="0" fontId="161" fillId="0" borderId="45" xfId="3" applyFont="1" applyFill="1" applyBorder="1" applyAlignment="1">
      <alignment vertical="top" wrapText="1"/>
    </xf>
    <xf numFmtId="0" fontId="161" fillId="16" borderId="23" xfId="3" applyFont="1" applyFill="1" applyBorder="1" applyAlignment="1">
      <alignment horizontal="right" vertical="top"/>
    </xf>
    <xf numFmtId="0" fontId="161" fillId="16" borderId="60" xfId="3" applyFont="1" applyFill="1" applyBorder="1" applyAlignment="1">
      <alignment vertical="top"/>
    </xf>
    <xf numFmtId="0" fontId="161" fillId="16" borderId="50" xfId="3" applyFont="1" applyFill="1" applyBorder="1" applyAlignment="1">
      <alignment vertical="top"/>
    </xf>
    <xf numFmtId="0" fontId="161" fillId="16" borderId="51" xfId="3" applyFont="1" applyFill="1" applyBorder="1" applyAlignment="1">
      <alignment vertical="top"/>
    </xf>
    <xf numFmtId="0" fontId="161" fillId="0" borderId="42" xfId="3" applyFont="1" applyFill="1" applyBorder="1" applyAlignment="1">
      <alignment vertical="top"/>
    </xf>
    <xf numFmtId="0" fontId="161" fillId="0" borderId="44" xfId="3" applyFont="1" applyFill="1" applyBorder="1" applyAlignment="1">
      <alignment vertical="top" wrapText="1"/>
    </xf>
    <xf numFmtId="4" fontId="157" fillId="0" borderId="43" xfId="3" applyNumberFormat="1" applyFont="1" applyFill="1" applyBorder="1" applyAlignment="1">
      <alignment vertical="top"/>
    </xf>
    <xf numFmtId="4" fontId="156" fillId="21" borderId="43" xfId="3" applyNumberFormat="1" applyFont="1" applyFill="1" applyBorder="1" applyAlignment="1">
      <alignment vertical="top"/>
    </xf>
    <xf numFmtId="0" fontId="158" fillId="0" borderId="43" xfId="3" applyFont="1" applyBorder="1" applyAlignment="1">
      <alignment vertical="top"/>
    </xf>
    <xf numFmtId="0" fontId="158" fillId="0" borderId="39" xfId="3" applyFont="1" applyBorder="1" applyAlignment="1">
      <alignment vertical="top"/>
    </xf>
    <xf numFmtId="0" fontId="137" fillId="10" borderId="38" xfId="0" applyFont="1" applyFill="1" applyBorder="1" applyAlignment="1">
      <alignment horizontal="center" vertical="top" wrapText="1"/>
    </xf>
    <xf numFmtId="0" fontId="137" fillId="10" borderId="39" xfId="0" applyFont="1" applyFill="1" applyBorder="1" applyAlignment="1">
      <alignment horizontal="center" vertical="top" wrapText="1"/>
    </xf>
    <xf numFmtId="0" fontId="35" fillId="0" borderId="0" xfId="0" applyFont="1" applyAlignment="1">
      <alignment horizontal="center"/>
    </xf>
    <xf numFmtId="0" fontId="130" fillId="10" borderId="23" xfId="0" applyFont="1" applyFill="1" applyBorder="1" applyAlignment="1">
      <alignment horizontal="center" wrapText="1"/>
    </xf>
    <xf numFmtId="0" fontId="130" fillId="10" borderId="23" xfId="0" applyFont="1" applyFill="1" applyBorder="1" applyAlignment="1">
      <alignment horizontal="center"/>
    </xf>
    <xf numFmtId="0" fontId="137" fillId="10" borderId="38" xfId="0" applyFont="1" applyFill="1" applyBorder="1" applyAlignment="1">
      <alignment horizontal="center" vertical="top"/>
    </xf>
    <xf numFmtId="0" fontId="137" fillId="10" borderId="39" xfId="0" applyFont="1" applyFill="1" applyBorder="1" applyAlignment="1">
      <alignment horizontal="center" vertical="top"/>
    </xf>
    <xf numFmtId="2" fontId="4" fillId="5" borderId="13" xfId="0" applyNumberFormat="1" applyFont="1" applyFill="1" applyBorder="1" applyAlignment="1" applyProtection="1">
      <alignment horizontal="center" vertical="center"/>
      <protection locked="0"/>
    </xf>
    <xf numFmtId="0" fontId="8" fillId="3" borderId="18" xfId="0" applyFont="1" applyFill="1" applyBorder="1" applyAlignment="1" applyProtection="1">
      <alignment horizontal="left" vertical="center"/>
    </xf>
    <xf numFmtId="0" fontId="8" fillId="3" borderId="17" xfId="0" applyFont="1" applyFill="1" applyBorder="1" applyAlignment="1" applyProtection="1">
      <alignment horizontal="left" vertical="center"/>
    </xf>
    <xf numFmtId="0" fontId="8" fillId="3" borderId="0" xfId="0" applyFont="1" applyFill="1" applyBorder="1" applyAlignment="1" applyProtection="1">
      <alignment horizontal="left" vertical="center"/>
    </xf>
    <xf numFmtId="0" fontId="8" fillId="5" borderId="0" xfId="0" applyFont="1" applyFill="1" applyBorder="1" applyAlignment="1" applyProtection="1">
      <alignment horizontal="left" vertical="center"/>
    </xf>
    <xf numFmtId="0" fontId="7" fillId="6" borderId="4" xfId="1" applyFont="1" applyFill="1" applyBorder="1" applyAlignment="1" applyProtection="1">
      <alignment horizontal="center" vertical="center"/>
    </xf>
    <xf numFmtId="0" fontId="7" fillId="6" borderId="0" xfId="1" applyFont="1" applyFill="1" applyBorder="1" applyAlignment="1" applyProtection="1">
      <alignment horizontal="center" vertical="center"/>
    </xf>
    <xf numFmtId="0" fontId="7" fillId="6" borderId="5" xfId="1" applyFont="1" applyFill="1" applyBorder="1" applyAlignment="1" applyProtection="1">
      <alignment horizontal="center" vertical="center"/>
    </xf>
    <xf numFmtId="0" fontId="8" fillId="4" borderId="20" xfId="0" applyFont="1" applyFill="1" applyBorder="1" applyAlignment="1" applyProtection="1">
      <alignment horizontal="center" vertical="center"/>
    </xf>
    <xf numFmtId="0" fontId="8" fillId="4" borderId="21" xfId="0" applyFont="1" applyFill="1" applyBorder="1" applyAlignment="1" applyProtection="1">
      <alignment horizontal="center" vertical="center"/>
    </xf>
    <xf numFmtId="0" fontId="8" fillId="4" borderId="22" xfId="0" applyFont="1" applyFill="1" applyBorder="1" applyAlignment="1" applyProtection="1">
      <alignment horizontal="center" vertical="center"/>
    </xf>
    <xf numFmtId="0" fontId="8" fillId="3" borderId="15" xfId="0" applyFont="1" applyFill="1" applyBorder="1" applyAlignment="1" applyProtection="1">
      <alignment horizontal="center" vertical="center"/>
    </xf>
    <xf numFmtId="0" fontId="8" fillId="3" borderId="10" xfId="0" applyFont="1" applyFill="1" applyBorder="1" applyAlignment="1" applyProtection="1">
      <alignment horizontal="center" vertical="center"/>
    </xf>
    <xf numFmtId="0" fontId="8" fillId="3" borderId="58" xfId="0" applyFont="1" applyFill="1" applyBorder="1" applyAlignment="1" applyProtection="1">
      <alignment horizontal="center" vertical="center"/>
    </xf>
    <xf numFmtId="0" fontId="8" fillId="5" borderId="12" xfId="0" applyFont="1" applyFill="1" applyBorder="1" applyAlignment="1" applyProtection="1">
      <alignment horizontal="left" vertical="center"/>
    </xf>
    <xf numFmtId="2" fontId="4" fillId="5" borderId="12" xfId="0" applyNumberFormat="1" applyFont="1" applyFill="1" applyBorder="1" applyAlignment="1" applyProtection="1">
      <alignment horizontal="center" vertical="center"/>
      <protection locked="0"/>
    </xf>
    <xf numFmtId="0" fontId="8" fillId="3" borderId="40" xfId="0" applyFont="1" applyFill="1" applyBorder="1" applyAlignment="1" applyProtection="1">
      <alignment horizontal="left" vertical="center"/>
    </xf>
    <xf numFmtId="0" fontId="8" fillId="4" borderId="11" xfId="0" applyFont="1" applyFill="1" applyBorder="1" applyAlignment="1" applyProtection="1">
      <alignment horizontal="center" vertical="center"/>
    </xf>
    <xf numFmtId="0" fontId="7" fillId="3" borderId="4" xfId="1" applyFont="1" applyFill="1" applyBorder="1" applyAlignment="1" applyProtection="1">
      <alignment horizontal="center" vertical="center"/>
    </xf>
    <xf numFmtId="0" fontId="7" fillId="3" borderId="0" xfId="1" applyFont="1" applyFill="1" applyBorder="1" applyAlignment="1" applyProtection="1">
      <alignment horizontal="center" vertical="center"/>
    </xf>
    <xf numFmtId="0" fontId="7" fillId="3" borderId="5" xfId="1" applyFont="1" applyFill="1" applyBorder="1" applyAlignment="1" applyProtection="1">
      <alignment horizontal="center" vertical="center"/>
    </xf>
    <xf numFmtId="0" fontId="143" fillId="0" borderId="23" xfId="0" applyFont="1" applyBorder="1" applyAlignment="1">
      <alignment horizontal="left" vertical="top"/>
    </xf>
    <xf numFmtId="0" fontId="42" fillId="0" borderId="0" xfId="0" applyFont="1" applyAlignment="1">
      <alignment horizontal="center" vertical="top"/>
    </xf>
    <xf numFmtId="0" fontId="142" fillId="0" borderId="50" xfId="0" applyFont="1" applyBorder="1" applyAlignment="1">
      <alignment horizontal="center" vertical="top"/>
    </xf>
    <xf numFmtId="0" fontId="142" fillId="0" borderId="38" xfId="0" applyFont="1" applyBorder="1" applyAlignment="1">
      <alignment horizontal="left" vertical="top"/>
    </xf>
    <xf numFmtId="0" fontId="142" fillId="0" borderId="40" xfId="0" applyFont="1" applyBorder="1" applyAlignment="1">
      <alignment horizontal="left" vertical="top"/>
    </xf>
    <xf numFmtId="0" fontId="142" fillId="0" borderId="39" xfId="0" applyFont="1" applyBorder="1" applyAlignment="1">
      <alignment horizontal="left" vertical="top"/>
    </xf>
    <xf numFmtId="0" fontId="143" fillId="0" borderId="38" xfId="0" applyFont="1" applyBorder="1" applyAlignment="1">
      <alignment vertical="top"/>
    </xf>
    <xf numFmtId="0" fontId="143" fillId="0" borderId="40" xfId="0" applyFont="1" applyBorder="1" applyAlignment="1">
      <alignment vertical="top"/>
    </xf>
    <xf numFmtId="0" fontId="143" fillId="0" borderId="39" xfId="0" applyFont="1" applyBorder="1" applyAlignment="1">
      <alignment vertical="top"/>
    </xf>
    <xf numFmtId="0" fontId="129" fillId="16" borderId="23" xfId="0" applyFont="1" applyFill="1" applyBorder="1" applyAlignment="1">
      <alignment horizontal="center" vertical="top"/>
    </xf>
    <xf numFmtId="43" fontId="129" fillId="16" borderId="23" xfId="2918" applyFont="1" applyFill="1" applyBorder="1" applyAlignment="1">
      <alignment horizontal="center" vertical="top"/>
    </xf>
    <xf numFmtId="0" fontId="11" fillId="3" borderId="93" xfId="0" applyFont="1" applyFill="1" applyBorder="1" applyAlignment="1" applyProtection="1">
      <alignment horizontal="center" vertical="center" wrapText="1"/>
    </xf>
    <xf numFmtId="0" fontId="11" fillId="3" borderId="0" xfId="0" applyFont="1" applyFill="1" applyBorder="1" applyAlignment="1" applyProtection="1">
      <alignment horizontal="center" vertical="center" wrapText="1"/>
    </xf>
    <xf numFmtId="0" fontId="11" fillId="3" borderId="98" xfId="0" applyFont="1" applyFill="1" applyBorder="1" applyAlignment="1" applyProtection="1">
      <alignment horizontal="center" vertical="center" wrapText="1"/>
    </xf>
    <xf numFmtId="0" fontId="128" fillId="4" borderId="20" xfId="0" applyFont="1" applyFill="1" applyBorder="1" applyAlignment="1" applyProtection="1">
      <alignment horizontal="center" vertical="center"/>
    </xf>
    <xf numFmtId="0" fontId="128" fillId="4" borderId="21" xfId="0" applyFont="1" applyFill="1" applyBorder="1" applyAlignment="1" applyProtection="1">
      <alignment horizontal="center" vertical="center"/>
    </xf>
    <xf numFmtId="0" fontId="128" fillId="4" borderId="22" xfId="0" applyFont="1" applyFill="1" applyBorder="1" applyAlignment="1" applyProtection="1">
      <alignment horizontal="center" vertical="center"/>
    </xf>
    <xf numFmtId="0" fontId="23" fillId="0" borderId="0" xfId="0" applyFont="1" applyAlignment="1">
      <alignment horizontal="center"/>
    </xf>
    <xf numFmtId="0" fontId="23" fillId="0" borderId="50" xfId="0" applyFont="1" applyBorder="1" applyAlignment="1">
      <alignment horizontal="center"/>
    </xf>
    <xf numFmtId="164" fontId="102" fillId="13" borderId="0" xfId="10" applyFont="1" applyFill="1" applyBorder="1" applyAlignment="1">
      <alignment horizontal="center" vertical="top"/>
    </xf>
    <xf numFmtId="4" fontId="30" fillId="15" borderId="40" xfId="2" applyNumberFormat="1" applyFont="1" applyFill="1" applyBorder="1" applyAlignment="1">
      <alignment horizontal="center" vertical="top"/>
    </xf>
    <xf numFmtId="4" fontId="30" fillId="15" borderId="38" xfId="2" applyNumberFormat="1" applyFont="1" applyFill="1" applyBorder="1" applyAlignment="1">
      <alignment horizontal="right" vertical="top"/>
    </xf>
    <xf numFmtId="4" fontId="30" fillId="15" borderId="40" xfId="2" applyNumberFormat="1" applyFont="1" applyFill="1" applyBorder="1" applyAlignment="1">
      <alignment horizontal="right" vertical="top"/>
    </xf>
    <xf numFmtId="0" fontId="30" fillId="0" borderId="38" xfId="3" applyNumberFormat="1" applyFont="1" applyBorder="1" applyAlignment="1">
      <alignment horizontal="left" vertical="top" wrapText="1"/>
    </xf>
    <xf numFmtId="0" fontId="30" fillId="0" borderId="40" xfId="3" applyNumberFormat="1" applyFont="1" applyBorder="1" applyAlignment="1">
      <alignment horizontal="left" vertical="top" wrapText="1"/>
    </xf>
    <xf numFmtId="0" fontId="30" fillId="0" borderId="39" xfId="3" applyNumberFormat="1" applyFont="1" applyBorder="1" applyAlignment="1">
      <alignment horizontal="left" vertical="top" wrapText="1"/>
    </xf>
    <xf numFmtId="0" fontId="30" fillId="0" borderId="42" xfId="3" applyNumberFormat="1" applyFont="1" applyBorder="1" applyAlignment="1">
      <alignment horizontal="center" vertical="top"/>
    </xf>
    <xf numFmtId="0" fontId="30" fillId="0" borderId="44" xfId="3" applyNumberFormat="1" applyFont="1" applyBorder="1" applyAlignment="1">
      <alignment horizontal="center" vertical="top"/>
    </xf>
    <xf numFmtId="0" fontId="30" fillId="0" borderId="47" xfId="3" applyNumberFormat="1" applyFont="1" applyBorder="1" applyAlignment="1">
      <alignment horizontal="center" vertical="top"/>
    </xf>
    <xf numFmtId="0" fontId="125" fillId="15" borderId="38" xfId="403" applyFont="1" applyFill="1" applyBorder="1" applyAlignment="1">
      <alignment horizontal="left" vertical="top" wrapText="1"/>
    </xf>
    <xf numFmtId="0" fontId="125" fillId="15" borderId="40" xfId="403" applyFont="1" applyFill="1" applyBorder="1" applyAlignment="1">
      <alignment horizontal="left" vertical="top" wrapText="1"/>
    </xf>
    <xf numFmtId="0" fontId="125" fillId="15" borderId="39" xfId="403" applyFont="1" applyFill="1" applyBorder="1" applyAlignment="1">
      <alignment horizontal="left" vertical="top" wrapText="1"/>
    </xf>
    <xf numFmtId="165" fontId="81" fillId="13" borderId="0" xfId="11" applyNumberFormat="1" applyFont="1" applyFill="1" applyBorder="1" applyAlignment="1">
      <alignment horizontal="center" vertical="top" wrapText="1"/>
    </xf>
    <xf numFmtId="0" fontId="24" fillId="12" borderId="38" xfId="3" applyFont="1" applyFill="1" applyBorder="1" applyAlignment="1">
      <alignment horizontal="center" vertical="top"/>
    </xf>
    <xf numFmtId="0" fontId="24" fillId="12" borderId="40" xfId="3" applyFont="1" applyFill="1" applyBorder="1" applyAlignment="1">
      <alignment horizontal="center" vertical="top"/>
    </xf>
    <xf numFmtId="0" fontId="24" fillId="12" borderId="39" xfId="3" applyFont="1" applyFill="1" applyBorder="1" applyAlignment="1">
      <alignment horizontal="center" vertical="top"/>
    </xf>
    <xf numFmtId="4" fontId="28" fillId="13" borderId="40" xfId="4" applyNumberFormat="1" applyFont="1" applyFill="1" applyBorder="1" applyAlignment="1">
      <alignment horizontal="center" vertical="top"/>
    </xf>
    <xf numFmtId="4" fontId="28" fillId="13" borderId="39" xfId="4" applyNumberFormat="1" applyFont="1" applyFill="1" applyBorder="1" applyAlignment="1">
      <alignment horizontal="center" vertical="top"/>
    </xf>
    <xf numFmtId="0" fontId="24" fillId="0" borderId="38" xfId="3" applyFont="1" applyBorder="1" applyAlignment="1">
      <alignment horizontal="center" vertical="top"/>
    </xf>
    <xf numFmtId="0" fontId="24" fillId="0" borderId="40" xfId="3" applyFont="1" applyBorder="1" applyAlignment="1">
      <alignment horizontal="center" vertical="top"/>
    </xf>
    <xf numFmtId="0" fontId="24" fillId="0" borderId="39" xfId="3" applyFont="1" applyBorder="1" applyAlignment="1">
      <alignment horizontal="center" vertical="top"/>
    </xf>
    <xf numFmtId="0" fontId="152" fillId="12" borderId="96" xfId="3" applyFont="1" applyFill="1" applyBorder="1" applyAlignment="1">
      <alignment horizontal="center" vertical="top" wrapText="1"/>
    </xf>
    <xf numFmtId="0" fontId="152" fillId="12" borderId="48" xfId="3" applyFont="1" applyFill="1" applyBorder="1" applyAlignment="1">
      <alignment horizontal="center" vertical="top" wrapText="1"/>
    </xf>
    <xf numFmtId="0" fontId="152" fillId="12" borderId="97" xfId="3" applyFont="1" applyFill="1" applyBorder="1" applyAlignment="1">
      <alignment horizontal="center" vertical="top" wrapText="1"/>
    </xf>
    <xf numFmtId="0" fontId="30" fillId="0" borderId="61" xfId="3" applyNumberFormat="1" applyFont="1" applyBorder="1" applyAlignment="1">
      <alignment horizontal="left" vertical="top" wrapText="1"/>
    </xf>
    <xf numFmtId="0" fontId="30" fillId="0" borderId="0" xfId="3" applyNumberFormat="1" applyFont="1" applyBorder="1" applyAlignment="1">
      <alignment horizontal="left" vertical="top" wrapText="1"/>
    </xf>
    <xf numFmtId="4" fontId="27" fillId="15" borderId="40" xfId="2" applyNumberFormat="1" applyFont="1" applyFill="1" applyBorder="1" applyAlignment="1">
      <alignment horizontal="left" vertical="top"/>
    </xf>
    <xf numFmtId="4" fontId="27" fillId="15" borderId="39" xfId="2" applyNumberFormat="1" applyFont="1" applyFill="1" applyBorder="1" applyAlignment="1">
      <alignment horizontal="left" vertical="top"/>
    </xf>
    <xf numFmtId="0" fontId="30" fillId="96" borderId="99" xfId="3" applyFont="1" applyFill="1" applyBorder="1" applyAlignment="1">
      <alignment horizontal="right" vertical="center" wrapText="1"/>
    </xf>
    <xf numFmtId="0" fontId="30" fillId="96" borderId="48" xfId="3" applyFont="1" applyFill="1" applyBorder="1" applyAlignment="1">
      <alignment horizontal="right" vertical="center" wrapText="1"/>
    </xf>
    <xf numFmtId="0" fontId="30" fillId="96" borderId="97" xfId="3" applyFont="1" applyFill="1" applyBorder="1" applyAlignment="1">
      <alignment horizontal="right" vertical="center" wrapText="1"/>
    </xf>
    <xf numFmtId="0" fontId="30" fillId="0" borderId="42" xfId="3" applyNumberFormat="1" applyFont="1" applyBorder="1" applyAlignment="1">
      <alignment horizontal="center" vertical="top" wrapText="1"/>
    </xf>
    <xf numFmtId="0" fontId="30" fillId="0" borderId="44" xfId="3" applyNumberFormat="1" applyFont="1" applyBorder="1" applyAlignment="1">
      <alignment horizontal="center" vertical="top" wrapText="1"/>
    </xf>
    <xf numFmtId="0" fontId="27" fillId="0" borderId="24" xfId="407" applyFont="1" applyBorder="1" applyAlignment="1">
      <alignment horizontal="center" vertical="top"/>
    </xf>
    <xf numFmtId="0" fontId="27" fillId="0" borderId="25" xfId="407" applyFont="1" applyBorder="1" applyAlignment="1">
      <alignment horizontal="center" vertical="top"/>
    </xf>
    <xf numFmtId="0" fontId="37" fillId="12" borderId="24" xfId="407" applyFont="1" applyFill="1" applyBorder="1" applyAlignment="1">
      <alignment horizontal="center" vertical="top"/>
    </xf>
    <xf numFmtId="0" fontId="37" fillId="12" borderId="25" xfId="407" applyFont="1" applyFill="1" applyBorder="1" applyAlignment="1">
      <alignment horizontal="center" vertical="top"/>
    </xf>
    <xf numFmtId="0" fontId="37" fillId="12" borderId="26" xfId="407" applyFont="1" applyFill="1" applyBorder="1" applyAlignment="1">
      <alignment horizontal="center" vertical="top"/>
    </xf>
    <xf numFmtId="0" fontId="37" fillId="12" borderId="27" xfId="407" applyFont="1" applyFill="1" applyBorder="1" applyAlignment="1">
      <alignment horizontal="center" vertical="top"/>
    </xf>
    <xf numFmtId="0" fontId="37" fillId="12" borderId="0" xfId="407" applyFont="1" applyFill="1" applyBorder="1" applyAlignment="1">
      <alignment horizontal="center" vertical="top"/>
    </xf>
    <xf numFmtId="0" fontId="37" fillId="12" borderId="28" xfId="407" applyFont="1" applyFill="1" applyBorder="1" applyAlignment="1">
      <alignment horizontal="center" vertical="top"/>
    </xf>
    <xf numFmtId="0" fontId="38" fillId="0" borderId="43" xfId="407" applyFont="1" applyBorder="1" applyAlignment="1">
      <alignment horizontal="center" vertical="top" wrapText="1"/>
    </xf>
    <xf numFmtId="0" fontId="39" fillId="0" borderId="37" xfId="407" applyFont="1" applyBorder="1" applyAlignment="1">
      <alignment horizontal="center" vertical="top" wrapText="1"/>
    </xf>
    <xf numFmtId="0" fontId="23" fillId="0" borderId="23" xfId="0" applyFont="1" applyBorder="1" applyAlignment="1">
      <alignment horizontal="center" vertical="top"/>
    </xf>
    <xf numFmtId="0" fontId="137" fillId="10" borderId="40" xfId="0" applyFont="1" applyFill="1" applyBorder="1" applyAlignment="1">
      <alignment horizontal="center" vertical="top"/>
    </xf>
    <xf numFmtId="0" fontId="137" fillId="10" borderId="23" xfId="0" applyFont="1" applyFill="1" applyBorder="1" applyAlignment="1">
      <alignment horizontal="center" vertical="top" wrapText="1"/>
    </xf>
    <xf numFmtId="0" fontId="137" fillId="10" borderId="23" xfId="0" applyFont="1" applyFill="1" applyBorder="1" applyAlignment="1">
      <alignment horizontal="center" vertical="top"/>
    </xf>
    <xf numFmtId="0" fontId="133" fillId="0" borderId="23" xfId="0" applyFont="1" applyBorder="1" applyAlignment="1">
      <alignment horizontal="center" vertical="top" wrapText="1"/>
    </xf>
    <xf numFmtId="0" fontId="133" fillId="0" borderId="23" xfId="0" applyFont="1" applyBorder="1" applyAlignment="1">
      <alignment horizontal="center" vertical="top"/>
    </xf>
    <xf numFmtId="0" fontId="35" fillId="0" borderId="0" xfId="0" applyFont="1" applyAlignment="1">
      <alignment horizontal="center" vertical="top"/>
    </xf>
    <xf numFmtId="0" fontId="130" fillId="10" borderId="23" xfId="0" applyFont="1" applyFill="1" applyBorder="1" applyAlignment="1">
      <alignment horizontal="center" vertical="top" wrapText="1"/>
    </xf>
    <xf numFmtId="0" fontId="130" fillId="10" borderId="23" xfId="0" applyFont="1" applyFill="1" applyBorder="1" applyAlignment="1">
      <alignment horizontal="center" vertical="top"/>
    </xf>
    <xf numFmtId="0" fontId="133" fillId="0" borderId="38" xfId="0" applyFont="1" applyBorder="1" applyAlignment="1">
      <alignment horizontal="center" vertical="top"/>
    </xf>
    <xf numFmtId="0" fontId="133" fillId="0" borderId="39" xfId="0" applyFont="1" applyBorder="1" applyAlignment="1">
      <alignment horizontal="center" vertical="top"/>
    </xf>
    <xf numFmtId="0" fontId="21" fillId="18" borderId="38" xfId="0" applyFont="1" applyFill="1" applyBorder="1" applyAlignment="1">
      <alignment horizontal="center"/>
    </xf>
    <xf numFmtId="0" fontId="21" fillId="18" borderId="40" xfId="0" applyFont="1" applyFill="1" applyBorder="1" applyAlignment="1">
      <alignment horizontal="center"/>
    </xf>
    <xf numFmtId="0" fontId="21" fillId="18" borderId="39" xfId="0" applyFont="1" applyFill="1" applyBorder="1" applyAlignment="1">
      <alignment horizontal="center"/>
    </xf>
    <xf numFmtId="0" fontId="55" fillId="0" borderId="43" xfId="0" applyFont="1" applyBorder="1" applyAlignment="1">
      <alignment horizontal="center" vertical="center"/>
    </xf>
    <xf numFmtId="0" fontId="55" fillId="0" borderId="41" xfId="0" applyFont="1" applyBorder="1" applyAlignment="1">
      <alignment horizontal="center" vertical="center"/>
    </xf>
    <xf numFmtId="0" fontId="55" fillId="18" borderId="38" xfId="0" applyFont="1" applyFill="1" applyBorder="1" applyAlignment="1">
      <alignment horizontal="center" vertical="center"/>
    </xf>
    <xf numFmtId="0" fontId="55" fillId="18" borderId="40" xfId="0" applyFont="1" applyFill="1" applyBorder="1" applyAlignment="1">
      <alignment horizontal="center" vertical="center"/>
    </xf>
    <xf numFmtId="0" fontId="55" fillId="18" borderId="39" xfId="0" applyFont="1" applyFill="1" applyBorder="1" applyAlignment="1">
      <alignment horizontal="center" vertical="center"/>
    </xf>
    <xf numFmtId="2" fontId="55" fillId="15" borderId="38" xfId="0" applyNumberFormat="1" applyFont="1" applyFill="1" applyBorder="1" applyAlignment="1">
      <alignment horizontal="center" vertical="center" wrapText="1"/>
    </xf>
    <xf numFmtId="2" fontId="55" fillId="15" borderId="39" xfId="0" applyNumberFormat="1" applyFont="1" applyFill="1" applyBorder="1" applyAlignment="1">
      <alignment horizontal="center" vertical="center" wrapText="1"/>
    </xf>
    <xf numFmtId="0" fontId="59" fillId="15" borderId="23" xfId="0" applyFont="1" applyFill="1" applyBorder="1" applyAlignment="1">
      <alignment horizontal="center"/>
    </xf>
    <xf numFmtId="0" fontId="0" fillId="0" borderId="43" xfId="0" applyBorder="1" applyAlignment="1">
      <alignment horizontal="center"/>
    </xf>
    <xf numFmtId="0" fontId="0" fillId="0" borderId="41" xfId="0" applyBorder="1" applyAlignment="1">
      <alignment horizontal="center"/>
    </xf>
    <xf numFmtId="0" fontId="0" fillId="0" borderId="43" xfId="0" applyBorder="1" applyAlignment="1">
      <alignment horizontal="center" wrapText="1"/>
    </xf>
    <xf numFmtId="0" fontId="0" fillId="0" borderId="41" xfId="0" applyBorder="1" applyAlignment="1">
      <alignment horizontal="center" wrapText="1"/>
    </xf>
    <xf numFmtId="0" fontId="0" fillId="0" borderId="38" xfId="0" applyBorder="1" applyAlignment="1">
      <alignment horizontal="center"/>
    </xf>
    <xf numFmtId="0" fontId="0" fillId="0" borderId="39" xfId="0" applyBorder="1" applyAlignment="1">
      <alignment horizontal="center"/>
    </xf>
    <xf numFmtId="0" fontId="146" fillId="0" borderId="23" xfId="0" applyFont="1" applyBorder="1" applyAlignment="1">
      <alignment horizontal="center"/>
    </xf>
  </cellXfs>
  <cellStyles count="3722">
    <cellStyle name="_Cópia de mapa 032_gol" xfId="409"/>
    <cellStyle name="_mapa 032_gol_rev01" xfId="410"/>
    <cellStyle name="_mapa fleury-rev2.doc" xfId="411"/>
    <cellStyle name="_mapa padrão 134_rev3" xfId="412"/>
    <cellStyle name="0,0_x000d__x000a_NA_x000d__x000a_" xfId="413"/>
    <cellStyle name="0,0_x000d__x000a_NA_x000d__x000a_ 2" xfId="1998"/>
    <cellStyle name="20% - Cor1" xfId="414"/>
    <cellStyle name="20% - Cor1 2" xfId="1999"/>
    <cellStyle name="20% - Cor2" xfId="415"/>
    <cellStyle name="20% - Cor2 2" xfId="2000"/>
    <cellStyle name="20% - Cor3" xfId="416"/>
    <cellStyle name="20% - Cor3 2" xfId="2001"/>
    <cellStyle name="20% - Cor4" xfId="417"/>
    <cellStyle name="20% - Cor4 2" xfId="2002"/>
    <cellStyle name="20% - Cor5" xfId="418"/>
    <cellStyle name="20% - Cor5 2" xfId="2003"/>
    <cellStyle name="20% - Cor6" xfId="419"/>
    <cellStyle name="20% - Cor6 2" xfId="2004"/>
    <cellStyle name="20% - Ênfase1 10" xfId="3084"/>
    <cellStyle name="20% - Ênfase1 2" xfId="491"/>
    <cellStyle name="20% - Ênfase1 2 10" xfId="2930"/>
    <cellStyle name="20% - Ênfase1 2 11" xfId="3085"/>
    <cellStyle name="20% - Ênfase1 2 2" xfId="552"/>
    <cellStyle name="20% - Ênfase1 2 2 2" xfId="553"/>
    <cellStyle name="20% - Ênfase1 2 2 2 2" xfId="554"/>
    <cellStyle name="20% - Ênfase1 2 2 2 2 2" xfId="2005"/>
    <cellStyle name="20% - Ênfase1 2 2 2 3" xfId="555"/>
    <cellStyle name="20% - Ênfase1 2 2 2 3 2" xfId="2006"/>
    <cellStyle name="20% - Ênfase1 2 2 2 4" xfId="2007"/>
    <cellStyle name="20% - Ênfase1 2 2 2_12001 - Planilha orçamentária" xfId="556"/>
    <cellStyle name="20% - Ênfase1 2 2 3" xfId="557"/>
    <cellStyle name="20% - Ênfase1 2 2 3 2" xfId="2008"/>
    <cellStyle name="20% - Ênfase1 2 2 4" xfId="558"/>
    <cellStyle name="20% - Ênfase1 2 2 4 2" xfId="2009"/>
    <cellStyle name="20% - Ênfase1 2 2 5" xfId="2010"/>
    <cellStyle name="20% - Ênfase1 2 2_12001 - Planilha orçamentária" xfId="559"/>
    <cellStyle name="20% - Ênfase1 2 3" xfId="560"/>
    <cellStyle name="20% - Ênfase1 2 3 2" xfId="561"/>
    <cellStyle name="20% - Ênfase1 2 3 2 2" xfId="2011"/>
    <cellStyle name="20% - Ênfase1 2 3 3" xfId="562"/>
    <cellStyle name="20% - Ênfase1 2 3 3 2" xfId="2012"/>
    <cellStyle name="20% - Ênfase1 2 3 4" xfId="2013"/>
    <cellStyle name="20% - Ênfase1 2 3_12001 - Planilha orçamentária" xfId="563"/>
    <cellStyle name="20% - Ênfase1 2 4" xfId="564"/>
    <cellStyle name="20% - Ênfase1 2 4 2" xfId="2014"/>
    <cellStyle name="20% - Ênfase1 2 5" xfId="565"/>
    <cellStyle name="20% - Ênfase1 2 5 2" xfId="2015"/>
    <cellStyle name="20% - Ênfase1 2 6" xfId="2707"/>
    <cellStyle name="20% - Ênfase1 2 6 2" xfId="3086"/>
    <cellStyle name="20% - Ênfase1 2 7" xfId="2708"/>
    <cellStyle name="20% - Ênfase1 2 7 2" xfId="3096"/>
    <cellStyle name="20% - Ênfase1 2 8" xfId="2709"/>
    <cellStyle name="20% - Ênfase1 2 8 2" xfId="3110"/>
    <cellStyle name="20% - Ênfase1 2 9" xfId="2710"/>
    <cellStyle name="20% - Ênfase1 2 9 2" xfId="2942"/>
    <cellStyle name="20% - Ênfase1 2_12001 - Planilha orçamentária" xfId="566"/>
    <cellStyle name="20% - Ênfase1 3" xfId="519"/>
    <cellStyle name="20% - Ênfase1 3 2" xfId="2711"/>
    <cellStyle name="20% - Ênfase1 4" xfId="1753"/>
    <cellStyle name="20% - Ênfase1 5" xfId="931"/>
    <cellStyle name="20% - Ênfase1 6" xfId="2943"/>
    <cellStyle name="20% - Ênfase1 7" xfId="2944"/>
    <cellStyle name="20% - Ênfase1 8" xfId="3002"/>
    <cellStyle name="20% - Ênfase1 9" xfId="3097"/>
    <cellStyle name="20% - Ênfase2 10" xfId="3118"/>
    <cellStyle name="20% - Ênfase2 2" xfId="495"/>
    <cellStyle name="20% - Ênfase2 2 10" xfId="2925"/>
    <cellStyle name="20% - Ênfase2 2 11" xfId="3003"/>
    <cellStyle name="20% - Ênfase2 2 2" xfId="567"/>
    <cellStyle name="20% - Ênfase2 2 2 2" xfId="568"/>
    <cellStyle name="20% - Ênfase2 2 2 2 2" xfId="569"/>
    <cellStyle name="20% - Ênfase2 2 2 2 2 2" xfId="2016"/>
    <cellStyle name="20% - Ênfase2 2 2 2 3" xfId="570"/>
    <cellStyle name="20% - Ênfase2 2 2 2 3 2" xfId="2017"/>
    <cellStyle name="20% - Ênfase2 2 2 2 4" xfId="2018"/>
    <cellStyle name="20% - Ênfase2 2 2 2_12001 - Planilha orçamentária" xfId="571"/>
    <cellStyle name="20% - Ênfase2 2 2 3" xfId="572"/>
    <cellStyle name="20% - Ênfase2 2 2 3 2" xfId="2019"/>
    <cellStyle name="20% - Ênfase2 2 2 4" xfId="573"/>
    <cellStyle name="20% - Ênfase2 2 2 4 2" xfId="2020"/>
    <cellStyle name="20% - Ênfase2 2 2 5" xfId="2021"/>
    <cellStyle name="20% - Ênfase2 2 2_12001 - Planilha orçamentária" xfId="574"/>
    <cellStyle name="20% - Ênfase2 2 3" xfId="575"/>
    <cellStyle name="20% - Ênfase2 2 3 2" xfId="576"/>
    <cellStyle name="20% - Ênfase2 2 3 2 2" xfId="2022"/>
    <cellStyle name="20% - Ênfase2 2 3 3" xfId="577"/>
    <cellStyle name="20% - Ênfase2 2 3 3 2" xfId="2023"/>
    <cellStyle name="20% - Ênfase2 2 3 4" xfId="2024"/>
    <cellStyle name="20% - Ênfase2 2 3_12001 - Planilha orçamentária" xfId="578"/>
    <cellStyle name="20% - Ênfase2 2 4" xfId="579"/>
    <cellStyle name="20% - Ênfase2 2 4 2" xfId="2025"/>
    <cellStyle name="20% - Ênfase2 2 5" xfId="580"/>
    <cellStyle name="20% - Ênfase2 2 5 2" xfId="2026"/>
    <cellStyle name="20% - Ênfase2 2 6" xfId="2712"/>
    <cellStyle name="20% - Ênfase2 2 6 2" xfId="2945"/>
    <cellStyle name="20% - Ênfase2 2 7" xfId="2713"/>
    <cellStyle name="20% - Ênfase2 2 7 2" xfId="3098"/>
    <cellStyle name="20% - Ênfase2 2 8" xfId="2714"/>
    <cellStyle name="20% - Ênfase2 2 8 2" xfId="3119"/>
    <cellStyle name="20% - Ênfase2 2 9" xfId="2715"/>
    <cellStyle name="20% - Ênfase2 2 9 2" xfId="3099"/>
    <cellStyle name="20% - Ênfase2 2_12001 - Planilha orçamentária" xfId="581"/>
    <cellStyle name="20% - Ênfase2 3" xfId="521"/>
    <cellStyle name="20% - Ênfase2 3 2" xfId="2716"/>
    <cellStyle name="20% - Ênfase2 4" xfId="3120"/>
    <cellStyle name="20% - Ênfase2 5" xfId="2927"/>
    <cellStyle name="20% - Ênfase2 6" xfId="2946"/>
    <cellStyle name="20% - Ênfase2 7" xfId="2947"/>
    <cellStyle name="20% - Ênfase2 8" xfId="3004"/>
    <cellStyle name="20% - Ênfase2 9" xfId="3100"/>
    <cellStyle name="20% - Ênfase3 10" xfId="1748"/>
    <cellStyle name="20% - Ênfase3 2" xfId="499"/>
    <cellStyle name="20% - Ênfase3 2 10" xfId="3005"/>
    <cellStyle name="20% - Ênfase3 2 11" xfId="3006"/>
    <cellStyle name="20% - Ênfase3 2 2" xfId="582"/>
    <cellStyle name="20% - Ênfase3 2 2 2" xfId="583"/>
    <cellStyle name="20% - Ênfase3 2 2 2 2" xfId="584"/>
    <cellStyle name="20% - Ênfase3 2 2 2 2 2" xfId="2027"/>
    <cellStyle name="20% - Ênfase3 2 2 2 3" xfId="585"/>
    <cellStyle name="20% - Ênfase3 2 2 2 3 2" xfId="2028"/>
    <cellStyle name="20% - Ênfase3 2 2 2 4" xfId="2029"/>
    <cellStyle name="20% - Ênfase3 2 2 2_12001 - Planilha orçamentária" xfId="586"/>
    <cellStyle name="20% - Ênfase3 2 2 3" xfId="587"/>
    <cellStyle name="20% - Ênfase3 2 2 3 2" xfId="2030"/>
    <cellStyle name="20% - Ênfase3 2 2 4" xfId="588"/>
    <cellStyle name="20% - Ênfase3 2 2 4 2" xfId="2031"/>
    <cellStyle name="20% - Ênfase3 2 2 5" xfId="2032"/>
    <cellStyle name="20% - Ênfase3 2 2_12001 - Planilha orçamentária" xfId="589"/>
    <cellStyle name="20% - Ênfase3 2 3" xfId="590"/>
    <cellStyle name="20% - Ênfase3 2 3 2" xfId="591"/>
    <cellStyle name="20% - Ênfase3 2 3 2 2" xfId="2033"/>
    <cellStyle name="20% - Ênfase3 2 3 3" xfId="592"/>
    <cellStyle name="20% - Ênfase3 2 3 3 2" xfId="2034"/>
    <cellStyle name="20% - Ênfase3 2 3 4" xfId="2035"/>
    <cellStyle name="20% - Ênfase3 2 3_12001 - Planilha orçamentária" xfId="593"/>
    <cellStyle name="20% - Ênfase3 2 4" xfId="594"/>
    <cellStyle name="20% - Ênfase3 2 4 2" xfId="2036"/>
    <cellStyle name="20% - Ênfase3 2 5" xfId="595"/>
    <cellStyle name="20% - Ênfase3 2 5 2" xfId="2037"/>
    <cellStyle name="20% - Ênfase3 2 6" xfId="2717"/>
    <cellStyle name="20% - Ênfase3 2 6 2" xfId="3076"/>
    <cellStyle name="20% - Ênfase3 2 7" xfId="2718"/>
    <cellStyle name="20% - Ênfase3 2 7 2" xfId="2931"/>
    <cellStyle name="20% - Ênfase3 2 8" xfId="2719"/>
    <cellStyle name="20% - Ênfase3 2 8 2" xfId="3122"/>
    <cellStyle name="20% - Ênfase3 2 9" xfId="2720"/>
    <cellStyle name="20% - Ênfase3 2 9 2" xfId="3007"/>
    <cellStyle name="20% - Ênfase3 2_12001 - Planilha orçamentária" xfId="596"/>
    <cellStyle name="20% - Ênfase3 3" xfId="523"/>
    <cellStyle name="20% - Ênfase3 3 2" xfId="2721"/>
    <cellStyle name="20% - Ênfase3 4" xfId="2932"/>
    <cellStyle name="20% - Ênfase3 5" xfId="3087"/>
    <cellStyle name="20% - Ênfase3 6" xfId="2933"/>
    <cellStyle name="20% - Ênfase3 7" xfId="3088"/>
    <cellStyle name="20% - Ênfase3 8" xfId="2948"/>
    <cellStyle name="20% - Ênfase3 9" xfId="3008"/>
    <cellStyle name="20% - Ênfase4 10" xfId="3101"/>
    <cellStyle name="20% - Ênfase4 2" xfId="503"/>
    <cellStyle name="20% - Ênfase4 2 10" xfId="3009"/>
    <cellStyle name="20% - Ênfase4 2 11" xfId="3010"/>
    <cellStyle name="20% - Ênfase4 2 2" xfId="597"/>
    <cellStyle name="20% - Ênfase4 2 2 2" xfId="598"/>
    <cellStyle name="20% - Ênfase4 2 2 2 2" xfId="599"/>
    <cellStyle name="20% - Ênfase4 2 2 2 2 2" xfId="2038"/>
    <cellStyle name="20% - Ênfase4 2 2 2 3" xfId="600"/>
    <cellStyle name="20% - Ênfase4 2 2 2 3 2" xfId="2039"/>
    <cellStyle name="20% - Ênfase4 2 2 2 4" xfId="2040"/>
    <cellStyle name="20% - Ênfase4 2 2 2_12001 - Planilha orçamentária" xfId="601"/>
    <cellStyle name="20% - Ênfase4 2 2 3" xfId="602"/>
    <cellStyle name="20% - Ênfase4 2 2 3 2" xfId="2041"/>
    <cellStyle name="20% - Ênfase4 2 2 4" xfId="603"/>
    <cellStyle name="20% - Ênfase4 2 2 4 2" xfId="2042"/>
    <cellStyle name="20% - Ênfase4 2 2 5" xfId="2043"/>
    <cellStyle name="20% - Ênfase4 2 2_12001 - Planilha orçamentária" xfId="604"/>
    <cellStyle name="20% - Ênfase4 2 3" xfId="605"/>
    <cellStyle name="20% - Ênfase4 2 3 2" xfId="606"/>
    <cellStyle name="20% - Ênfase4 2 3 2 2" xfId="2044"/>
    <cellStyle name="20% - Ênfase4 2 3 3" xfId="607"/>
    <cellStyle name="20% - Ênfase4 2 3 3 2" xfId="2045"/>
    <cellStyle name="20% - Ênfase4 2 3 4" xfId="2046"/>
    <cellStyle name="20% - Ênfase4 2 3_12001 - Planilha orçamentária" xfId="608"/>
    <cellStyle name="20% - Ênfase4 2 4" xfId="609"/>
    <cellStyle name="20% - Ênfase4 2 4 2" xfId="2047"/>
    <cellStyle name="20% - Ênfase4 2 5" xfId="610"/>
    <cellStyle name="20% - Ênfase4 2 5 2" xfId="2048"/>
    <cellStyle name="20% - Ênfase4 2 6" xfId="2722"/>
    <cellStyle name="20% - Ênfase4 2 6 2" xfId="3102"/>
    <cellStyle name="20% - Ênfase4 2 7" xfId="2723"/>
    <cellStyle name="20% - Ênfase4 2 7 2" xfId="2949"/>
    <cellStyle name="20% - Ênfase4 2 8" xfId="2724"/>
    <cellStyle name="20% - Ênfase4 2 8 2" xfId="3011"/>
    <cellStyle name="20% - Ênfase4 2 9" xfId="2725"/>
    <cellStyle name="20% - Ênfase4 2 9 2" xfId="2950"/>
    <cellStyle name="20% - Ênfase4 2_12001 - Planilha orçamentária" xfId="611"/>
    <cellStyle name="20% - Ênfase4 3" xfId="525"/>
    <cellStyle name="20% - Ênfase4 3 2" xfId="2726"/>
    <cellStyle name="20% - Ênfase4 4" xfId="3012"/>
    <cellStyle name="20% - Ênfase4 5" xfId="3013"/>
    <cellStyle name="20% - Ênfase4 6" xfId="3014"/>
    <cellStyle name="20% - Ênfase4 7" xfId="2951"/>
    <cellStyle name="20% - Ênfase4 8" xfId="2952"/>
    <cellStyle name="20% - Ênfase4 9" xfId="3015"/>
    <cellStyle name="20% - Ênfase5 10" xfId="2953"/>
    <cellStyle name="20% - Ênfase5 2" xfId="507"/>
    <cellStyle name="20% - Ênfase5 2 10" xfId="3016"/>
    <cellStyle name="20% - Ênfase5 2 11" xfId="3017"/>
    <cellStyle name="20% - Ênfase5 2 2" xfId="612"/>
    <cellStyle name="20% - Ênfase5 2 2 2" xfId="613"/>
    <cellStyle name="20% - Ênfase5 2 2 2 2" xfId="614"/>
    <cellStyle name="20% - Ênfase5 2 2 2 2 2" xfId="2049"/>
    <cellStyle name="20% - Ênfase5 2 2 2 3" xfId="615"/>
    <cellStyle name="20% - Ênfase5 2 2 2 3 2" xfId="2050"/>
    <cellStyle name="20% - Ênfase5 2 2 2 4" xfId="2051"/>
    <cellStyle name="20% - Ênfase5 2 2 2_12001 - Planilha orçamentária" xfId="616"/>
    <cellStyle name="20% - Ênfase5 2 2 3" xfId="617"/>
    <cellStyle name="20% - Ênfase5 2 2 3 2" xfId="2052"/>
    <cellStyle name="20% - Ênfase5 2 2 4" xfId="618"/>
    <cellStyle name="20% - Ênfase5 2 2 4 2" xfId="2053"/>
    <cellStyle name="20% - Ênfase5 2 2 5" xfId="2054"/>
    <cellStyle name="20% - Ênfase5 2 2_12001 - Planilha orçamentária" xfId="619"/>
    <cellStyle name="20% - Ênfase5 2 3" xfId="620"/>
    <cellStyle name="20% - Ênfase5 2 3 2" xfId="621"/>
    <cellStyle name="20% - Ênfase5 2 3 2 2" xfId="2055"/>
    <cellStyle name="20% - Ênfase5 2 3 3" xfId="622"/>
    <cellStyle name="20% - Ênfase5 2 3 3 2" xfId="2056"/>
    <cellStyle name="20% - Ênfase5 2 3 4" xfId="2057"/>
    <cellStyle name="20% - Ênfase5 2 3_12001 - Planilha orçamentária" xfId="623"/>
    <cellStyle name="20% - Ênfase5 2 4" xfId="624"/>
    <cellStyle name="20% - Ênfase5 2 4 2" xfId="2058"/>
    <cellStyle name="20% - Ênfase5 2 5" xfId="625"/>
    <cellStyle name="20% - Ênfase5 2 5 2" xfId="2059"/>
    <cellStyle name="20% - Ênfase5 2 6" xfId="2727"/>
    <cellStyle name="20% - Ênfase5 2 6 2" xfId="2954"/>
    <cellStyle name="20% - Ênfase5 2 7" xfId="2728"/>
    <cellStyle name="20% - Ênfase5 2 7 2" xfId="2955"/>
    <cellStyle name="20% - Ênfase5 2 8" xfId="2729"/>
    <cellStyle name="20% - Ênfase5 2 8 2" xfId="3018"/>
    <cellStyle name="20% - Ênfase5 2 9" xfId="2730"/>
    <cellStyle name="20% - Ênfase5 2 9 2" xfId="2956"/>
    <cellStyle name="20% - Ênfase5 2_12001 - Planilha orçamentária" xfId="626"/>
    <cellStyle name="20% - Ênfase5 3" xfId="527"/>
    <cellStyle name="20% - Ênfase5 3 2" xfId="2731"/>
    <cellStyle name="20% - Ênfase5 4" xfId="3019"/>
    <cellStyle name="20% - Ênfase5 5" xfId="3020"/>
    <cellStyle name="20% - Ênfase5 6" xfId="3021"/>
    <cellStyle name="20% - Ênfase5 7" xfId="3077"/>
    <cellStyle name="20% - Ênfase5 8" xfId="3089"/>
    <cellStyle name="20% - Ênfase5 9" xfId="3123"/>
    <cellStyle name="20% - Ênfase6 10" xfId="3022"/>
    <cellStyle name="20% - Ênfase6 2" xfId="511"/>
    <cellStyle name="20% - Ênfase6 2 10" xfId="2934"/>
    <cellStyle name="20% - Ênfase6 2 11" xfId="2935"/>
    <cellStyle name="20% - Ênfase6 2 2" xfId="627"/>
    <cellStyle name="20% - Ênfase6 2 2 2" xfId="628"/>
    <cellStyle name="20% - Ênfase6 2 2 2 2" xfId="629"/>
    <cellStyle name="20% - Ênfase6 2 2 2 2 2" xfId="2060"/>
    <cellStyle name="20% - Ênfase6 2 2 2 3" xfId="630"/>
    <cellStyle name="20% - Ênfase6 2 2 2 3 2" xfId="2061"/>
    <cellStyle name="20% - Ênfase6 2 2 2 4" xfId="2062"/>
    <cellStyle name="20% - Ênfase6 2 2 2_12001 - Planilha orçamentária" xfId="631"/>
    <cellStyle name="20% - Ênfase6 2 2 3" xfId="632"/>
    <cellStyle name="20% - Ênfase6 2 2 3 2" xfId="2063"/>
    <cellStyle name="20% - Ênfase6 2 2 4" xfId="633"/>
    <cellStyle name="20% - Ênfase6 2 2 4 2" xfId="2064"/>
    <cellStyle name="20% - Ênfase6 2 2 5" xfId="2065"/>
    <cellStyle name="20% - Ênfase6 2 2_12001 - Planilha orçamentária" xfId="634"/>
    <cellStyle name="20% - Ênfase6 2 3" xfId="635"/>
    <cellStyle name="20% - Ênfase6 2 3 2" xfId="636"/>
    <cellStyle name="20% - Ênfase6 2 3 2 2" xfId="2066"/>
    <cellStyle name="20% - Ênfase6 2 3 3" xfId="637"/>
    <cellStyle name="20% - Ênfase6 2 3 3 2" xfId="2067"/>
    <cellStyle name="20% - Ênfase6 2 3 4" xfId="2068"/>
    <cellStyle name="20% - Ênfase6 2 3_12001 - Planilha orçamentária" xfId="638"/>
    <cellStyle name="20% - Ênfase6 2 4" xfId="639"/>
    <cellStyle name="20% - Ênfase6 2 4 2" xfId="2069"/>
    <cellStyle name="20% - Ênfase6 2 5" xfId="640"/>
    <cellStyle name="20% - Ênfase6 2 5 2" xfId="2070"/>
    <cellStyle name="20% - Ênfase6 2 6" xfId="2732"/>
    <cellStyle name="20% - Ênfase6 2 6 2" xfId="2936"/>
    <cellStyle name="20% - Ênfase6 2 7" xfId="2733"/>
    <cellStyle name="20% - Ênfase6 2 7 2" xfId="3090"/>
    <cellStyle name="20% - Ênfase6 2 8" xfId="2734"/>
    <cellStyle name="20% - Ênfase6 2 8 2" xfId="2957"/>
    <cellStyle name="20% - Ênfase6 2 9" xfId="2735"/>
    <cellStyle name="20% - Ênfase6 2 9 2" xfId="3023"/>
    <cellStyle name="20% - Ênfase6 2_12001 - Planilha orçamentária" xfId="641"/>
    <cellStyle name="20% - Ênfase6 3" xfId="529"/>
    <cellStyle name="20% - Ênfase6 3 2" xfId="2736"/>
    <cellStyle name="20% - Ênfase6 4" xfId="2958"/>
    <cellStyle name="20% - Ênfase6 5" xfId="3024"/>
    <cellStyle name="20% - Ênfase6 6" xfId="3025"/>
    <cellStyle name="20% - Ênfase6 7" xfId="2959"/>
    <cellStyle name="20% - Ênfase6 8" xfId="2960"/>
    <cellStyle name="20% - Ênfase6 9" xfId="3026"/>
    <cellStyle name="40% - Cor1" xfId="420"/>
    <cellStyle name="40% - Cor1 2" xfId="2071"/>
    <cellStyle name="40% - Cor2" xfId="421"/>
    <cellStyle name="40% - Cor2 2" xfId="2072"/>
    <cellStyle name="40% - Cor3" xfId="422"/>
    <cellStyle name="40% - Cor3 2" xfId="2073"/>
    <cellStyle name="40% - Cor4" xfId="423"/>
    <cellStyle name="40% - Cor4 2" xfId="2074"/>
    <cellStyle name="40% - Cor5" xfId="424"/>
    <cellStyle name="40% - Cor5 2" xfId="2075"/>
    <cellStyle name="40% - Cor6" xfId="425"/>
    <cellStyle name="40% - Cor6 2" xfId="2076"/>
    <cellStyle name="40% - Ênfase1 10" xfId="2961"/>
    <cellStyle name="40% - Ênfase1 2" xfId="492"/>
    <cellStyle name="40% - Ênfase1 2 10" xfId="3027"/>
    <cellStyle name="40% - Ênfase1 2 11" xfId="3112"/>
    <cellStyle name="40% - Ênfase1 2 2" xfId="642"/>
    <cellStyle name="40% - Ênfase1 2 2 2" xfId="643"/>
    <cellStyle name="40% - Ênfase1 2 2 2 2" xfId="644"/>
    <cellStyle name="40% - Ênfase1 2 2 2 2 2" xfId="2077"/>
    <cellStyle name="40% - Ênfase1 2 2 2 3" xfId="645"/>
    <cellStyle name="40% - Ênfase1 2 2 2 3 2" xfId="2078"/>
    <cellStyle name="40% - Ênfase1 2 2 2 4" xfId="2079"/>
    <cellStyle name="40% - Ênfase1 2 2 2_12001 - Planilha orçamentária" xfId="646"/>
    <cellStyle name="40% - Ênfase1 2 2 3" xfId="647"/>
    <cellStyle name="40% - Ênfase1 2 2 3 2" xfId="2080"/>
    <cellStyle name="40% - Ênfase1 2 2 4" xfId="648"/>
    <cellStyle name="40% - Ênfase1 2 2 4 2" xfId="2081"/>
    <cellStyle name="40% - Ênfase1 2 2 5" xfId="2082"/>
    <cellStyle name="40% - Ênfase1 2 2_12001 - Planilha orçamentária" xfId="649"/>
    <cellStyle name="40% - Ênfase1 2 3" xfId="650"/>
    <cellStyle name="40% - Ênfase1 2 3 2" xfId="651"/>
    <cellStyle name="40% - Ênfase1 2 3 2 2" xfId="2083"/>
    <cellStyle name="40% - Ênfase1 2 3 3" xfId="652"/>
    <cellStyle name="40% - Ênfase1 2 3 3 2" xfId="2084"/>
    <cellStyle name="40% - Ênfase1 2 3 4" xfId="2085"/>
    <cellStyle name="40% - Ênfase1 2 3_12001 - Planilha orçamentária" xfId="653"/>
    <cellStyle name="40% - Ênfase1 2 4" xfId="654"/>
    <cellStyle name="40% - Ênfase1 2 4 2" xfId="2086"/>
    <cellStyle name="40% - Ênfase1 2 5" xfId="655"/>
    <cellStyle name="40% - Ênfase1 2 5 2" xfId="2087"/>
    <cellStyle name="40% - Ênfase1 2 6" xfId="2737"/>
    <cellStyle name="40% - Ênfase1 2 6 2" xfId="2928"/>
    <cellStyle name="40% - Ênfase1 2 7" xfId="2738"/>
    <cellStyle name="40% - Ênfase1 2 7 2" xfId="2962"/>
    <cellStyle name="40% - Ênfase1 2 8" xfId="2739"/>
    <cellStyle name="40% - Ênfase1 2 8 2" xfId="2963"/>
    <cellStyle name="40% - Ênfase1 2 9" xfId="2740"/>
    <cellStyle name="40% - Ênfase1 2 9 2" xfId="3028"/>
    <cellStyle name="40% - Ênfase1 2_12001 - Planilha orçamentária" xfId="656"/>
    <cellStyle name="40% - Ênfase1 3" xfId="520"/>
    <cellStyle name="40% - Ênfase1 3 2" xfId="2741"/>
    <cellStyle name="40% - Ênfase1 4" xfId="2964"/>
    <cellStyle name="40% - Ênfase1 5" xfId="3029"/>
    <cellStyle name="40% - Ênfase1 6" xfId="3121"/>
    <cellStyle name="40% - Ênfase1 7" xfId="2965"/>
    <cellStyle name="40% - Ênfase1 8" xfId="2966"/>
    <cellStyle name="40% - Ênfase1 9" xfId="934"/>
    <cellStyle name="40% - Ênfase2 10" xfId="2967"/>
    <cellStyle name="40% - Ênfase2 2" xfId="496"/>
    <cellStyle name="40% - Ênfase2 2 10" xfId="3030"/>
    <cellStyle name="40% - Ênfase2 2 11" xfId="3031"/>
    <cellStyle name="40% - Ênfase2 2 2" xfId="657"/>
    <cellStyle name="40% - Ênfase2 2 2 2" xfId="658"/>
    <cellStyle name="40% - Ênfase2 2 2 2 2" xfId="659"/>
    <cellStyle name="40% - Ênfase2 2 2 2 2 2" xfId="2088"/>
    <cellStyle name="40% - Ênfase2 2 2 2 3" xfId="660"/>
    <cellStyle name="40% - Ênfase2 2 2 2 3 2" xfId="2089"/>
    <cellStyle name="40% - Ênfase2 2 2 2 4" xfId="2090"/>
    <cellStyle name="40% - Ênfase2 2 2 2_12001 - Planilha orçamentária" xfId="661"/>
    <cellStyle name="40% - Ênfase2 2 2 3" xfId="662"/>
    <cellStyle name="40% - Ênfase2 2 2 3 2" xfId="2091"/>
    <cellStyle name="40% - Ênfase2 2 2 4" xfId="663"/>
    <cellStyle name="40% - Ênfase2 2 2 4 2" xfId="2092"/>
    <cellStyle name="40% - Ênfase2 2 2 5" xfId="2093"/>
    <cellStyle name="40% - Ênfase2 2 2_12001 - Planilha orçamentária" xfId="664"/>
    <cellStyle name="40% - Ênfase2 2 3" xfId="665"/>
    <cellStyle name="40% - Ênfase2 2 3 2" xfId="666"/>
    <cellStyle name="40% - Ênfase2 2 3 2 2" xfId="2094"/>
    <cellStyle name="40% - Ênfase2 2 3 3" xfId="667"/>
    <cellStyle name="40% - Ênfase2 2 3 3 2" xfId="2095"/>
    <cellStyle name="40% - Ênfase2 2 3 4" xfId="2096"/>
    <cellStyle name="40% - Ênfase2 2 3_12001 - Planilha orçamentária" xfId="668"/>
    <cellStyle name="40% - Ênfase2 2 4" xfId="669"/>
    <cellStyle name="40% - Ênfase2 2 4 2" xfId="2097"/>
    <cellStyle name="40% - Ênfase2 2 5" xfId="670"/>
    <cellStyle name="40% - Ênfase2 2 5 2" xfId="2098"/>
    <cellStyle name="40% - Ênfase2 2 6" xfId="2742"/>
    <cellStyle name="40% - Ênfase2 2 6 2" xfId="3032"/>
    <cellStyle name="40% - Ênfase2 2 7" xfId="2743"/>
    <cellStyle name="40% - Ênfase2 2 7 2" xfId="3078"/>
    <cellStyle name="40% - Ênfase2 2 8" xfId="2744"/>
    <cellStyle name="40% - Ênfase2 2 8 2" xfId="2937"/>
    <cellStyle name="40% - Ênfase2 2 9" xfId="2745"/>
    <cellStyle name="40% - Ênfase2 2 9 2" xfId="3124"/>
    <cellStyle name="40% - Ênfase2 2_12001 - Planilha orçamentária" xfId="671"/>
    <cellStyle name="40% - Ênfase2 3" xfId="522"/>
    <cellStyle name="40% - Ênfase2 3 2" xfId="2746"/>
    <cellStyle name="40% - Ênfase2 4" xfId="3033"/>
    <cellStyle name="40% - Ênfase2 5" xfId="3091"/>
    <cellStyle name="40% - Ênfase2 6" xfId="3092"/>
    <cellStyle name="40% - Ênfase2 7" xfId="2938"/>
    <cellStyle name="40% - Ênfase2 8" xfId="2939"/>
    <cellStyle name="40% - Ênfase2 9" xfId="2968"/>
    <cellStyle name="40% - Ênfase3 10" xfId="3034"/>
    <cellStyle name="40% - Ênfase3 2" xfId="500"/>
    <cellStyle name="40% - Ênfase3 2 10" xfId="2969"/>
    <cellStyle name="40% - Ênfase3 2 11" xfId="3035"/>
    <cellStyle name="40% - Ênfase3 2 2" xfId="672"/>
    <cellStyle name="40% - Ênfase3 2 2 2" xfId="673"/>
    <cellStyle name="40% - Ênfase3 2 2 2 2" xfId="674"/>
    <cellStyle name="40% - Ênfase3 2 2 2 2 2" xfId="2099"/>
    <cellStyle name="40% - Ênfase3 2 2 2 3" xfId="675"/>
    <cellStyle name="40% - Ênfase3 2 2 2 3 2" xfId="2100"/>
    <cellStyle name="40% - Ênfase3 2 2 2 4" xfId="2101"/>
    <cellStyle name="40% - Ênfase3 2 2 2_12001 - Planilha orçamentária" xfId="676"/>
    <cellStyle name="40% - Ênfase3 2 2 3" xfId="677"/>
    <cellStyle name="40% - Ênfase3 2 2 3 2" xfId="2102"/>
    <cellStyle name="40% - Ênfase3 2 2 4" xfId="678"/>
    <cellStyle name="40% - Ênfase3 2 2 4 2" xfId="2103"/>
    <cellStyle name="40% - Ênfase3 2 2 5" xfId="2104"/>
    <cellStyle name="40% - Ênfase3 2 2_12001 - Planilha orçamentária" xfId="679"/>
    <cellStyle name="40% - Ênfase3 2 3" xfId="680"/>
    <cellStyle name="40% - Ênfase3 2 3 2" xfId="681"/>
    <cellStyle name="40% - Ênfase3 2 3 2 2" xfId="2105"/>
    <cellStyle name="40% - Ênfase3 2 3 3" xfId="682"/>
    <cellStyle name="40% - Ênfase3 2 3 3 2" xfId="2106"/>
    <cellStyle name="40% - Ênfase3 2 3 4" xfId="2107"/>
    <cellStyle name="40% - Ênfase3 2 3_12001 - Planilha orçamentária" xfId="683"/>
    <cellStyle name="40% - Ênfase3 2 4" xfId="684"/>
    <cellStyle name="40% - Ênfase3 2 4 2" xfId="2108"/>
    <cellStyle name="40% - Ênfase3 2 5" xfId="685"/>
    <cellStyle name="40% - Ênfase3 2 5 2" xfId="2109"/>
    <cellStyle name="40% - Ênfase3 2 6" xfId="2747"/>
    <cellStyle name="40% - Ênfase3 2 6 2" xfId="3036"/>
    <cellStyle name="40% - Ênfase3 2 7" xfId="2748"/>
    <cellStyle name="40% - Ênfase3 2 7 2" xfId="2970"/>
    <cellStyle name="40% - Ênfase3 2 8" xfId="2749"/>
    <cellStyle name="40% - Ênfase3 2 8 2" xfId="2971"/>
    <cellStyle name="40% - Ênfase3 2 9" xfId="2750"/>
    <cellStyle name="40% - Ênfase3 2 9 2" xfId="3037"/>
    <cellStyle name="40% - Ênfase3 2_12001 - Planilha orçamentária" xfId="686"/>
    <cellStyle name="40% - Ênfase3 3" xfId="524"/>
    <cellStyle name="40% - Ênfase3 3 2" xfId="2751"/>
    <cellStyle name="40% - Ênfase3 4" xfId="2972"/>
    <cellStyle name="40% - Ênfase3 5" xfId="3038"/>
    <cellStyle name="40% - Ênfase3 6" xfId="3039"/>
    <cellStyle name="40% - Ênfase3 7" xfId="3040"/>
    <cellStyle name="40% - Ênfase3 8" xfId="2973"/>
    <cellStyle name="40% - Ênfase3 9" xfId="2974"/>
    <cellStyle name="40% - Ênfase4 10" xfId="3041"/>
    <cellStyle name="40% - Ênfase4 2" xfId="504"/>
    <cellStyle name="40% - Ênfase4 2 10" xfId="2975"/>
    <cellStyle name="40% - Ênfase4 2 11" xfId="3042"/>
    <cellStyle name="40% - Ênfase4 2 2" xfId="687"/>
    <cellStyle name="40% - Ênfase4 2 2 2" xfId="688"/>
    <cellStyle name="40% - Ênfase4 2 2 2 2" xfId="689"/>
    <cellStyle name="40% - Ênfase4 2 2 2 2 2" xfId="2110"/>
    <cellStyle name="40% - Ênfase4 2 2 2 3" xfId="690"/>
    <cellStyle name="40% - Ênfase4 2 2 2 3 2" xfId="2111"/>
    <cellStyle name="40% - Ênfase4 2 2 2 4" xfId="2112"/>
    <cellStyle name="40% - Ênfase4 2 2 2_12001 - Planilha orçamentária" xfId="691"/>
    <cellStyle name="40% - Ênfase4 2 2 3" xfId="692"/>
    <cellStyle name="40% - Ênfase4 2 2 3 2" xfId="2113"/>
    <cellStyle name="40% - Ênfase4 2 2 4" xfId="693"/>
    <cellStyle name="40% - Ênfase4 2 2 4 2" xfId="2114"/>
    <cellStyle name="40% - Ênfase4 2 2 5" xfId="2115"/>
    <cellStyle name="40% - Ênfase4 2 2_12001 - Planilha orçamentária" xfId="694"/>
    <cellStyle name="40% - Ênfase4 2 3" xfId="695"/>
    <cellStyle name="40% - Ênfase4 2 3 2" xfId="696"/>
    <cellStyle name="40% - Ênfase4 2 3 2 2" xfId="2116"/>
    <cellStyle name="40% - Ênfase4 2 3 3" xfId="697"/>
    <cellStyle name="40% - Ênfase4 2 3 3 2" xfId="2117"/>
    <cellStyle name="40% - Ênfase4 2 3 4" xfId="2118"/>
    <cellStyle name="40% - Ênfase4 2 3_12001 - Planilha orçamentária" xfId="698"/>
    <cellStyle name="40% - Ênfase4 2 4" xfId="699"/>
    <cellStyle name="40% - Ênfase4 2 4 2" xfId="2119"/>
    <cellStyle name="40% - Ênfase4 2 5" xfId="700"/>
    <cellStyle name="40% - Ênfase4 2 5 2" xfId="2120"/>
    <cellStyle name="40% - Ênfase4 2 6" xfId="2752"/>
    <cellStyle name="40% - Ênfase4 2 6 2" xfId="3043"/>
    <cellStyle name="40% - Ênfase4 2 7" xfId="2753"/>
    <cellStyle name="40% - Ênfase4 2 7 2" xfId="2976"/>
    <cellStyle name="40% - Ênfase4 2 8" xfId="2754"/>
    <cellStyle name="40% - Ênfase4 2 8 2" xfId="2977"/>
    <cellStyle name="40% - Ênfase4 2 9" xfId="2755"/>
    <cellStyle name="40% - Ênfase4 2 9 2" xfId="3044"/>
    <cellStyle name="40% - Ênfase4 2_12001 - Planilha orçamentária" xfId="701"/>
    <cellStyle name="40% - Ênfase4 3" xfId="526"/>
    <cellStyle name="40% - Ênfase4 3 2" xfId="2756"/>
    <cellStyle name="40% - Ênfase4 4" xfId="2978"/>
    <cellStyle name="40% - Ênfase4 5" xfId="3045"/>
    <cellStyle name="40% - Ênfase4 6" xfId="3046"/>
    <cellStyle name="40% - Ênfase4 7" xfId="3047"/>
    <cellStyle name="40% - Ênfase4 8" xfId="3127"/>
    <cellStyle name="40% - Ênfase4 9" xfId="3093"/>
    <cellStyle name="40% - Ênfase5 10" xfId="3125"/>
    <cellStyle name="40% - Ênfase5 2" xfId="508"/>
    <cellStyle name="40% - Ênfase5 2 10" xfId="3048"/>
    <cellStyle name="40% - Ênfase5 2 11" xfId="2940"/>
    <cellStyle name="40% - Ênfase5 2 2" xfId="702"/>
    <cellStyle name="40% - Ênfase5 2 2 2" xfId="703"/>
    <cellStyle name="40% - Ênfase5 2 2 2 2" xfId="704"/>
    <cellStyle name="40% - Ênfase5 2 2 2 2 2" xfId="2121"/>
    <cellStyle name="40% - Ênfase5 2 2 2 3" xfId="705"/>
    <cellStyle name="40% - Ênfase5 2 2 2 3 2" xfId="2122"/>
    <cellStyle name="40% - Ênfase5 2 2 2 4" xfId="2123"/>
    <cellStyle name="40% - Ênfase5 2 2 2_12001 - Planilha orçamentária" xfId="706"/>
    <cellStyle name="40% - Ênfase5 2 2 3" xfId="707"/>
    <cellStyle name="40% - Ênfase5 2 2 3 2" xfId="2124"/>
    <cellStyle name="40% - Ênfase5 2 2 4" xfId="708"/>
    <cellStyle name="40% - Ênfase5 2 2 4 2" xfId="2125"/>
    <cellStyle name="40% - Ênfase5 2 2 5" xfId="2126"/>
    <cellStyle name="40% - Ênfase5 2 2_12001 - Planilha orçamentária" xfId="709"/>
    <cellStyle name="40% - Ênfase5 2 3" xfId="710"/>
    <cellStyle name="40% - Ênfase5 2 3 2" xfId="711"/>
    <cellStyle name="40% - Ênfase5 2 3 2 2" xfId="2127"/>
    <cellStyle name="40% - Ênfase5 2 3 3" xfId="712"/>
    <cellStyle name="40% - Ênfase5 2 3 3 2" xfId="2128"/>
    <cellStyle name="40% - Ênfase5 2 3 4" xfId="2129"/>
    <cellStyle name="40% - Ênfase5 2 3_12001 - Planilha orçamentária" xfId="713"/>
    <cellStyle name="40% - Ênfase5 2 4" xfId="714"/>
    <cellStyle name="40% - Ênfase5 2 4 2" xfId="2130"/>
    <cellStyle name="40% - Ênfase5 2 5" xfId="715"/>
    <cellStyle name="40% - Ênfase5 2 5 2" xfId="2131"/>
    <cellStyle name="40% - Ênfase5 2 6" xfId="2757"/>
    <cellStyle name="40% - Ênfase5 2 6 2" xfId="3094"/>
    <cellStyle name="40% - Ênfase5 2 7" xfId="2758"/>
    <cellStyle name="40% - Ênfase5 2 7 2" xfId="3113"/>
    <cellStyle name="40% - Ênfase5 2 8" xfId="2759"/>
    <cellStyle name="40% - Ênfase5 2 8 2" xfId="3114"/>
    <cellStyle name="40% - Ênfase5 2 9" xfId="2760"/>
    <cellStyle name="40% - Ênfase5 2 9 2" xfId="2979"/>
    <cellStyle name="40% - Ênfase5 2_12001 - Planilha orçamentária" xfId="716"/>
    <cellStyle name="40% - Ênfase5 3" xfId="528"/>
    <cellStyle name="40% - Ênfase5 3 2" xfId="2761"/>
    <cellStyle name="40% - Ênfase5 4" xfId="3049"/>
    <cellStyle name="40% - Ênfase5 5" xfId="2980"/>
    <cellStyle name="40% - Ênfase5 6" xfId="3050"/>
    <cellStyle name="40% - Ênfase5 7" xfId="3051"/>
    <cellStyle name="40% - Ênfase5 8" xfId="2981"/>
    <cellStyle name="40% - Ênfase5 9" xfId="2982"/>
    <cellStyle name="40% - Ênfase6 10" xfId="3052"/>
    <cellStyle name="40% - Ênfase6 2" xfId="512"/>
    <cellStyle name="40% - Ênfase6 2 10" xfId="2983"/>
    <cellStyle name="40% - Ênfase6 2 11" xfId="3053"/>
    <cellStyle name="40% - Ênfase6 2 2" xfId="717"/>
    <cellStyle name="40% - Ênfase6 2 2 2" xfId="718"/>
    <cellStyle name="40% - Ênfase6 2 2 2 2" xfId="719"/>
    <cellStyle name="40% - Ênfase6 2 2 2 2 2" xfId="2132"/>
    <cellStyle name="40% - Ênfase6 2 2 2 3" xfId="720"/>
    <cellStyle name="40% - Ênfase6 2 2 2 3 2" xfId="2133"/>
    <cellStyle name="40% - Ênfase6 2 2 2 4" xfId="2134"/>
    <cellStyle name="40% - Ênfase6 2 2 2_12001 - Planilha orçamentária" xfId="721"/>
    <cellStyle name="40% - Ênfase6 2 2 3" xfId="722"/>
    <cellStyle name="40% - Ênfase6 2 2 3 2" xfId="2135"/>
    <cellStyle name="40% - Ênfase6 2 2 4" xfId="723"/>
    <cellStyle name="40% - Ênfase6 2 2 4 2" xfId="2136"/>
    <cellStyle name="40% - Ênfase6 2 2 5" xfId="2137"/>
    <cellStyle name="40% - Ênfase6 2 2_12001 - Planilha orçamentária" xfId="724"/>
    <cellStyle name="40% - Ênfase6 2 3" xfId="725"/>
    <cellStyle name="40% - Ênfase6 2 3 2" xfId="726"/>
    <cellStyle name="40% - Ênfase6 2 3 2 2" xfId="2138"/>
    <cellStyle name="40% - Ênfase6 2 3 3" xfId="727"/>
    <cellStyle name="40% - Ênfase6 2 3 3 2" xfId="2139"/>
    <cellStyle name="40% - Ênfase6 2 3 4" xfId="2140"/>
    <cellStyle name="40% - Ênfase6 2 3_12001 - Planilha orçamentária" xfId="728"/>
    <cellStyle name="40% - Ênfase6 2 4" xfId="729"/>
    <cellStyle name="40% - Ênfase6 2 4 2" xfId="2141"/>
    <cellStyle name="40% - Ênfase6 2 5" xfId="730"/>
    <cellStyle name="40% - Ênfase6 2 5 2" xfId="2142"/>
    <cellStyle name="40% - Ênfase6 2 6" xfId="2762"/>
    <cellStyle name="40% - Ênfase6 2 6 2" xfId="3054"/>
    <cellStyle name="40% - Ênfase6 2 7" xfId="2763"/>
    <cellStyle name="40% - Ênfase6 2 7 2" xfId="3055"/>
    <cellStyle name="40% - Ênfase6 2 8" xfId="2764"/>
    <cellStyle name="40% - Ênfase6 2 8 2" xfId="2984"/>
    <cellStyle name="40% - Ênfase6 2 9" xfId="2765"/>
    <cellStyle name="40% - Ênfase6 2 9 2" xfId="2985"/>
    <cellStyle name="40% - Ênfase6 2_12001 - Planilha orçamentária" xfId="731"/>
    <cellStyle name="40% - Ênfase6 3" xfId="530"/>
    <cellStyle name="40% - Ênfase6 3 2" xfId="2766"/>
    <cellStyle name="40% - Ênfase6 4" xfId="3056"/>
    <cellStyle name="40% - Ênfase6 5" xfId="2986"/>
    <cellStyle name="40% - Ênfase6 6" xfId="3057"/>
    <cellStyle name="40% - Ênfase6 7" xfId="3058"/>
    <cellStyle name="40% - Ênfase6 8" xfId="2987"/>
    <cellStyle name="40% - Ênfase6 9" xfId="2988"/>
    <cellStyle name="60% - Cor1" xfId="426"/>
    <cellStyle name="60% - Cor2" xfId="427"/>
    <cellStyle name="60% - Cor3" xfId="428"/>
    <cellStyle name="60% - Cor4" xfId="429"/>
    <cellStyle name="60% - Cor5" xfId="430"/>
    <cellStyle name="60% - Cor6" xfId="431"/>
    <cellStyle name="60% - Ênfase1 10" xfId="3059"/>
    <cellStyle name="60% - Ênfase1 2" xfId="493"/>
    <cellStyle name="60% - Ênfase1 2 10" xfId="2989"/>
    <cellStyle name="60% - Ênfase1 2 11" xfId="3060"/>
    <cellStyle name="60% - Ênfase1 2 2" xfId="3061"/>
    <cellStyle name="60% - Ênfase1 2 2 2" xfId="3062"/>
    <cellStyle name="60% - Ênfase1 2 2 3" xfId="3128"/>
    <cellStyle name="60% - Ênfase1 2 3" xfId="3115"/>
    <cellStyle name="60% - Ênfase1 2 4" xfId="3126"/>
    <cellStyle name="60% - Ênfase1 2 5" xfId="3063"/>
    <cellStyle name="60% - Ênfase1 2 6" xfId="3116"/>
    <cellStyle name="60% - Ênfase1 2 7" xfId="2941"/>
    <cellStyle name="60% - Ênfase1 2 8" xfId="2926"/>
    <cellStyle name="60% - Ênfase1 2 9" xfId="3117"/>
    <cellStyle name="60% - Ênfase1 3" xfId="732"/>
    <cellStyle name="60% - Ênfase1 4" xfId="2990"/>
    <cellStyle name="60% - Ênfase1 5" xfId="3064"/>
    <cellStyle name="60% - Ênfase1 6" xfId="3103"/>
    <cellStyle name="60% - Ênfase1 7" xfId="3065"/>
    <cellStyle name="60% - Ênfase1 8" xfId="3066"/>
    <cellStyle name="60% - Ênfase1 9" xfId="2991"/>
    <cellStyle name="60% - Ênfase2 10" xfId="3104"/>
    <cellStyle name="60% - Ênfase2 2" xfId="497"/>
    <cellStyle name="60% - Ênfase2 2 10" xfId="3067"/>
    <cellStyle name="60% - Ênfase2 2 11" xfId="3105"/>
    <cellStyle name="60% - Ênfase2 2 2" xfId="3068"/>
    <cellStyle name="60% - Ênfase2 2 2 2" xfId="3069"/>
    <cellStyle name="60% - Ênfase2 2 2 3" xfId="3070"/>
    <cellStyle name="60% - Ênfase2 2 3" xfId="2992"/>
    <cellStyle name="60% - Ênfase2 2 4" xfId="2993"/>
    <cellStyle name="60% - Ênfase2 2 5" xfId="3071"/>
    <cellStyle name="60% - Ênfase2 2 6" xfId="3106"/>
    <cellStyle name="60% - Ênfase2 2 7" xfId="3072"/>
    <cellStyle name="60% - Ênfase2 2 8" xfId="3073"/>
    <cellStyle name="60% - Ênfase2 2 9" xfId="2994"/>
    <cellStyle name="60% - Ênfase2 3" xfId="733"/>
    <cellStyle name="60% - Ênfase2 4" xfId="3107"/>
    <cellStyle name="60% - Ênfase2 5" xfId="1747"/>
    <cellStyle name="60% - Ênfase2 6" xfId="3108"/>
    <cellStyle name="60% - Ênfase2 7" xfId="932"/>
    <cellStyle name="60% - Ênfase2 8" xfId="3074"/>
    <cellStyle name="60% - Ênfase2 9" xfId="3075"/>
    <cellStyle name="60% - Ênfase3 10" xfId="3129"/>
    <cellStyle name="60% - Ênfase3 2" xfId="501"/>
    <cellStyle name="60% - Ênfase3 2 10" xfId="2995"/>
    <cellStyle name="60% - Ênfase3 2 11" xfId="3081"/>
    <cellStyle name="60% - Ênfase3 2 2" xfId="2996"/>
    <cellStyle name="60% - Ênfase3 2 2 2" xfId="935"/>
    <cellStyle name="60% - Ênfase3 2 2 3" xfId="2997"/>
    <cellStyle name="60% - Ênfase3 2 3" xfId="3082"/>
    <cellStyle name="60% - Ênfase3 2 4" xfId="2998"/>
    <cellStyle name="60% - Ênfase3 2 5" xfId="3130"/>
    <cellStyle name="60% - Ênfase3 2 6" xfId="2999"/>
    <cellStyle name="60% - Ênfase3 2 7" xfId="2924"/>
    <cellStyle name="60% - Ênfase3 2 8" xfId="3000"/>
    <cellStyle name="60% - Ênfase3 2 9" xfId="3131"/>
    <cellStyle name="60% - Ênfase3 3" xfId="734"/>
    <cellStyle name="60% - Ênfase3 4" xfId="3001"/>
    <cellStyle name="60% - Ênfase3 5" xfId="3080"/>
    <cellStyle name="60% - Ênfase3 6" xfId="3132"/>
    <cellStyle name="60% - Ênfase3 7" xfId="3083"/>
    <cellStyle name="60% - Ênfase3 8" xfId="3133"/>
    <cellStyle name="60% - Ênfase3 9" xfId="3134"/>
    <cellStyle name="60% - Ênfase4 10" xfId="3135"/>
    <cellStyle name="60% - Ênfase4 2" xfId="505"/>
    <cellStyle name="60% - Ênfase4 2 10" xfId="3136"/>
    <cellStyle name="60% - Ênfase4 2 11" xfId="3137"/>
    <cellStyle name="60% - Ênfase4 2 2" xfId="3138"/>
    <cellStyle name="60% - Ênfase4 2 2 2" xfId="3139"/>
    <cellStyle name="60% - Ênfase4 2 2 3" xfId="3140"/>
    <cellStyle name="60% - Ênfase4 2 3" xfId="3141"/>
    <cellStyle name="60% - Ênfase4 2 4" xfId="3142"/>
    <cellStyle name="60% - Ênfase4 2 5" xfId="3143"/>
    <cellStyle name="60% - Ênfase4 2 6" xfId="3144"/>
    <cellStyle name="60% - Ênfase4 2 7" xfId="3145"/>
    <cellStyle name="60% - Ênfase4 2 8" xfId="3146"/>
    <cellStyle name="60% - Ênfase4 2 9" xfId="3147"/>
    <cellStyle name="60% - Ênfase4 3" xfId="735"/>
    <cellStyle name="60% - Ênfase4 4" xfId="3148"/>
    <cellStyle name="60% - Ênfase4 5" xfId="3149"/>
    <cellStyle name="60% - Ênfase4 6" xfId="3150"/>
    <cellStyle name="60% - Ênfase4 7" xfId="3151"/>
    <cellStyle name="60% - Ênfase4 8" xfId="3152"/>
    <cellStyle name="60% - Ênfase4 9" xfId="3153"/>
    <cellStyle name="60% - Ênfase5 10" xfId="3154"/>
    <cellStyle name="60% - Ênfase5 2" xfId="509"/>
    <cellStyle name="60% - Ênfase5 2 10" xfId="3155"/>
    <cellStyle name="60% - Ênfase5 2 11" xfId="3156"/>
    <cellStyle name="60% - Ênfase5 2 2" xfId="3157"/>
    <cellStyle name="60% - Ênfase5 2 2 2" xfId="3158"/>
    <cellStyle name="60% - Ênfase5 2 2 3" xfId="3159"/>
    <cellStyle name="60% - Ênfase5 2 3" xfId="3160"/>
    <cellStyle name="60% - Ênfase5 2 4" xfId="3161"/>
    <cellStyle name="60% - Ênfase5 2 5" xfId="3162"/>
    <cellStyle name="60% - Ênfase5 2 6" xfId="3163"/>
    <cellStyle name="60% - Ênfase5 2 7" xfId="3164"/>
    <cellStyle name="60% - Ênfase5 2 8" xfId="3165"/>
    <cellStyle name="60% - Ênfase5 2 9" xfId="3166"/>
    <cellStyle name="60% - Ênfase5 3" xfId="736"/>
    <cellStyle name="60% - Ênfase5 4" xfId="3167"/>
    <cellStyle name="60% - Ênfase5 5" xfId="3168"/>
    <cellStyle name="60% - Ênfase5 6" xfId="3169"/>
    <cellStyle name="60% - Ênfase5 7" xfId="3170"/>
    <cellStyle name="60% - Ênfase5 8" xfId="3171"/>
    <cellStyle name="60% - Ênfase5 9" xfId="3172"/>
    <cellStyle name="60% - Ênfase6 10" xfId="3173"/>
    <cellStyle name="60% - Ênfase6 2" xfId="513"/>
    <cellStyle name="60% - Ênfase6 2 10" xfId="3174"/>
    <cellStyle name="60% - Ênfase6 2 11" xfId="3175"/>
    <cellStyle name="60% - Ênfase6 2 2" xfId="3176"/>
    <cellStyle name="60% - Ênfase6 2 2 2" xfId="3177"/>
    <cellStyle name="60% - Ênfase6 2 2 3" xfId="3178"/>
    <cellStyle name="60% - Ênfase6 2 3" xfId="3179"/>
    <cellStyle name="60% - Ênfase6 2 4" xfId="3180"/>
    <cellStyle name="60% - Ênfase6 2 5" xfId="3181"/>
    <cellStyle name="60% - Ênfase6 2 6" xfId="3182"/>
    <cellStyle name="60% - Ênfase6 2 7" xfId="3183"/>
    <cellStyle name="60% - Ênfase6 2 8" xfId="3184"/>
    <cellStyle name="60% - Ênfase6 2 9" xfId="3185"/>
    <cellStyle name="60% - Ênfase6 3" xfId="737"/>
    <cellStyle name="60% - Ênfase6 4" xfId="3186"/>
    <cellStyle name="60% - Ênfase6 5" xfId="3187"/>
    <cellStyle name="60% - Ênfase6 6" xfId="3188"/>
    <cellStyle name="60% - Ênfase6 7" xfId="3189"/>
    <cellStyle name="60% - Ênfase6 8" xfId="3190"/>
    <cellStyle name="60% - Ênfase6 9" xfId="3191"/>
    <cellStyle name="arrafo de 5" xfId="738"/>
    <cellStyle name="Bom 10" xfId="3192"/>
    <cellStyle name="Bom 2" xfId="478"/>
    <cellStyle name="Bom 2 10" xfId="3193"/>
    <cellStyle name="Bom 2 11" xfId="3194"/>
    <cellStyle name="Bom 2 2" xfId="3195"/>
    <cellStyle name="Bom 2 2 2" xfId="3196"/>
    <cellStyle name="Bom 2 2 3" xfId="3197"/>
    <cellStyle name="Bom 2 3" xfId="3198"/>
    <cellStyle name="Bom 2 4" xfId="3199"/>
    <cellStyle name="Bom 2 5" xfId="3200"/>
    <cellStyle name="Bom 2 6" xfId="3201"/>
    <cellStyle name="Bom 2 7" xfId="3202"/>
    <cellStyle name="Bom 2 8" xfId="3203"/>
    <cellStyle name="Bom 2 9" xfId="3204"/>
    <cellStyle name="Bom 3" xfId="739"/>
    <cellStyle name="Bom 4" xfId="746"/>
    <cellStyle name="Bom 5" xfId="3205"/>
    <cellStyle name="Bom 6" xfId="3206"/>
    <cellStyle name="Bom 7" xfId="3207"/>
    <cellStyle name="Bom 8" xfId="3208"/>
    <cellStyle name="Bom 9" xfId="3209"/>
    <cellStyle name="CABEÇALHO" xfId="3210"/>
    <cellStyle name="Cabeçalho 1" xfId="460"/>
    <cellStyle name="Cabeçalho 2" xfId="462"/>
    <cellStyle name="Cabeçalho 3" xfId="463"/>
    <cellStyle name="Cabeçalho 4" xfId="464"/>
    <cellStyle name="Cálculo 10" xfId="3211"/>
    <cellStyle name="Cálculo 2" xfId="483"/>
    <cellStyle name="Cálculo 2 10" xfId="3212"/>
    <cellStyle name="Cálculo 2 11" xfId="3213"/>
    <cellStyle name="Cálculo 2 2" xfId="740"/>
    <cellStyle name="Cálculo 2 2 2" xfId="3214"/>
    <cellStyle name="Cálculo 2 2 3" xfId="3215"/>
    <cellStyle name="Cálculo 2 3" xfId="3216"/>
    <cellStyle name="Cálculo 2 4" xfId="3217"/>
    <cellStyle name="Cálculo 2 5" xfId="3218"/>
    <cellStyle name="Cálculo 2 6" xfId="3219"/>
    <cellStyle name="Cálculo 2 7" xfId="3220"/>
    <cellStyle name="Cálculo 2 8" xfId="3221"/>
    <cellStyle name="Cálculo 2 9" xfId="3222"/>
    <cellStyle name="Cálculo 3" xfId="741"/>
    <cellStyle name="Cálculo 4" xfId="432"/>
    <cellStyle name="Cálculo 5" xfId="3223"/>
    <cellStyle name="Cálculo 6" xfId="3224"/>
    <cellStyle name="Cálculo 7" xfId="3225"/>
    <cellStyle name="Cálculo 8" xfId="3226"/>
    <cellStyle name="Cálculo 9" xfId="3227"/>
    <cellStyle name="Cancel" xfId="433"/>
    <cellStyle name="Cancel 2" xfId="2143"/>
    <cellStyle name="category" xfId="532"/>
    <cellStyle name="Célula de Verificação 10" xfId="3228"/>
    <cellStyle name="Célula de Verificação 2" xfId="485"/>
    <cellStyle name="Célula de Verificação 2 10" xfId="3229"/>
    <cellStyle name="Célula de Verificação 2 11" xfId="3230"/>
    <cellStyle name="Célula de Verificação 2 2" xfId="3231"/>
    <cellStyle name="Célula de Verificação 2 2 2" xfId="3232"/>
    <cellStyle name="Célula de Verificação 2 2 3" xfId="3233"/>
    <cellStyle name="Célula de Verificação 2 3" xfId="3234"/>
    <cellStyle name="Célula de Verificação 2 4" xfId="3235"/>
    <cellStyle name="Célula de Verificação 2 5" xfId="3236"/>
    <cellStyle name="Célula de Verificação 2 6" xfId="3237"/>
    <cellStyle name="Célula de Verificação 2 7" xfId="3238"/>
    <cellStyle name="Célula de Verificação 2 8" xfId="3239"/>
    <cellStyle name="Célula de Verificação 2 9" xfId="3240"/>
    <cellStyle name="Célula de Verificação 3" xfId="742"/>
    <cellStyle name="Célula de Verificação 4" xfId="1979"/>
    <cellStyle name="Célula de Verificação 5" xfId="3241"/>
    <cellStyle name="Célula de Verificação 6" xfId="3242"/>
    <cellStyle name="Célula de Verificação 7" xfId="3243"/>
    <cellStyle name="Célula de Verificação 8" xfId="3244"/>
    <cellStyle name="Célula de Verificação 9" xfId="3245"/>
    <cellStyle name="Célula Ligada" xfId="434"/>
    <cellStyle name="Célula Vinculada 10" xfId="3246"/>
    <cellStyle name="Célula Vinculada 2" xfId="484"/>
    <cellStyle name="Célula Vinculada 2 10" xfId="3247"/>
    <cellStyle name="Célula Vinculada 2 11" xfId="3248"/>
    <cellStyle name="Célula Vinculada 2 2" xfId="3249"/>
    <cellStyle name="Célula Vinculada 2 2 2" xfId="3250"/>
    <cellStyle name="Célula Vinculada 2 2 3" xfId="3251"/>
    <cellStyle name="Célula Vinculada 2 3" xfId="3252"/>
    <cellStyle name="Célula Vinculada 2 4" xfId="3253"/>
    <cellStyle name="Célula Vinculada 2 5" xfId="3254"/>
    <cellStyle name="Célula Vinculada 2 6" xfId="3255"/>
    <cellStyle name="Célula Vinculada 2 7" xfId="3256"/>
    <cellStyle name="Célula Vinculada 2 8" xfId="3257"/>
    <cellStyle name="Célula Vinculada 2 9" xfId="3258"/>
    <cellStyle name="Célula Vinculada 3" xfId="743"/>
    <cellStyle name="Célula Vinculada 4" xfId="3259"/>
    <cellStyle name="Célula Vinculada 5" xfId="3260"/>
    <cellStyle name="Célula Vinculada 6" xfId="3261"/>
    <cellStyle name="Célula Vinculada 7" xfId="3262"/>
    <cellStyle name="Célula Vinculada 8" xfId="3263"/>
    <cellStyle name="Célula Vinculada 9" xfId="3264"/>
    <cellStyle name="Comma" xfId="3712"/>
    <cellStyle name="Comma [0]" xfId="744"/>
    <cellStyle name="Comma [0] 2" xfId="2767"/>
    <cellStyle name="Comma 2" xfId="3265"/>
    <cellStyle name="Comma 2 2" xfId="3266"/>
    <cellStyle name="Comma 2 3" xfId="3267"/>
    <cellStyle name="Comma_5 Series SW" xfId="533"/>
    <cellStyle name="Comma0" xfId="3268"/>
    <cellStyle name="Company Logo" xfId="745"/>
    <cellStyle name="Cor1" xfId="435"/>
    <cellStyle name="Cor2" xfId="436"/>
    <cellStyle name="Cor3" xfId="437"/>
    <cellStyle name="Cor4" xfId="438"/>
    <cellStyle name="Cor5" xfId="439"/>
    <cellStyle name="Cor6" xfId="440"/>
    <cellStyle name="Correcto" xfId="1984"/>
    <cellStyle name="Currency" xfId="3713"/>
    <cellStyle name="Currency $" xfId="534"/>
    <cellStyle name="Currency [0]" xfId="747"/>
    <cellStyle name="Currency [0] 2" xfId="2768"/>
    <cellStyle name="Currency [0]_Sonae_Ar condicionado" xfId="3714"/>
    <cellStyle name="Currency_aola" xfId="535"/>
    <cellStyle name="Currency0" xfId="3715"/>
    <cellStyle name="Data" xfId="748"/>
    <cellStyle name="Data 2" xfId="3269"/>
    <cellStyle name="Data 2 2" xfId="3270"/>
    <cellStyle name="Data 2 3" xfId="3271"/>
    <cellStyle name="Data Headings" xfId="749"/>
    <cellStyle name="Data Headings 2" xfId="750"/>
    <cellStyle name="Data Headings 3" xfId="2688"/>
    <cellStyle name="Data Headings 4" xfId="2689"/>
    <cellStyle name="Data Input" xfId="751"/>
    <cellStyle name="Date" xfId="3716"/>
    <cellStyle name="Duasdec" xfId="3272"/>
    <cellStyle name="Ênfase1 10" xfId="3273"/>
    <cellStyle name="Ênfase1 2" xfId="490"/>
    <cellStyle name="Ênfase1 2 10" xfId="3274"/>
    <cellStyle name="Ênfase1 2 11" xfId="3275"/>
    <cellStyle name="Ênfase1 2 2" xfId="3276"/>
    <cellStyle name="Ênfase1 2 2 2" xfId="3277"/>
    <cellStyle name="Ênfase1 2 2 3" xfId="3278"/>
    <cellStyle name="Ênfase1 2 3" xfId="3279"/>
    <cellStyle name="Ênfase1 2 4" xfId="3280"/>
    <cellStyle name="Ênfase1 2 5" xfId="3281"/>
    <cellStyle name="Ênfase1 2 6" xfId="3282"/>
    <cellStyle name="Ênfase1 2 7" xfId="3283"/>
    <cellStyle name="Ênfase1 2 8" xfId="3284"/>
    <cellStyle name="Ênfase1 2 9" xfId="3285"/>
    <cellStyle name="Ênfase1 3" xfId="752"/>
    <cellStyle name="Ênfase1 4" xfId="3286"/>
    <cellStyle name="Ênfase1 5" xfId="3287"/>
    <cellStyle name="Ênfase1 6" xfId="3288"/>
    <cellStyle name="Ênfase1 7" xfId="3289"/>
    <cellStyle name="Ênfase1 8" xfId="3290"/>
    <cellStyle name="Ênfase1 9" xfId="3291"/>
    <cellStyle name="Ênfase2 10" xfId="3292"/>
    <cellStyle name="Ênfase2 2" xfId="494"/>
    <cellStyle name="Ênfase2 2 10" xfId="3293"/>
    <cellStyle name="Ênfase2 2 11" xfId="3294"/>
    <cellStyle name="Ênfase2 2 2" xfId="3295"/>
    <cellStyle name="Ênfase2 2 2 2" xfId="3296"/>
    <cellStyle name="Ênfase2 2 2 3" xfId="3297"/>
    <cellStyle name="Ênfase2 2 3" xfId="3298"/>
    <cellStyle name="Ênfase2 2 4" xfId="3299"/>
    <cellStyle name="Ênfase2 2 5" xfId="3300"/>
    <cellStyle name="Ênfase2 2 6" xfId="3301"/>
    <cellStyle name="Ênfase2 2 7" xfId="3302"/>
    <cellStyle name="Ênfase2 2 8" xfId="3303"/>
    <cellStyle name="Ênfase2 2 9" xfId="3304"/>
    <cellStyle name="Ênfase2 3" xfId="753"/>
    <cellStyle name="Ênfase2 4" xfId="3305"/>
    <cellStyle name="Ênfase2 5" xfId="3306"/>
    <cellStyle name="Ênfase2 6" xfId="3307"/>
    <cellStyle name="Ênfase2 7" xfId="3308"/>
    <cellStyle name="Ênfase2 8" xfId="3309"/>
    <cellStyle name="Ênfase2 9" xfId="3310"/>
    <cellStyle name="Ênfase3 10" xfId="3311"/>
    <cellStyle name="Ênfase3 2" xfId="498"/>
    <cellStyle name="Ênfase3 2 10" xfId="3312"/>
    <cellStyle name="Ênfase3 2 11" xfId="3313"/>
    <cellStyle name="Ênfase3 2 2" xfId="3314"/>
    <cellStyle name="Ênfase3 2 2 2" xfId="3315"/>
    <cellStyle name="Ênfase3 2 2 3" xfId="3316"/>
    <cellStyle name="Ênfase3 2 3" xfId="3317"/>
    <cellStyle name="Ênfase3 2 4" xfId="3318"/>
    <cellStyle name="Ênfase3 2 5" xfId="3319"/>
    <cellStyle name="Ênfase3 2 6" xfId="3320"/>
    <cellStyle name="Ênfase3 2 7" xfId="3321"/>
    <cellStyle name="Ênfase3 2 8" xfId="3322"/>
    <cellStyle name="Ênfase3 2 9" xfId="3323"/>
    <cellStyle name="Ênfase3 3" xfId="754"/>
    <cellStyle name="Ênfase3 4" xfId="3324"/>
    <cellStyle name="Ênfase3 5" xfId="3325"/>
    <cellStyle name="Ênfase3 6" xfId="3326"/>
    <cellStyle name="Ênfase3 7" xfId="3327"/>
    <cellStyle name="Ênfase3 8" xfId="3328"/>
    <cellStyle name="Ênfase3 9" xfId="3329"/>
    <cellStyle name="Ênfase4 10" xfId="3330"/>
    <cellStyle name="Ênfase4 2" xfId="502"/>
    <cellStyle name="Ênfase4 2 10" xfId="3331"/>
    <cellStyle name="Ênfase4 2 11" xfId="3332"/>
    <cellStyle name="Ênfase4 2 2" xfId="3333"/>
    <cellStyle name="Ênfase4 2 2 2" xfId="3334"/>
    <cellStyle name="Ênfase4 2 2 3" xfId="3335"/>
    <cellStyle name="Ênfase4 2 3" xfId="3336"/>
    <cellStyle name="Ênfase4 2 4" xfId="3337"/>
    <cellStyle name="Ênfase4 2 5" xfId="3338"/>
    <cellStyle name="Ênfase4 2 6" xfId="3339"/>
    <cellStyle name="Ênfase4 2 7" xfId="3340"/>
    <cellStyle name="Ênfase4 2 8" xfId="3341"/>
    <cellStyle name="Ênfase4 2 9" xfId="3342"/>
    <cellStyle name="Ênfase4 3" xfId="755"/>
    <cellStyle name="Ênfase4 4" xfId="3343"/>
    <cellStyle name="Ênfase4 5" xfId="3344"/>
    <cellStyle name="Ênfase4 6" xfId="3345"/>
    <cellStyle name="Ênfase4 7" xfId="3346"/>
    <cellStyle name="Ênfase4 8" xfId="3347"/>
    <cellStyle name="Ênfase4 9" xfId="3348"/>
    <cellStyle name="Ênfase5 10" xfId="3349"/>
    <cellStyle name="Ênfase5 2" xfId="506"/>
    <cellStyle name="Ênfase5 2 10" xfId="3350"/>
    <cellStyle name="Ênfase5 2 11" xfId="3351"/>
    <cellStyle name="Ênfase5 2 2" xfId="3352"/>
    <cellStyle name="Ênfase5 2 2 2" xfId="3353"/>
    <cellStyle name="Ênfase5 2 2 3" xfId="3354"/>
    <cellStyle name="Ênfase5 2 3" xfId="3355"/>
    <cellStyle name="Ênfase5 2 4" xfId="3356"/>
    <cellStyle name="Ênfase5 2 5" xfId="3357"/>
    <cellStyle name="Ênfase5 2 6" xfId="3358"/>
    <cellStyle name="Ênfase5 2 7" xfId="3359"/>
    <cellStyle name="Ênfase5 2 8" xfId="3360"/>
    <cellStyle name="Ênfase5 2 9" xfId="3361"/>
    <cellStyle name="Ênfase5 3" xfId="756"/>
    <cellStyle name="Ênfase5 4" xfId="3362"/>
    <cellStyle name="Ênfase5 5" xfId="3363"/>
    <cellStyle name="Ênfase5 6" xfId="3364"/>
    <cellStyle name="Ênfase5 7" xfId="3365"/>
    <cellStyle name="Ênfase5 8" xfId="3366"/>
    <cellStyle name="Ênfase5 9" xfId="3367"/>
    <cellStyle name="Ênfase6 10" xfId="3368"/>
    <cellStyle name="Ênfase6 2" xfId="510"/>
    <cellStyle name="Ênfase6 2 10" xfId="3369"/>
    <cellStyle name="Ênfase6 2 11" xfId="3370"/>
    <cellStyle name="Ênfase6 2 2" xfId="3371"/>
    <cellStyle name="Ênfase6 2 2 2" xfId="3372"/>
    <cellStyle name="Ênfase6 2 2 3" xfId="3373"/>
    <cellStyle name="Ênfase6 2 3" xfId="3374"/>
    <cellStyle name="Ênfase6 2 4" xfId="3375"/>
    <cellStyle name="Ênfase6 2 5" xfId="3376"/>
    <cellStyle name="Ênfase6 2 6" xfId="3377"/>
    <cellStyle name="Ênfase6 2 7" xfId="3378"/>
    <cellStyle name="Ênfase6 2 8" xfId="3379"/>
    <cellStyle name="Ênfase6 2 9" xfId="3380"/>
    <cellStyle name="Ênfase6 3" xfId="757"/>
    <cellStyle name="Ênfase6 4" xfId="3381"/>
    <cellStyle name="Ênfase6 5" xfId="3382"/>
    <cellStyle name="Ênfase6 6" xfId="3383"/>
    <cellStyle name="Ênfase6 7" xfId="3384"/>
    <cellStyle name="Ênfase6 8" xfId="3385"/>
    <cellStyle name="Ênfase6 9" xfId="3386"/>
    <cellStyle name="Entrada 10" xfId="3387"/>
    <cellStyle name="Entrada 2" xfId="481"/>
    <cellStyle name="Entrada 2 10" xfId="3388"/>
    <cellStyle name="Entrada 2 11" xfId="3389"/>
    <cellStyle name="Entrada 2 2" xfId="758"/>
    <cellStyle name="Entrada 2 2 2" xfId="3390"/>
    <cellStyle name="Entrada 2 2 3" xfId="3391"/>
    <cellStyle name="Entrada 2 3" xfId="3392"/>
    <cellStyle name="Entrada 2 4" xfId="3393"/>
    <cellStyle name="Entrada 2 5" xfId="3394"/>
    <cellStyle name="Entrada 2 6" xfId="3395"/>
    <cellStyle name="Entrada 2 7" xfId="3396"/>
    <cellStyle name="Entrada 2 8" xfId="3397"/>
    <cellStyle name="Entrada 2 9" xfId="3398"/>
    <cellStyle name="Entrada 3" xfId="759"/>
    <cellStyle name="Entrada 4" xfId="441"/>
    <cellStyle name="Entrada 5" xfId="3399"/>
    <cellStyle name="Entrada 6" xfId="3400"/>
    <cellStyle name="Entrada 7" xfId="3401"/>
    <cellStyle name="Entrada 8" xfId="3402"/>
    <cellStyle name="Entrada 9" xfId="3403"/>
    <cellStyle name="Estilo 1" xfId="442"/>
    <cellStyle name="Estilo 1 2" xfId="760"/>
    <cellStyle name="Estilo 1 2 2" xfId="761"/>
    <cellStyle name="Estilo 1 2 3" xfId="762"/>
    <cellStyle name="Estilo 1 3" xfId="763"/>
    <cellStyle name="Estilo 1 3 2" xfId="764"/>
    <cellStyle name="Estilo 1 3 3" xfId="765"/>
    <cellStyle name="Euro" xfId="443"/>
    <cellStyle name="Euro 2" xfId="766"/>
    <cellStyle name="Euro 2 2" xfId="3404"/>
    <cellStyle name="Euro 2 3" xfId="3405"/>
    <cellStyle name="Euro 3" xfId="767"/>
    <cellStyle name="Euro 4" xfId="3406"/>
    <cellStyle name="Fixed" xfId="3717"/>
    <cellStyle name="Fixo" xfId="768"/>
    <cellStyle name="Followed Hyperlink" xfId="536"/>
    <cellStyle name="Gameleira" xfId="769"/>
    <cellStyle name="Grey" xfId="537"/>
    <cellStyle name="HEADER" xfId="538"/>
    <cellStyle name="Heading 1" xfId="3718"/>
    <cellStyle name="Heading 2" xfId="3719"/>
    <cellStyle name="Incorrecto" xfId="444"/>
    <cellStyle name="Incorreto 10" xfId="3407"/>
    <cellStyle name="Incorreto 2" xfId="479"/>
    <cellStyle name="Incorreto 2 10" xfId="3408"/>
    <cellStyle name="Incorreto 2 11" xfId="3409"/>
    <cellStyle name="Incorreto 2 2" xfId="3410"/>
    <cellStyle name="Incorreto 2 2 2" xfId="3411"/>
    <cellStyle name="Incorreto 2 2 3" xfId="3412"/>
    <cellStyle name="Incorreto 2 3" xfId="3413"/>
    <cellStyle name="Incorreto 2 4" xfId="3414"/>
    <cellStyle name="Incorreto 2 5" xfId="3415"/>
    <cellStyle name="Incorreto 2 6" xfId="3416"/>
    <cellStyle name="Incorreto 2 7" xfId="3417"/>
    <cellStyle name="Incorreto 2 8" xfId="3418"/>
    <cellStyle name="Incorreto 2 9" xfId="3419"/>
    <cellStyle name="Incorreto 3" xfId="770"/>
    <cellStyle name="Incorreto 4" xfId="3420"/>
    <cellStyle name="Incorreto 5" xfId="3421"/>
    <cellStyle name="Incorreto 6" xfId="3422"/>
    <cellStyle name="Incorreto 7" xfId="3423"/>
    <cellStyle name="Incorreto 8" xfId="3424"/>
    <cellStyle name="Incorreto 9" xfId="3425"/>
    <cellStyle name="Indefinido" xfId="3426"/>
    <cellStyle name="Input [yellow]" xfId="539"/>
    <cellStyle name="KGXM²_2" xfId="3427"/>
    <cellStyle name="KM_2" xfId="3428"/>
    <cellStyle name="material" xfId="771"/>
    <cellStyle name="METRO_CÚBICO_2" xfId="3429"/>
    <cellStyle name="MILÍMETRO" xfId="3430"/>
    <cellStyle name="MILÍMETRO 2" xfId="3431"/>
    <cellStyle name="Millares [0]_medestructura" xfId="466"/>
    <cellStyle name="Model" xfId="540"/>
    <cellStyle name="Moeda 2" xfId="14"/>
    <cellStyle name="Moeda 2 10" xfId="772"/>
    <cellStyle name="Moeda 2 11" xfId="773"/>
    <cellStyle name="Moeda 2 12" xfId="774"/>
    <cellStyle name="Moeda 2 13" xfId="775"/>
    <cellStyle name="Moeda 2 13 2" xfId="776"/>
    <cellStyle name="Moeda 2 13 3" xfId="2769"/>
    <cellStyle name="Moeda 2 14" xfId="777"/>
    <cellStyle name="Moeda 2 15" xfId="778"/>
    <cellStyle name="Moeda 2 16" xfId="779"/>
    <cellStyle name="Moeda 2 17" xfId="780"/>
    <cellStyle name="Moeda 2 18" xfId="781"/>
    <cellStyle name="Moeda 2 19" xfId="782"/>
    <cellStyle name="Moeda 2 2" xfId="783"/>
    <cellStyle name="Moeda 2 2 10" xfId="784"/>
    <cellStyle name="Moeda 2 2 11" xfId="785"/>
    <cellStyle name="Moeda 2 2 2" xfId="786"/>
    <cellStyle name="Moeda 2 2 3" xfId="787"/>
    <cellStyle name="Moeda 2 2 4" xfId="788"/>
    <cellStyle name="Moeda 2 2 5" xfId="789"/>
    <cellStyle name="Moeda 2 2 6" xfId="790"/>
    <cellStyle name="Moeda 2 2 7" xfId="791"/>
    <cellStyle name="Moeda 2 2 8" xfId="792"/>
    <cellStyle name="Moeda 2 2 9" xfId="793"/>
    <cellStyle name="Moeda 2 20" xfId="794"/>
    <cellStyle name="Moeda 2 21" xfId="795"/>
    <cellStyle name="Moeda 2 22" xfId="445"/>
    <cellStyle name="Moeda 2 3" xfId="796"/>
    <cellStyle name="Moeda 2 3 10" xfId="797"/>
    <cellStyle name="Moeda 2 3 2" xfId="798"/>
    <cellStyle name="Moeda 2 3 3" xfId="799"/>
    <cellStyle name="Moeda 2 3 4" xfId="800"/>
    <cellStyle name="Moeda 2 3 5" xfId="801"/>
    <cellStyle name="Moeda 2 3 6" xfId="802"/>
    <cellStyle name="Moeda 2 3 7" xfId="803"/>
    <cellStyle name="Moeda 2 3 8" xfId="804"/>
    <cellStyle name="Moeda 2 3 9" xfId="805"/>
    <cellStyle name="Moeda 2 4" xfId="806"/>
    <cellStyle name="Moeda 2 5" xfId="807"/>
    <cellStyle name="Moeda 2 6" xfId="808"/>
    <cellStyle name="Moeda 2 7" xfId="809"/>
    <cellStyle name="Moeda 2 8" xfId="810"/>
    <cellStyle name="Moeda 2 9" xfId="811"/>
    <cellStyle name="Moeda 3" xfId="13"/>
    <cellStyle name="Moeda 3 10" xfId="813"/>
    <cellStyle name="Moeda 3 11" xfId="814"/>
    <cellStyle name="Moeda 3 12" xfId="815"/>
    <cellStyle name="Moeda 3 13" xfId="816"/>
    <cellStyle name="Moeda 3 14" xfId="812"/>
    <cellStyle name="Moeda 3 2" xfId="817"/>
    <cellStyle name="Moeda 3 2 10" xfId="818"/>
    <cellStyle name="Moeda 3 2 11" xfId="819"/>
    <cellStyle name="Moeda 3 2 2" xfId="820"/>
    <cellStyle name="Moeda 3 2 3" xfId="821"/>
    <cellStyle name="Moeda 3 2 4" xfId="822"/>
    <cellStyle name="Moeda 3 2 5" xfId="823"/>
    <cellStyle name="Moeda 3 2 6" xfId="824"/>
    <cellStyle name="Moeda 3 2 7" xfId="825"/>
    <cellStyle name="Moeda 3 2 8" xfId="826"/>
    <cellStyle name="Moeda 3 2 9" xfId="827"/>
    <cellStyle name="Moeda 3 3" xfId="828"/>
    <cellStyle name="Moeda 3 3 10" xfId="829"/>
    <cellStyle name="Moeda 3 3 2" xfId="830"/>
    <cellStyle name="Moeda 3 3 3" xfId="831"/>
    <cellStyle name="Moeda 3 3 4" xfId="832"/>
    <cellStyle name="Moeda 3 3 5" xfId="833"/>
    <cellStyle name="Moeda 3 3 6" xfId="834"/>
    <cellStyle name="Moeda 3 3 7" xfId="835"/>
    <cellStyle name="Moeda 3 3 8" xfId="836"/>
    <cellStyle name="Moeda 3 3 9" xfId="837"/>
    <cellStyle name="Moeda 3 4" xfId="838"/>
    <cellStyle name="Moeda 3 5" xfId="839"/>
    <cellStyle name="Moeda 3 6" xfId="840"/>
    <cellStyle name="Moeda 3 7" xfId="841"/>
    <cellStyle name="Moeda 3 8" xfId="842"/>
    <cellStyle name="Moeda 3 9" xfId="843"/>
    <cellStyle name="Moeda 4" xfId="5"/>
    <cellStyle name="Moeda 4 2" xfId="844"/>
    <cellStyle name="Moeda 5" xfId="845"/>
    <cellStyle name="Moeda 6" xfId="846"/>
    <cellStyle name="Moeda 6 2" xfId="2770"/>
    <cellStyle name="Moeda 7" xfId="847"/>
    <cellStyle name="Moeda 7 2" xfId="2771"/>
    <cellStyle name="Moeda 8" xfId="1995"/>
    <cellStyle name="Moeda 8 2" xfId="2772"/>
    <cellStyle name="Moeda 9" xfId="2696"/>
    <cellStyle name="Moeda0" xfId="446"/>
    <cellStyle name="mpenho" xfId="3432"/>
    <cellStyle name="mpenho 2" xfId="3433"/>
    <cellStyle name="Neutra 10" xfId="3434"/>
    <cellStyle name="Neutra 2" xfId="480"/>
    <cellStyle name="Neutra 2 10" xfId="3435"/>
    <cellStyle name="Neutra 2 11" xfId="3436"/>
    <cellStyle name="Neutra 2 2" xfId="3437"/>
    <cellStyle name="Neutra 2 2 2" xfId="3438"/>
    <cellStyle name="Neutra 2 2 3" xfId="3439"/>
    <cellStyle name="Neutra 2 3" xfId="3440"/>
    <cellStyle name="Neutra 2 4" xfId="3441"/>
    <cellStyle name="Neutra 2 5" xfId="3442"/>
    <cellStyle name="Neutra 2 6" xfId="3443"/>
    <cellStyle name="Neutra 2 7" xfId="3444"/>
    <cellStyle name="Neutra 2 8" xfId="3445"/>
    <cellStyle name="Neutra 2 9" xfId="3446"/>
    <cellStyle name="Neutra 3" xfId="848"/>
    <cellStyle name="Neutra 4" xfId="849"/>
    <cellStyle name="Neutra 5" xfId="3447"/>
    <cellStyle name="Neutra 6" xfId="3448"/>
    <cellStyle name="Neutra 7" xfId="3449"/>
    <cellStyle name="Neutra 8" xfId="3450"/>
    <cellStyle name="Neutra 9" xfId="3451"/>
    <cellStyle name="Neutro" xfId="1985"/>
    <cellStyle name="No-definido" xfId="467"/>
    <cellStyle name="Normal" xfId="0" builtinId="0"/>
    <cellStyle name="Normal - Style1" xfId="541"/>
    <cellStyle name="Normal 10" xfId="15"/>
    <cellStyle name="Normal 10 2" xfId="550"/>
    <cellStyle name="Normal 10 3" xfId="2144"/>
    <cellStyle name="Normal 10 3 2" xfId="2773"/>
    <cellStyle name="Normal 10 3 3" xfId="2774"/>
    <cellStyle name="Normal 10 4" xfId="2775"/>
    <cellStyle name="Normal 10 5" xfId="472"/>
    <cellStyle name="Normal 11" xfId="12"/>
    <cellStyle name="Normal 11 2" xfId="3"/>
    <cellStyle name="Normal 11 2 2" xfId="407"/>
    <cellStyle name="Normal 11 2 3" xfId="2704"/>
    <cellStyle name="Normal 11 3" xfId="2776"/>
    <cellStyle name="Normal 11 4" xfId="514"/>
    <cellStyle name="Normal 12" xfId="395"/>
    <cellStyle name="Normal 12 2" xfId="516"/>
    <cellStyle name="Normal 13" xfId="7"/>
    <cellStyle name="Normal 13 2" xfId="2777"/>
    <cellStyle name="Normal 13 2 2" xfId="2929"/>
    <cellStyle name="Normal 13 3" xfId="517"/>
    <cellStyle name="Normal 14" xfId="401"/>
    <cellStyle name="Normal 14 2" xfId="2778"/>
    <cellStyle name="Normal 15" xfId="531"/>
    <cellStyle name="Normal 15 2" xfId="1981"/>
    <cellStyle name="Normal 15 2 2" xfId="2779"/>
    <cellStyle name="Normal 15 3" xfId="2145"/>
    <cellStyle name="Normal 15 3 2" xfId="2780"/>
    <cellStyle name="Normal 15 4" xfId="2781"/>
    <cellStyle name="Normal 16" xfId="549"/>
    <cellStyle name="Normal 16 10" xfId="850"/>
    <cellStyle name="Normal 16 10 2" xfId="2782"/>
    <cellStyle name="Normal 16 11" xfId="851"/>
    <cellStyle name="Normal 16 11 2" xfId="2783"/>
    <cellStyle name="Normal 16 12" xfId="852"/>
    <cellStyle name="Normal 16 12 2" xfId="2784"/>
    <cellStyle name="Normal 16 13" xfId="853"/>
    <cellStyle name="Normal 16 13 2" xfId="2785"/>
    <cellStyle name="Normal 16 14" xfId="854"/>
    <cellStyle name="Normal 16 14 2" xfId="2786"/>
    <cellStyle name="Normal 16 15" xfId="855"/>
    <cellStyle name="Normal 16 15 2" xfId="2787"/>
    <cellStyle name="Normal 16 16" xfId="856"/>
    <cellStyle name="Normal 16 16 2" xfId="2788"/>
    <cellStyle name="Normal 16 17" xfId="857"/>
    <cellStyle name="Normal 16 17 2" xfId="2789"/>
    <cellStyle name="Normal 16 18" xfId="858"/>
    <cellStyle name="Normal 16 18 2" xfId="2790"/>
    <cellStyle name="Normal 16 19" xfId="859"/>
    <cellStyle name="Normal 16 19 2" xfId="2791"/>
    <cellStyle name="Normal 16 2" xfId="860"/>
    <cellStyle name="Normal 16 2 2" xfId="2792"/>
    <cellStyle name="Normal 16 20" xfId="861"/>
    <cellStyle name="Normal 16 20 2" xfId="2793"/>
    <cellStyle name="Normal 16 21" xfId="862"/>
    <cellStyle name="Normal 16 21 2" xfId="2794"/>
    <cellStyle name="Normal 16 22" xfId="863"/>
    <cellStyle name="Normal 16 22 2" xfId="2795"/>
    <cellStyle name="Normal 16 23" xfId="864"/>
    <cellStyle name="Normal 16 23 2" xfId="2796"/>
    <cellStyle name="Normal 16 24" xfId="865"/>
    <cellStyle name="Normal 16 24 2" xfId="2797"/>
    <cellStyle name="Normal 16 25" xfId="866"/>
    <cellStyle name="Normal 16 25 2" xfId="2798"/>
    <cellStyle name="Normal 16 26" xfId="867"/>
    <cellStyle name="Normal 16 26 2" xfId="2799"/>
    <cellStyle name="Normal 16 27" xfId="868"/>
    <cellStyle name="Normal 16 27 2" xfId="2800"/>
    <cellStyle name="Normal 16 28" xfId="869"/>
    <cellStyle name="Normal 16 28 2" xfId="2801"/>
    <cellStyle name="Normal 16 29" xfId="870"/>
    <cellStyle name="Normal 16 29 2" xfId="2802"/>
    <cellStyle name="Normal 16 3" xfId="871"/>
    <cellStyle name="Normal 16 3 2" xfId="2803"/>
    <cellStyle name="Normal 16 30" xfId="872"/>
    <cellStyle name="Normal 16 30 2" xfId="2804"/>
    <cellStyle name="Normal 16 31" xfId="873"/>
    <cellStyle name="Normal 16 31 2" xfId="2805"/>
    <cellStyle name="Normal 16 32" xfId="874"/>
    <cellStyle name="Normal 16 32 2" xfId="2806"/>
    <cellStyle name="Normal 16 33" xfId="875"/>
    <cellStyle name="Normal 16 33 2" xfId="2807"/>
    <cellStyle name="Normal 16 34" xfId="876"/>
    <cellStyle name="Normal 16 34 2" xfId="2808"/>
    <cellStyle name="Normal 16 35" xfId="877"/>
    <cellStyle name="Normal 16 35 2" xfId="2809"/>
    <cellStyle name="Normal 16 36" xfId="878"/>
    <cellStyle name="Normal 16 36 2" xfId="2810"/>
    <cellStyle name="Normal 16 37" xfId="879"/>
    <cellStyle name="Normal 16 37 2" xfId="2811"/>
    <cellStyle name="Normal 16 38" xfId="880"/>
    <cellStyle name="Normal 16 38 2" xfId="2812"/>
    <cellStyle name="Normal 16 39" xfId="881"/>
    <cellStyle name="Normal 16 39 2" xfId="2813"/>
    <cellStyle name="Normal 16 4" xfId="882"/>
    <cellStyle name="Normal 16 4 2" xfId="2814"/>
    <cellStyle name="Normal 16 40" xfId="1996"/>
    <cellStyle name="Normal 16 40 2" xfId="2687"/>
    <cellStyle name="Normal 16 40 3" xfId="2815"/>
    <cellStyle name="Normal 16 41" xfId="2697"/>
    <cellStyle name="Normal 16 5" xfId="883"/>
    <cellStyle name="Normal 16 5 2" xfId="2816"/>
    <cellStyle name="Normal 16 6" xfId="884"/>
    <cellStyle name="Normal 16 6 2" xfId="2817"/>
    <cellStyle name="Normal 16 7" xfId="885"/>
    <cellStyle name="Normal 16 7 2" xfId="2818"/>
    <cellStyle name="Normal 16 8" xfId="886"/>
    <cellStyle name="Normal 16 8 2" xfId="2819"/>
    <cellStyle name="Normal 16 9" xfId="887"/>
    <cellStyle name="Normal 16 9 2" xfId="2820"/>
    <cellStyle name="Normal 16_12001 - Planilha orçamentária" xfId="888"/>
    <cellStyle name="Normal 17" xfId="889"/>
    <cellStyle name="Normal 18" xfId="890"/>
    <cellStyle name="Normal 19" xfId="891"/>
    <cellStyle name="Normal 19 10" xfId="892"/>
    <cellStyle name="Normal 19 10 2" xfId="2821"/>
    <cellStyle name="Normal 19 11" xfId="893"/>
    <cellStyle name="Normal 19 11 2" xfId="2822"/>
    <cellStyle name="Normal 19 12" xfId="894"/>
    <cellStyle name="Normal 19 12 2" xfId="2823"/>
    <cellStyle name="Normal 19 13" xfId="895"/>
    <cellStyle name="Normal 19 13 2" xfId="2824"/>
    <cellStyle name="Normal 19 14" xfId="896"/>
    <cellStyle name="Normal 19 14 2" xfId="2825"/>
    <cellStyle name="Normal 19 15" xfId="897"/>
    <cellStyle name="Normal 19 15 2" xfId="2826"/>
    <cellStyle name="Normal 19 16" xfId="898"/>
    <cellStyle name="Normal 19 16 2" xfId="2827"/>
    <cellStyle name="Normal 19 17" xfId="899"/>
    <cellStyle name="Normal 19 17 2" xfId="2828"/>
    <cellStyle name="Normal 19 18" xfId="900"/>
    <cellStyle name="Normal 19 18 2" xfId="2829"/>
    <cellStyle name="Normal 19 19" xfId="901"/>
    <cellStyle name="Normal 19 19 2" xfId="2830"/>
    <cellStyle name="Normal 19 2" xfId="902"/>
    <cellStyle name="Normal 19 2 2" xfId="2831"/>
    <cellStyle name="Normal 19 20" xfId="903"/>
    <cellStyle name="Normal 19 20 2" xfId="2832"/>
    <cellStyle name="Normal 19 21" xfId="904"/>
    <cellStyle name="Normal 19 21 2" xfId="2833"/>
    <cellStyle name="Normal 19 22" xfId="905"/>
    <cellStyle name="Normal 19 22 2" xfId="2834"/>
    <cellStyle name="Normal 19 23" xfId="906"/>
    <cellStyle name="Normal 19 23 2" xfId="2835"/>
    <cellStyle name="Normal 19 24" xfId="907"/>
    <cellStyle name="Normal 19 24 2" xfId="2836"/>
    <cellStyle name="Normal 19 25" xfId="908"/>
    <cellStyle name="Normal 19 25 2" xfId="2837"/>
    <cellStyle name="Normal 19 26" xfId="909"/>
    <cellStyle name="Normal 19 26 2" xfId="2838"/>
    <cellStyle name="Normal 19 27" xfId="910"/>
    <cellStyle name="Normal 19 27 2" xfId="2839"/>
    <cellStyle name="Normal 19 28" xfId="911"/>
    <cellStyle name="Normal 19 28 2" xfId="2840"/>
    <cellStyle name="Normal 19 29" xfId="912"/>
    <cellStyle name="Normal 19 29 2" xfId="2841"/>
    <cellStyle name="Normal 19 3" xfId="913"/>
    <cellStyle name="Normal 19 3 2" xfId="2842"/>
    <cellStyle name="Normal 19 30" xfId="914"/>
    <cellStyle name="Normal 19 30 2" xfId="2843"/>
    <cellStyle name="Normal 19 31" xfId="915"/>
    <cellStyle name="Normal 19 31 2" xfId="2844"/>
    <cellStyle name="Normal 19 32" xfId="916"/>
    <cellStyle name="Normal 19 32 2" xfId="2845"/>
    <cellStyle name="Normal 19 33" xfId="917"/>
    <cellStyle name="Normal 19 33 2" xfId="2846"/>
    <cellStyle name="Normal 19 34" xfId="918"/>
    <cellStyle name="Normal 19 34 2" xfId="2847"/>
    <cellStyle name="Normal 19 35" xfId="919"/>
    <cellStyle name="Normal 19 35 2" xfId="2848"/>
    <cellStyle name="Normal 19 36" xfId="920"/>
    <cellStyle name="Normal 19 36 2" xfId="2849"/>
    <cellStyle name="Normal 19 37" xfId="921"/>
    <cellStyle name="Normal 19 37 2" xfId="2850"/>
    <cellStyle name="Normal 19 38" xfId="922"/>
    <cellStyle name="Normal 19 38 2" xfId="2851"/>
    <cellStyle name="Normal 19 39" xfId="2852"/>
    <cellStyle name="Normal 19 4" xfId="923"/>
    <cellStyle name="Normal 19 4 2" xfId="2853"/>
    <cellStyle name="Normal 19 5" xfId="924"/>
    <cellStyle name="Normal 19 5 2" xfId="2854"/>
    <cellStyle name="Normal 19 6" xfId="925"/>
    <cellStyle name="Normal 19 6 2" xfId="2855"/>
    <cellStyle name="Normal 19 7" xfId="926"/>
    <cellStyle name="Normal 19 7 2" xfId="2856"/>
    <cellStyle name="Normal 19 8" xfId="927"/>
    <cellStyle name="Normal 19 8 2" xfId="2857"/>
    <cellStyle name="Normal 19 9" xfId="928"/>
    <cellStyle name="Normal 19 9 2" xfId="2858"/>
    <cellStyle name="Normal 19_12001 - Planilha orçamentária" xfId="929"/>
    <cellStyle name="Normal 2" xfId="1"/>
    <cellStyle name="Normal 2 10" xfId="16"/>
    <cellStyle name="Normal 2 11" xfId="17"/>
    <cellStyle name="Normal 2 12" xfId="18"/>
    <cellStyle name="Normal 2 13" xfId="19"/>
    <cellStyle name="Normal 2 14" xfId="20"/>
    <cellStyle name="Normal 2 15" xfId="21"/>
    <cellStyle name="Normal 2 16" xfId="22"/>
    <cellStyle name="Normal 2 17" xfId="23"/>
    <cellStyle name="Normal 2 18" xfId="24"/>
    <cellStyle name="Normal 2 19" xfId="25"/>
    <cellStyle name="Normal 2 2" xfId="26"/>
    <cellStyle name="Normal 2 2 10" xfId="27"/>
    <cellStyle name="Normal 2 2 10 2" xfId="3452"/>
    <cellStyle name="Normal 2 2 11" xfId="28"/>
    <cellStyle name="Normal 2 2 11 2" xfId="3453"/>
    <cellStyle name="Normal 2 2 12" xfId="29"/>
    <cellStyle name="Normal 2 2 13" xfId="30"/>
    <cellStyle name="Normal 2 2 14" xfId="31"/>
    <cellStyle name="Normal 2 2 15" xfId="32"/>
    <cellStyle name="Normal 2 2 16" xfId="33"/>
    <cellStyle name="Normal 2 2 17" xfId="34"/>
    <cellStyle name="Normal 2 2 18" xfId="35"/>
    <cellStyle name="Normal 2 2 19" xfId="36"/>
    <cellStyle name="Normal 2 2 2" xfId="37"/>
    <cellStyle name="Normal 2 2 2 2" xfId="3454"/>
    <cellStyle name="Normal 2 2 2 3" xfId="3455"/>
    <cellStyle name="Normal 2 2 20" xfId="38"/>
    <cellStyle name="Normal 2 2 21" xfId="448"/>
    <cellStyle name="Normal 2 2 3" xfId="39"/>
    <cellStyle name="Normal 2 2 3 2" xfId="3456"/>
    <cellStyle name="Normal 2 2 3 3" xfId="3457"/>
    <cellStyle name="Normal 2 2 4" xfId="40"/>
    <cellStyle name="Normal 2 2 5" xfId="41"/>
    <cellStyle name="Normal 2 2 5 2" xfId="3458"/>
    <cellStyle name="Normal 2 2 6" xfId="42"/>
    <cellStyle name="Normal 2 2 6 2" xfId="3459"/>
    <cellStyle name="Normal 2 2 7" xfId="43"/>
    <cellStyle name="Normal 2 2 7 2" xfId="3460"/>
    <cellStyle name="Normal 2 2 8" xfId="44"/>
    <cellStyle name="Normal 2 2 8 2" xfId="3461"/>
    <cellStyle name="Normal 2 2 9" xfId="45"/>
    <cellStyle name="Normal 2 2 9 2" xfId="3462"/>
    <cellStyle name="Normal 2 20" xfId="46"/>
    <cellStyle name="Normal 2 21" xfId="47"/>
    <cellStyle name="Normal 2 22" xfId="48"/>
    <cellStyle name="Normal 2 22 2" xfId="933"/>
    <cellStyle name="Normal 2 23" xfId="49"/>
    <cellStyle name="Normal 2 23 2" xfId="1988"/>
    <cellStyle name="Normal 2 24" xfId="50"/>
    <cellStyle name="Normal 2 24 2" xfId="3109"/>
    <cellStyle name="Normal 2 25" xfId="51"/>
    <cellStyle name="Normal 2 26" xfId="52"/>
    <cellStyle name="Normal 2 27" xfId="53"/>
    <cellStyle name="Normal 2 28" xfId="447"/>
    <cellStyle name="Normal 2 3" xfId="54"/>
    <cellStyle name="Normal 2 3 10" xfId="55"/>
    <cellStyle name="Normal 2 3 11" xfId="56"/>
    <cellStyle name="Normal 2 3 12" xfId="57"/>
    <cellStyle name="Normal 2 3 13" xfId="58"/>
    <cellStyle name="Normal 2 3 14" xfId="59"/>
    <cellStyle name="Normal 2 3 15" xfId="60"/>
    <cellStyle name="Normal 2 3 16" xfId="61"/>
    <cellStyle name="Normal 2 3 17" xfId="62"/>
    <cellStyle name="Normal 2 3 18" xfId="63"/>
    <cellStyle name="Normal 2 3 19" xfId="64"/>
    <cellStyle name="Normal 2 3 2" xfId="65"/>
    <cellStyle name="Normal 2 3 20" xfId="66"/>
    <cellStyle name="Normal 2 3 3" xfId="67"/>
    <cellStyle name="Normal 2 3 3 2" xfId="3463"/>
    <cellStyle name="Normal 2 3 4" xfId="68"/>
    <cellStyle name="Normal 2 3 5" xfId="69"/>
    <cellStyle name="Normal 2 3 6" xfId="70"/>
    <cellStyle name="Normal 2 3 7" xfId="71"/>
    <cellStyle name="Normal 2 3 8" xfId="72"/>
    <cellStyle name="Normal 2 3 9" xfId="73"/>
    <cellStyle name="Normal 2 4" xfId="74"/>
    <cellStyle name="Normal 2 4 10" xfId="75"/>
    <cellStyle name="Normal 2 4 11" xfId="76"/>
    <cellStyle name="Normal 2 4 12" xfId="77"/>
    <cellStyle name="Normal 2 4 13" xfId="78"/>
    <cellStyle name="Normal 2 4 14" xfId="79"/>
    <cellStyle name="Normal 2 4 15" xfId="80"/>
    <cellStyle name="Normal 2 4 16" xfId="81"/>
    <cellStyle name="Normal 2 4 17" xfId="82"/>
    <cellStyle name="Normal 2 4 18" xfId="83"/>
    <cellStyle name="Normal 2 4 19" xfId="84"/>
    <cellStyle name="Normal 2 4 2" xfId="85"/>
    <cellStyle name="Normal 2 4 2 2" xfId="3464"/>
    <cellStyle name="Normal 2 4 20" xfId="86"/>
    <cellStyle name="Normal 2 4 3" xfId="87"/>
    <cellStyle name="Normal 2 4 3 2" xfId="3465"/>
    <cellStyle name="Normal 2 4 4" xfId="88"/>
    <cellStyle name="Normal 2 4 5" xfId="89"/>
    <cellStyle name="Normal 2 4 6" xfId="90"/>
    <cellStyle name="Normal 2 4 7" xfId="91"/>
    <cellStyle name="Normal 2 4 8" xfId="92"/>
    <cellStyle name="Normal 2 4 9" xfId="93"/>
    <cellStyle name="Normal 2 5" xfId="94"/>
    <cellStyle name="Normal 2 5 10" xfId="95"/>
    <cellStyle name="Normal 2 5 11" xfId="96"/>
    <cellStyle name="Normal 2 5 12" xfId="97"/>
    <cellStyle name="Normal 2 5 13" xfId="98"/>
    <cellStyle name="Normal 2 5 14" xfId="99"/>
    <cellStyle name="Normal 2 5 15" xfId="100"/>
    <cellStyle name="Normal 2 5 16" xfId="101"/>
    <cellStyle name="Normal 2 5 17" xfId="102"/>
    <cellStyle name="Normal 2 5 18" xfId="103"/>
    <cellStyle name="Normal 2 5 19" xfId="104"/>
    <cellStyle name="Normal 2 5 2" xfId="105"/>
    <cellStyle name="Normal 2 5 20" xfId="106"/>
    <cellStyle name="Normal 2 5 3" xfId="107"/>
    <cellStyle name="Normal 2 5 4" xfId="108"/>
    <cellStyle name="Normal 2 5 5" xfId="109"/>
    <cellStyle name="Normal 2 5 6" xfId="110"/>
    <cellStyle name="Normal 2 5 7" xfId="111"/>
    <cellStyle name="Normal 2 5 8" xfId="112"/>
    <cellStyle name="Normal 2 5 9" xfId="113"/>
    <cellStyle name="Normal 2 6" xfId="114"/>
    <cellStyle name="Normal 2 6 10" xfId="115"/>
    <cellStyle name="Normal 2 6 11" xfId="116"/>
    <cellStyle name="Normal 2 6 12" xfId="117"/>
    <cellStyle name="Normal 2 6 13" xfId="118"/>
    <cellStyle name="Normal 2 6 14" xfId="119"/>
    <cellStyle name="Normal 2 6 15" xfId="120"/>
    <cellStyle name="Normal 2 6 16" xfId="121"/>
    <cellStyle name="Normal 2 6 17" xfId="122"/>
    <cellStyle name="Normal 2 6 18" xfId="123"/>
    <cellStyle name="Normal 2 6 19" xfId="124"/>
    <cellStyle name="Normal 2 6 2" xfId="125"/>
    <cellStyle name="Normal 2 6 20" xfId="126"/>
    <cellStyle name="Normal 2 6 3" xfId="127"/>
    <cellStyle name="Normal 2 6 4" xfId="128"/>
    <cellStyle name="Normal 2 6 5" xfId="129"/>
    <cellStyle name="Normal 2 6 6" xfId="130"/>
    <cellStyle name="Normal 2 6 7" xfId="131"/>
    <cellStyle name="Normal 2 6 8" xfId="132"/>
    <cellStyle name="Normal 2 6 9" xfId="133"/>
    <cellStyle name="Normal 2 7" xfId="134"/>
    <cellStyle name="Normal 2 7 10" xfId="135"/>
    <cellStyle name="Normal 2 7 11" xfId="136"/>
    <cellStyle name="Normal 2 7 12" xfId="137"/>
    <cellStyle name="Normal 2 7 13" xfId="138"/>
    <cellStyle name="Normal 2 7 14" xfId="139"/>
    <cellStyle name="Normal 2 7 15" xfId="140"/>
    <cellStyle name="Normal 2 7 16" xfId="141"/>
    <cellStyle name="Normal 2 7 17" xfId="142"/>
    <cellStyle name="Normal 2 7 18" xfId="143"/>
    <cellStyle name="Normal 2 7 19" xfId="144"/>
    <cellStyle name="Normal 2 7 2" xfId="145"/>
    <cellStyle name="Normal 2 7 20" xfId="146"/>
    <cellStyle name="Normal 2 7 3" xfId="147"/>
    <cellStyle name="Normal 2 7 4" xfId="148"/>
    <cellStyle name="Normal 2 7 5" xfId="149"/>
    <cellStyle name="Normal 2 7 6" xfId="150"/>
    <cellStyle name="Normal 2 7 7" xfId="151"/>
    <cellStyle name="Normal 2 7 8" xfId="152"/>
    <cellStyle name="Normal 2 7 9" xfId="153"/>
    <cellStyle name="Normal 2 8" xfId="154"/>
    <cellStyle name="Normal 2 9" xfId="155"/>
    <cellStyle name="Normal 2_013_Globo - Bloco de Apoio" xfId="449"/>
    <cellStyle name="Normal 20" xfId="936"/>
    <cellStyle name="Normal 21" xfId="937"/>
    <cellStyle name="Normal 22" xfId="938"/>
    <cellStyle name="Normal 23" xfId="939"/>
    <cellStyle name="Normal 24" xfId="940"/>
    <cellStyle name="Normal 25" xfId="941"/>
    <cellStyle name="Normal 26" xfId="942"/>
    <cellStyle name="Normal 27" xfId="943"/>
    <cellStyle name="Normal 28" xfId="944"/>
    <cellStyle name="Normal 29" xfId="156"/>
    <cellStyle name="Normal 29 2" xfId="396"/>
    <cellStyle name="Normal 29 2 2" xfId="2146"/>
    <cellStyle name="Normal 29 3" xfId="402"/>
    <cellStyle name="Normal 29 4" xfId="945"/>
    <cellStyle name="Normal 3" xfId="157"/>
    <cellStyle name="Normal 3 10" xfId="158"/>
    <cellStyle name="Normal 3 11" xfId="159"/>
    <cellStyle name="Normal 3 12" xfId="160"/>
    <cellStyle name="Normal 3 12 2" xfId="947"/>
    <cellStyle name="Normal 3 12 2 2" xfId="948"/>
    <cellStyle name="Normal 3 12 2 2 2" xfId="949"/>
    <cellStyle name="Normal 3 12 2 2 2 2" xfId="2147"/>
    <cellStyle name="Normal 3 12 2 2 3" xfId="950"/>
    <cellStyle name="Normal 3 12 2 2 3 2" xfId="2148"/>
    <cellStyle name="Normal 3 12 2 2 4" xfId="2149"/>
    <cellStyle name="Normal 3 12 2 2_12001 - Planilha orçamentária" xfId="951"/>
    <cellStyle name="Normal 3 12 2 3" xfId="952"/>
    <cellStyle name="Normal 3 12 2 3 2" xfId="2150"/>
    <cellStyle name="Normal 3 12 2 4" xfId="953"/>
    <cellStyle name="Normal 3 12 2 4 2" xfId="2151"/>
    <cellStyle name="Normal 3 12 2 5" xfId="2152"/>
    <cellStyle name="Normal 3 12 2_12001 - Planilha orçamentária" xfId="954"/>
    <cellStyle name="Normal 3 12 3" xfId="955"/>
    <cellStyle name="Normal 3 12 3 2" xfId="956"/>
    <cellStyle name="Normal 3 12 3 2 2" xfId="2153"/>
    <cellStyle name="Normal 3 12 3 3" xfId="957"/>
    <cellStyle name="Normal 3 12 3 3 2" xfId="2154"/>
    <cellStyle name="Normal 3 12 3 4" xfId="2155"/>
    <cellStyle name="Normal 3 12 3_12001 - Planilha orçamentária" xfId="958"/>
    <cellStyle name="Normal 3 12 4" xfId="959"/>
    <cellStyle name="Normal 3 12 4 2" xfId="2156"/>
    <cellStyle name="Normal 3 12 5" xfId="960"/>
    <cellStyle name="Normal 3 12 5 2" xfId="2157"/>
    <cellStyle name="Normal 3 12 6" xfId="2158"/>
    <cellStyle name="Normal 3 12 7" xfId="946"/>
    <cellStyle name="Normal 3 12_12001 - Planilha orçamentária" xfId="961"/>
    <cellStyle name="Normal 3 13" xfId="161"/>
    <cellStyle name="Normal 3 13 10" xfId="963"/>
    <cellStyle name="Normal 3 13 11" xfId="964"/>
    <cellStyle name="Normal 3 13 12" xfId="965"/>
    <cellStyle name="Normal 3 13 13" xfId="966"/>
    <cellStyle name="Normal 3 13 14" xfId="967"/>
    <cellStyle name="Normal 3 13 15" xfId="968"/>
    <cellStyle name="Normal 3 13 16" xfId="969"/>
    <cellStyle name="Normal 3 13 17" xfId="970"/>
    <cellStyle name="Normal 3 13 18" xfId="971"/>
    <cellStyle name="Normal 3 13 19" xfId="972"/>
    <cellStyle name="Normal 3 13 2" xfId="973"/>
    <cellStyle name="Normal 3 13 20" xfId="974"/>
    <cellStyle name="Normal 3 13 21" xfId="975"/>
    <cellStyle name="Normal 3 13 22" xfId="976"/>
    <cellStyle name="Normal 3 13 23" xfId="977"/>
    <cellStyle name="Normal 3 13 24" xfId="978"/>
    <cellStyle name="Normal 3 13 25" xfId="979"/>
    <cellStyle name="Normal 3 13 26" xfId="980"/>
    <cellStyle name="Normal 3 13 27" xfId="981"/>
    <cellStyle name="Normal 3 13 28" xfId="982"/>
    <cellStyle name="Normal 3 13 29" xfId="983"/>
    <cellStyle name="Normal 3 13 3" xfId="984"/>
    <cellStyle name="Normal 3 13 30" xfId="985"/>
    <cellStyle name="Normal 3 13 31" xfId="986"/>
    <cellStyle name="Normal 3 13 32" xfId="987"/>
    <cellStyle name="Normal 3 13 33" xfId="988"/>
    <cellStyle name="Normal 3 13 34" xfId="989"/>
    <cellStyle name="Normal 3 13 35" xfId="990"/>
    <cellStyle name="Normal 3 13 36" xfId="991"/>
    <cellStyle name="Normal 3 13 37" xfId="992"/>
    <cellStyle name="Normal 3 13 38" xfId="993"/>
    <cellStyle name="Normal 3 13 39" xfId="994"/>
    <cellStyle name="Normal 3 13 4" xfId="995"/>
    <cellStyle name="Normal 3 13 40" xfId="996"/>
    <cellStyle name="Normal 3 13 41" xfId="997"/>
    <cellStyle name="Normal 3 13 42" xfId="998"/>
    <cellStyle name="Normal 3 13 43" xfId="999"/>
    <cellStyle name="Normal 3 13 44" xfId="1000"/>
    <cellStyle name="Normal 3 13 45" xfId="1001"/>
    <cellStyle name="Normal 3 13 45 2" xfId="1002"/>
    <cellStyle name="Normal 3 13 45 2 2" xfId="2159"/>
    <cellStyle name="Normal 3 13 45 3" xfId="1003"/>
    <cellStyle name="Normal 3 13 45 3 2" xfId="2160"/>
    <cellStyle name="Normal 3 13 45 4" xfId="2161"/>
    <cellStyle name="Normal 3 13 45_12001 - Planilha orçamentária" xfId="1004"/>
    <cellStyle name="Normal 3 13 46" xfId="1005"/>
    <cellStyle name="Normal 3 13 46 2" xfId="2162"/>
    <cellStyle name="Normal 3 13 47" xfId="1006"/>
    <cellStyle name="Normal 3 13 47 2" xfId="2163"/>
    <cellStyle name="Normal 3 13 48" xfId="2164"/>
    <cellStyle name="Normal 3 13 49" xfId="962"/>
    <cellStyle name="Normal 3 13 5" xfId="1007"/>
    <cellStyle name="Normal 3 13 6" xfId="1008"/>
    <cellStyle name="Normal 3 13 7" xfId="1009"/>
    <cellStyle name="Normal 3 13 8" xfId="1010"/>
    <cellStyle name="Normal 3 13 9" xfId="1011"/>
    <cellStyle name="Normal 3 13_12001 - Planilha orçamentária" xfId="1012"/>
    <cellStyle name="Normal 3 14" xfId="162"/>
    <cellStyle name="Normal 3 15" xfId="163"/>
    <cellStyle name="Normal 3 16" xfId="164"/>
    <cellStyle name="Normal 3 16 2" xfId="1014"/>
    <cellStyle name="Normal 3 16 2 2" xfId="1015"/>
    <cellStyle name="Normal 3 16 2 2 2" xfId="1016"/>
    <cellStyle name="Normal 3 16 2 2 2 2" xfId="2165"/>
    <cellStyle name="Normal 3 16 2 2 3" xfId="1017"/>
    <cellStyle name="Normal 3 16 2 2 3 2" xfId="2166"/>
    <cellStyle name="Normal 3 16 2 2 4" xfId="2167"/>
    <cellStyle name="Normal 3 16 2 2_12001 - Planilha orçamentária" xfId="1018"/>
    <cellStyle name="Normal 3 16 2 3" xfId="1019"/>
    <cellStyle name="Normal 3 16 2 3 2" xfId="2168"/>
    <cellStyle name="Normal 3 16 2 4" xfId="1020"/>
    <cellStyle name="Normal 3 16 2 4 2" xfId="2169"/>
    <cellStyle name="Normal 3 16 2 5" xfId="2170"/>
    <cellStyle name="Normal 3 16 2_12001 - Planilha orçamentária" xfId="1021"/>
    <cellStyle name="Normal 3 16 3" xfId="1022"/>
    <cellStyle name="Normal 3 16 3 2" xfId="1023"/>
    <cellStyle name="Normal 3 16 3 2 2" xfId="2171"/>
    <cellStyle name="Normal 3 16 3 3" xfId="1024"/>
    <cellStyle name="Normal 3 16 3 3 2" xfId="2172"/>
    <cellStyle name="Normal 3 16 3 4" xfId="2173"/>
    <cellStyle name="Normal 3 16 3_12001 - Planilha orçamentária" xfId="1025"/>
    <cellStyle name="Normal 3 16 4" xfId="1026"/>
    <cellStyle name="Normal 3 16 4 2" xfId="2174"/>
    <cellStyle name="Normal 3 16 5" xfId="1027"/>
    <cellStyle name="Normal 3 16 5 2" xfId="2175"/>
    <cellStyle name="Normal 3 16 6" xfId="2176"/>
    <cellStyle name="Normal 3 16 7" xfId="1013"/>
    <cellStyle name="Normal 3 16_12001 - Planilha orçamentária" xfId="1028"/>
    <cellStyle name="Normal 3 17" xfId="165"/>
    <cellStyle name="Normal 3 17 2" xfId="1030"/>
    <cellStyle name="Normal 3 17 2 2" xfId="1031"/>
    <cellStyle name="Normal 3 17 2 2 2" xfId="1032"/>
    <cellStyle name="Normal 3 17 2 2 2 2" xfId="2177"/>
    <cellStyle name="Normal 3 17 2 2 3" xfId="1033"/>
    <cellStyle name="Normal 3 17 2 2 3 2" xfId="2178"/>
    <cellStyle name="Normal 3 17 2 2 4" xfId="2179"/>
    <cellStyle name="Normal 3 17 2 2_12001 - Planilha orçamentária" xfId="1034"/>
    <cellStyle name="Normal 3 17 2 3" xfId="1035"/>
    <cellStyle name="Normal 3 17 2 3 2" xfId="2180"/>
    <cellStyle name="Normal 3 17 2 4" xfId="1036"/>
    <cellStyle name="Normal 3 17 2 4 2" xfId="2181"/>
    <cellStyle name="Normal 3 17 2 5" xfId="2182"/>
    <cellStyle name="Normal 3 17 2_12001 - Planilha orçamentária" xfId="1037"/>
    <cellStyle name="Normal 3 17 3" xfId="1038"/>
    <cellStyle name="Normal 3 17 3 2" xfId="1039"/>
    <cellStyle name="Normal 3 17 3 2 2" xfId="2183"/>
    <cellStyle name="Normal 3 17 3 3" xfId="1040"/>
    <cellStyle name="Normal 3 17 3 3 2" xfId="2184"/>
    <cellStyle name="Normal 3 17 3 4" xfId="2185"/>
    <cellStyle name="Normal 3 17 3_12001 - Planilha orçamentária" xfId="1041"/>
    <cellStyle name="Normal 3 17 4" xfId="1042"/>
    <cellStyle name="Normal 3 17 4 2" xfId="2186"/>
    <cellStyle name="Normal 3 17 5" xfId="1043"/>
    <cellStyle name="Normal 3 17 5 2" xfId="2187"/>
    <cellStyle name="Normal 3 17 6" xfId="2188"/>
    <cellStyle name="Normal 3 17 7" xfId="1029"/>
    <cellStyle name="Normal 3 17_12001 - Planilha orçamentária" xfId="1044"/>
    <cellStyle name="Normal 3 18" xfId="166"/>
    <cellStyle name="Normal 3 18 2" xfId="1046"/>
    <cellStyle name="Normal 3 18 2 2" xfId="1047"/>
    <cellStyle name="Normal 3 18 2 2 2" xfId="1048"/>
    <cellStyle name="Normal 3 18 2 2 2 2" xfId="2189"/>
    <cellStyle name="Normal 3 18 2 2 3" xfId="1049"/>
    <cellStyle name="Normal 3 18 2 2 3 2" xfId="2190"/>
    <cellStyle name="Normal 3 18 2 2 4" xfId="2191"/>
    <cellStyle name="Normal 3 18 2 2_12001 - Planilha orçamentária" xfId="1050"/>
    <cellStyle name="Normal 3 18 2 3" xfId="1051"/>
    <cellStyle name="Normal 3 18 2 3 2" xfId="2192"/>
    <cellStyle name="Normal 3 18 2 4" xfId="1052"/>
    <cellStyle name="Normal 3 18 2 4 2" xfId="2193"/>
    <cellStyle name="Normal 3 18 2 5" xfId="2194"/>
    <cellStyle name="Normal 3 18 2_12001 - Planilha orçamentária" xfId="1053"/>
    <cellStyle name="Normal 3 18 3" xfId="1054"/>
    <cellStyle name="Normal 3 18 3 2" xfId="1055"/>
    <cellStyle name="Normal 3 18 3 2 2" xfId="2195"/>
    <cellStyle name="Normal 3 18 3 3" xfId="1056"/>
    <cellStyle name="Normal 3 18 3 3 2" xfId="2196"/>
    <cellStyle name="Normal 3 18 3 4" xfId="2197"/>
    <cellStyle name="Normal 3 18 3_12001 - Planilha orçamentária" xfId="1057"/>
    <cellStyle name="Normal 3 18 4" xfId="1058"/>
    <cellStyle name="Normal 3 18 4 2" xfId="2198"/>
    <cellStyle name="Normal 3 18 5" xfId="1059"/>
    <cellStyle name="Normal 3 18 5 2" xfId="2199"/>
    <cellStyle name="Normal 3 18 6" xfId="2200"/>
    <cellStyle name="Normal 3 18 7" xfId="1045"/>
    <cellStyle name="Normal 3 18_12001 - Planilha orçamentária" xfId="1060"/>
    <cellStyle name="Normal 3 19" xfId="167"/>
    <cellStyle name="Normal 3 19 2" xfId="1062"/>
    <cellStyle name="Normal 3 19 2 2" xfId="1063"/>
    <cellStyle name="Normal 3 19 2 2 2" xfId="1064"/>
    <cellStyle name="Normal 3 19 2 2 2 2" xfId="2201"/>
    <cellStyle name="Normal 3 19 2 2 3" xfId="1065"/>
    <cellStyle name="Normal 3 19 2 2 3 2" xfId="2202"/>
    <cellStyle name="Normal 3 19 2 2 4" xfId="2203"/>
    <cellStyle name="Normal 3 19 2 2_12001 - Planilha orçamentária" xfId="1066"/>
    <cellStyle name="Normal 3 19 2 3" xfId="1067"/>
    <cellStyle name="Normal 3 19 2 3 2" xfId="2204"/>
    <cellStyle name="Normal 3 19 2 4" xfId="1068"/>
    <cellStyle name="Normal 3 19 2 4 2" xfId="2205"/>
    <cellStyle name="Normal 3 19 2 5" xfId="2206"/>
    <cellStyle name="Normal 3 19 2_12001 - Planilha orçamentária" xfId="1069"/>
    <cellStyle name="Normal 3 19 3" xfId="1070"/>
    <cellStyle name="Normal 3 19 3 2" xfId="1071"/>
    <cellStyle name="Normal 3 19 3 2 2" xfId="2207"/>
    <cellStyle name="Normal 3 19 3 3" xfId="1072"/>
    <cellStyle name="Normal 3 19 3 3 2" xfId="2208"/>
    <cellStyle name="Normal 3 19 3 4" xfId="2209"/>
    <cellStyle name="Normal 3 19 3_12001 - Planilha orçamentária" xfId="1073"/>
    <cellStyle name="Normal 3 19 4" xfId="1074"/>
    <cellStyle name="Normal 3 19 4 2" xfId="2210"/>
    <cellStyle name="Normal 3 19 5" xfId="1075"/>
    <cellStyle name="Normal 3 19 5 2" xfId="2211"/>
    <cellStyle name="Normal 3 19 6" xfId="2212"/>
    <cellStyle name="Normal 3 19 7" xfId="1061"/>
    <cellStyle name="Normal 3 19_12001 - Planilha orçamentária" xfId="1076"/>
    <cellStyle name="Normal 3 2" xfId="168"/>
    <cellStyle name="Normal 3 2 10" xfId="1077"/>
    <cellStyle name="Normal 3 2 11" xfId="1078"/>
    <cellStyle name="Normal 3 2 12" xfId="1079"/>
    <cellStyle name="Normal 3 2 13" xfId="1080"/>
    <cellStyle name="Normal 3 2 14" xfId="1081"/>
    <cellStyle name="Normal 3 2 15" xfId="1082"/>
    <cellStyle name="Normal 3 2 16" xfId="1083"/>
    <cellStyle name="Normal 3 2 17" xfId="1084"/>
    <cellStyle name="Normal 3 2 18" xfId="1085"/>
    <cellStyle name="Normal 3 2 19" xfId="1086"/>
    <cellStyle name="Normal 3 2 2" xfId="11"/>
    <cellStyle name="Normal 3 2 2 2" xfId="3466"/>
    <cellStyle name="Normal 3 2 20" xfId="1087"/>
    <cellStyle name="Normal 3 2 21" xfId="1088"/>
    <cellStyle name="Normal 3 2 22" xfId="1089"/>
    <cellStyle name="Normal 3 2 23" xfId="1090"/>
    <cellStyle name="Normal 3 2 24" xfId="1091"/>
    <cellStyle name="Normal 3 2 25" xfId="1092"/>
    <cellStyle name="Normal 3 2 26" xfId="1093"/>
    <cellStyle name="Normal 3 2 27" xfId="1094"/>
    <cellStyle name="Normal 3 2 28" xfId="1095"/>
    <cellStyle name="Normal 3 2 29" xfId="1096"/>
    <cellStyle name="Normal 3 2 3" xfId="1097"/>
    <cellStyle name="Normal 3 2 30" xfId="1098"/>
    <cellStyle name="Normal 3 2 31" xfId="1099"/>
    <cellStyle name="Normal 3 2 32" xfId="1100"/>
    <cellStyle name="Normal 3 2 33" xfId="1101"/>
    <cellStyle name="Normal 3 2 34" xfId="1102"/>
    <cellStyle name="Normal 3 2 35" xfId="1103"/>
    <cellStyle name="Normal 3 2 36" xfId="1104"/>
    <cellStyle name="Normal 3 2 37" xfId="1105"/>
    <cellStyle name="Normal 3 2 38" xfId="1106"/>
    <cellStyle name="Normal 3 2 39" xfId="1107"/>
    <cellStyle name="Normal 3 2 4" xfId="1108"/>
    <cellStyle name="Normal 3 2 4 2" xfId="3467"/>
    <cellStyle name="Normal 3 2 40" xfId="1109"/>
    <cellStyle name="Normal 3 2 41" xfId="1110"/>
    <cellStyle name="Normal 3 2 42" xfId="1111"/>
    <cellStyle name="Normal 3 2 43" xfId="1112"/>
    <cellStyle name="Normal 3 2 44" xfId="1113"/>
    <cellStyle name="Normal 3 2 45" xfId="1114"/>
    <cellStyle name="Normal 3 2 46" xfId="1115"/>
    <cellStyle name="Normal 3 2 47" xfId="1116"/>
    <cellStyle name="Normal 3 2 47 2" xfId="1117"/>
    <cellStyle name="Normal 3 2 47 2 2" xfId="1118"/>
    <cellStyle name="Normal 3 2 47 2 2 2" xfId="2213"/>
    <cellStyle name="Normal 3 2 47 2 3" xfId="1119"/>
    <cellStyle name="Normal 3 2 47 2 3 2" xfId="2214"/>
    <cellStyle name="Normal 3 2 47 2 4" xfId="2215"/>
    <cellStyle name="Normal 3 2 47 2_12001 - Planilha orçamentária" xfId="1120"/>
    <cellStyle name="Normal 3 2 47 3" xfId="1121"/>
    <cellStyle name="Normal 3 2 47 3 2" xfId="2216"/>
    <cellStyle name="Normal 3 2 47 4" xfId="1122"/>
    <cellStyle name="Normal 3 2 47 4 2" xfId="2217"/>
    <cellStyle name="Normal 3 2 47 5" xfId="2218"/>
    <cellStyle name="Normal 3 2 47_12001 - Planilha orçamentária" xfId="1123"/>
    <cellStyle name="Normal 3 2 5" xfId="1124"/>
    <cellStyle name="Normal 3 2 6" xfId="1125"/>
    <cellStyle name="Normal 3 2 7" xfId="1126"/>
    <cellStyle name="Normal 3 2 8" xfId="1127"/>
    <cellStyle name="Normal 3 2 9" xfId="1128"/>
    <cellStyle name="Normal 3 20" xfId="169"/>
    <cellStyle name="Normal 3 20 2" xfId="1130"/>
    <cellStyle name="Normal 3 20 2 2" xfId="1131"/>
    <cellStyle name="Normal 3 20 2 2 2" xfId="1132"/>
    <cellStyle name="Normal 3 20 2 2 2 2" xfId="2219"/>
    <cellStyle name="Normal 3 20 2 2 3" xfId="1133"/>
    <cellStyle name="Normal 3 20 2 2 3 2" xfId="2220"/>
    <cellStyle name="Normal 3 20 2 2 4" xfId="2221"/>
    <cellStyle name="Normal 3 20 2 2_12001 - Planilha orçamentária" xfId="1134"/>
    <cellStyle name="Normal 3 20 2 3" xfId="1135"/>
    <cellStyle name="Normal 3 20 2 3 2" xfId="2222"/>
    <cellStyle name="Normal 3 20 2 4" xfId="1136"/>
    <cellStyle name="Normal 3 20 2 4 2" xfId="2223"/>
    <cellStyle name="Normal 3 20 2 5" xfId="2224"/>
    <cellStyle name="Normal 3 20 2_12001 - Planilha orçamentária" xfId="1137"/>
    <cellStyle name="Normal 3 20 3" xfId="1138"/>
    <cellStyle name="Normal 3 20 3 2" xfId="1139"/>
    <cellStyle name="Normal 3 20 3 2 2" xfId="2225"/>
    <cellStyle name="Normal 3 20 3 3" xfId="1140"/>
    <cellStyle name="Normal 3 20 3 3 2" xfId="2226"/>
    <cellStyle name="Normal 3 20 3 4" xfId="2227"/>
    <cellStyle name="Normal 3 20 3_12001 - Planilha orçamentária" xfId="1141"/>
    <cellStyle name="Normal 3 20 4" xfId="1142"/>
    <cellStyle name="Normal 3 20 4 2" xfId="2228"/>
    <cellStyle name="Normal 3 20 5" xfId="1143"/>
    <cellStyle name="Normal 3 20 5 2" xfId="2229"/>
    <cellStyle name="Normal 3 20 6" xfId="2230"/>
    <cellStyle name="Normal 3 20 7" xfId="1129"/>
    <cellStyle name="Normal 3 20_12001 - Planilha orçamentária" xfId="1144"/>
    <cellStyle name="Normal 3 21" xfId="170"/>
    <cellStyle name="Normal 3 21 2" xfId="397"/>
    <cellStyle name="Normal 3 21 2 2" xfId="1147"/>
    <cellStyle name="Normal 3 21 2 2 2" xfId="1148"/>
    <cellStyle name="Normal 3 21 2 2 2 2" xfId="2231"/>
    <cellStyle name="Normal 3 21 2 2 3" xfId="1149"/>
    <cellStyle name="Normal 3 21 2 2 3 2" xfId="2232"/>
    <cellStyle name="Normal 3 21 2 2 4" xfId="2233"/>
    <cellStyle name="Normal 3 21 2 2_12001 - Planilha orçamentária" xfId="1150"/>
    <cellStyle name="Normal 3 21 2 3" xfId="1151"/>
    <cellStyle name="Normal 3 21 2 3 2" xfId="2234"/>
    <cellStyle name="Normal 3 21 2 4" xfId="1152"/>
    <cellStyle name="Normal 3 21 2 4 2" xfId="2235"/>
    <cellStyle name="Normal 3 21 2 5" xfId="2236"/>
    <cellStyle name="Normal 3 21 2 6" xfId="1146"/>
    <cellStyle name="Normal 3 21 2_12001 - Planilha orçamentária" xfId="1153"/>
    <cellStyle name="Normal 3 21 3" xfId="403"/>
    <cellStyle name="Normal 3 21 3 2" xfId="1155"/>
    <cellStyle name="Normal 3 21 3 2 2" xfId="2237"/>
    <cellStyle name="Normal 3 21 3 3" xfId="1156"/>
    <cellStyle name="Normal 3 21 3 3 2" xfId="2238"/>
    <cellStyle name="Normal 3 21 3 4" xfId="2239"/>
    <cellStyle name="Normal 3 21 3 5" xfId="1154"/>
    <cellStyle name="Normal 3 21 3_12001 - Planilha orçamentária" xfId="1157"/>
    <cellStyle name="Normal 3 21 4" xfId="1158"/>
    <cellStyle name="Normal 3 21 4 2" xfId="2240"/>
    <cellStyle name="Normal 3 21 5" xfId="1159"/>
    <cellStyle name="Normal 3 21 5 2" xfId="2241"/>
    <cellStyle name="Normal 3 21 6" xfId="2242"/>
    <cellStyle name="Normal 3 21 7" xfId="1145"/>
    <cellStyle name="Normal 3 21_12001 - Planilha orçamentária" xfId="1160"/>
    <cellStyle name="Normal 3 22" xfId="1161"/>
    <cellStyle name="Normal 3 22 2" xfId="1162"/>
    <cellStyle name="Normal 3 22 2 2" xfId="1163"/>
    <cellStyle name="Normal 3 22 2 2 2" xfId="1164"/>
    <cellStyle name="Normal 3 22 2 2 2 2" xfId="2243"/>
    <cellStyle name="Normal 3 22 2 2 3" xfId="1165"/>
    <cellStyle name="Normal 3 22 2 2 3 2" xfId="2244"/>
    <cellStyle name="Normal 3 22 2 2 4" xfId="2245"/>
    <cellStyle name="Normal 3 22 2 2_12001 - Planilha orçamentária" xfId="1166"/>
    <cellStyle name="Normal 3 22 2 3" xfId="1167"/>
    <cellStyle name="Normal 3 22 2 3 2" xfId="2246"/>
    <cellStyle name="Normal 3 22 2 4" xfId="1168"/>
    <cellStyle name="Normal 3 22 2 4 2" xfId="2247"/>
    <cellStyle name="Normal 3 22 2 5" xfId="2248"/>
    <cellStyle name="Normal 3 22 2_12001 - Planilha orçamentária" xfId="1169"/>
    <cellStyle name="Normal 3 22 3" xfId="1170"/>
    <cellStyle name="Normal 3 22 3 2" xfId="1171"/>
    <cellStyle name="Normal 3 22 3 2 2" xfId="2249"/>
    <cellStyle name="Normal 3 22 3 3" xfId="1172"/>
    <cellStyle name="Normal 3 22 3 3 2" xfId="2250"/>
    <cellStyle name="Normal 3 22 3 4" xfId="2251"/>
    <cellStyle name="Normal 3 22 3_12001 - Planilha orçamentária" xfId="1173"/>
    <cellStyle name="Normal 3 22 4" xfId="1174"/>
    <cellStyle name="Normal 3 22 4 2" xfId="2252"/>
    <cellStyle name="Normal 3 22 5" xfId="1175"/>
    <cellStyle name="Normal 3 22 5 2" xfId="2253"/>
    <cellStyle name="Normal 3 22 6" xfId="2254"/>
    <cellStyle name="Normal 3 22_12001 - Planilha orçamentária" xfId="1176"/>
    <cellStyle name="Normal 3 23" xfId="1177"/>
    <cellStyle name="Normal 3 23 2" xfId="1178"/>
    <cellStyle name="Normal 3 23 2 2" xfId="1179"/>
    <cellStyle name="Normal 3 23 2 2 2" xfId="1180"/>
    <cellStyle name="Normal 3 23 2 2 2 2" xfId="2255"/>
    <cellStyle name="Normal 3 23 2 2 3" xfId="1181"/>
    <cellStyle name="Normal 3 23 2 2 3 2" xfId="2256"/>
    <cellStyle name="Normal 3 23 2 2 4" xfId="2257"/>
    <cellStyle name="Normal 3 23 2 2_12001 - Planilha orçamentária" xfId="1182"/>
    <cellStyle name="Normal 3 23 2 3" xfId="1183"/>
    <cellStyle name="Normal 3 23 2 3 2" xfId="2258"/>
    <cellStyle name="Normal 3 23 2 4" xfId="1184"/>
    <cellStyle name="Normal 3 23 2 4 2" xfId="2259"/>
    <cellStyle name="Normal 3 23 2 5" xfId="2260"/>
    <cellStyle name="Normal 3 23 2_12001 - Planilha orçamentária" xfId="1185"/>
    <cellStyle name="Normal 3 23 3" xfId="1186"/>
    <cellStyle name="Normal 3 23 3 2" xfId="1187"/>
    <cellStyle name="Normal 3 23 3 2 2" xfId="2261"/>
    <cellStyle name="Normal 3 23 3 3" xfId="1188"/>
    <cellStyle name="Normal 3 23 3 3 2" xfId="2262"/>
    <cellStyle name="Normal 3 23 3 4" xfId="2263"/>
    <cellStyle name="Normal 3 23 3_12001 - Planilha orçamentária" xfId="1189"/>
    <cellStyle name="Normal 3 23 4" xfId="1190"/>
    <cellStyle name="Normal 3 23 4 2" xfId="2264"/>
    <cellStyle name="Normal 3 23 5" xfId="1191"/>
    <cellStyle name="Normal 3 23 5 2" xfId="2265"/>
    <cellStyle name="Normal 3 23 6" xfId="2266"/>
    <cellStyle name="Normal 3 23_12001 - Planilha orçamentária" xfId="1192"/>
    <cellStyle name="Normal 3 24" xfId="1193"/>
    <cellStyle name="Normal 3 24 2" xfId="1194"/>
    <cellStyle name="Normal 3 24 2 2" xfId="1195"/>
    <cellStyle name="Normal 3 24 2 2 2" xfId="1196"/>
    <cellStyle name="Normal 3 24 2 2 2 2" xfId="2267"/>
    <cellStyle name="Normal 3 24 2 2 3" xfId="1197"/>
    <cellStyle name="Normal 3 24 2 2 3 2" xfId="2268"/>
    <cellStyle name="Normal 3 24 2 2 4" xfId="2269"/>
    <cellStyle name="Normal 3 24 2 2_12001 - Planilha orçamentária" xfId="1198"/>
    <cellStyle name="Normal 3 24 2 3" xfId="1199"/>
    <cellStyle name="Normal 3 24 2 3 2" xfId="2270"/>
    <cellStyle name="Normal 3 24 2 4" xfId="1200"/>
    <cellStyle name="Normal 3 24 2 4 2" xfId="2271"/>
    <cellStyle name="Normal 3 24 2 5" xfId="2272"/>
    <cellStyle name="Normal 3 24 2_12001 - Planilha orçamentária" xfId="1201"/>
    <cellStyle name="Normal 3 24 3" xfId="1202"/>
    <cellStyle name="Normal 3 24 3 2" xfId="1203"/>
    <cellStyle name="Normal 3 24 3 2 2" xfId="2273"/>
    <cellStyle name="Normal 3 24 3 3" xfId="1204"/>
    <cellStyle name="Normal 3 24 3 3 2" xfId="2274"/>
    <cellStyle name="Normal 3 24 3 4" xfId="2275"/>
    <cellStyle name="Normal 3 24 3_12001 - Planilha orçamentária" xfId="1205"/>
    <cellStyle name="Normal 3 24 4" xfId="1206"/>
    <cellStyle name="Normal 3 24 4 2" xfId="2276"/>
    <cellStyle name="Normal 3 24 5" xfId="1207"/>
    <cellStyle name="Normal 3 24 5 2" xfId="2277"/>
    <cellStyle name="Normal 3 24 6" xfId="2278"/>
    <cellStyle name="Normal 3 24_12001 - Planilha orçamentária" xfId="1208"/>
    <cellStyle name="Normal 3 25" xfId="1209"/>
    <cellStyle name="Normal 3 25 2" xfId="1210"/>
    <cellStyle name="Normal 3 25 2 2" xfId="1211"/>
    <cellStyle name="Normal 3 25 2 2 2" xfId="1212"/>
    <cellStyle name="Normal 3 25 2 2 2 2" xfId="2279"/>
    <cellStyle name="Normal 3 25 2 2 3" xfId="1213"/>
    <cellStyle name="Normal 3 25 2 2 3 2" xfId="2280"/>
    <cellStyle name="Normal 3 25 2 2 4" xfId="2281"/>
    <cellStyle name="Normal 3 25 2 2_12001 - Planilha orçamentária" xfId="1214"/>
    <cellStyle name="Normal 3 25 2 3" xfId="1215"/>
    <cellStyle name="Normal 3 25 2 3 2" xfId="2282"/>
    <cellStyle name="Normal 3 25 2 4" xfId="1216"/>
    <cellStyle name="Normal 3 25 2 4 2" xfId="2283"/>
    <cellStyle name="Normal 3 25 2 5" xfId="2284"/>
    <cellStyle name="Normal 3 25 2_12001 - Planilha orçamentária" xfId="1217"/>
    <cellStyle name="Normal 3 25 3" xfId="1218"/>
    <cellStyle name="Normal 3 25 3 2" xfId="1219"/>
    <cellStyle name="Normal 3 25 3 2 2" xfId="2285"/>
    <cellStyle name="Normal 3 25 3 3" xfId="1220"/>
    <cellStyle name="Normal 3 25 3 3 2" xfId="2286"/>
    <cellStyle name="Normal 3 25 3 4" xfId="2287"/>
    <cellStyle name="Normal 3 25 3_12001 - Planilha orçamentária" xfId="1221"/>
    <cellStyle name="Normal 3 25 4" xfId="1222"/>
    <cellStyle name="Normal 3 25 4 2" xfId="2288"/>
    <cellStyle name="Normal 3 25 5" xfId="1223"/>
    <cellStyle name="Normal 3 25 5 2" xfId="2289"/>
    <cellStyle name="Normal 3 25 6" xfId="2290"/>
    <cellStyle name="Normal 3 25_12001 - Planilha orçamentária" xfId="1224"/>
    <cellStyle name="Normal 3 26" xfId="1225"/>
    <cellStyle name="Normal 3 26 2" xfId="1226"/>
    <cellStyle name="Normal 3 26 2 2" xfId="1227"/>
    <cellStyle name="Normal 3 26 2 2 2" xfId="1228"/>
    <cellStyle name="Normal 3 26 2 2 2 2" xfId="2291"/>
    <cellStyle name="Normal 3 26 2 2 3" xfId="1229"/>
    <cellStyle name="Normal 3 26 2 2 3 2" xfId="2292"/>
    <cellStyle name="Normal 3 26 2 2 4" xfId="2293"/>
    <cellStyle name="Normal 3 26 2 2_12001 - Planilha orçamentária" xfId="1230"/>
    <cellStyle name="Normal 3 26 2 3" xfId="1231"/>
    <cellStyle name="Normal 3 26 2 3 2" xfId="2294"/>
    <cellStyle name="Normal 3 26 2 4" xfId="1232"/>
    <cellStyle name="Normal 3 26 2 4 2" xfId="2295"/>
    <cellStyle name="Normal 3 26 2 5" xfId="2296"/>
    <cellStyle name="Normal 3 26 2_12001 - Planilha orçamentária" xfId="1233"/>
    <cellStyle name="Normal 3 26 3" xfId="1234"/>
    <cellStyle name="Normal 3 26 3 2" xfId="1235"/>
    <cellStyle name="Normal 3 26 3 2 2" xfId="2297"/>
    <cellStyle name="Normal 3 26 3 3" xfId="1236"/>
    <cellStyle name="Normal 3 26 3 3 2" xfId="2298"/>
    <cellStyle name="Normal 3 26 3 4" xfId="2299"/>
    <cellStyle name="Normal 3 26 3_12001 - Planilha orçamentária" xfId="1237"/>
    <cellStyle name="Normal 3 26 4" xfId="1238"/>
    <cellStyle name="Normal 3 26 4 2" xfId="2300"/>
    <cellStyle name="Normal 3 26 5" xfId="1239"/>
    <cellStyle name="Normal 3 26 5 2" xfId="2301"/>
    <cellStyle name="Normal 3 26 6" xfId="2302"/>
    <cellStyle name="Normal 3 26_12001 - Planilha orçamentária" xfId="1240"/>
    <cellStyle name="Normal 3 27" xfId="1241"/>
    <cellStyle name="Normal 3 27 2" xfId="1242"/>
    <cellStyle name="Normal 3 27 2 2" xfId="1243"/>
    <cellStyle name="Normal 3 27 2 2 2" xfId="1244"/>
    <cellStyle name="Normal 3 27 2 2 2 2" xfId="2303"/>
    <cellStyle name="Normal 3 27 2 2 3" xfId="1245"/>
    <cellStyle name="Normal 3 27 2 2 3 2" xfId="2304"/>
    <cellStyle name="Normal 3 27 2 2 4" xfId="2305"/>
    <cellStyle name="Normal 3 27 2 2_12001 - Planilha orçamentária" xfId="1246"/>
    <cellStyle name="Normal 3 27 2 3" xfId="1247"/>
    <cellStyle name="Normal 3 27 2 3 2" xfId="2306"/>
    <cellStyle name="Normal 3 27 2 4" xfId="1248"/>
    <cellStyle name="Normal 3 27 2 4 2" xfId="2307"/>
    <cellStyle name="Normal 3 27 2 5" xfId="2308"/>
    <cellStyle name="Normal 3 27 2_12001 - Planilha orçamentária" xfId="1249"/>
    <cellStyle name="Normal 3 27 3" xfId="1250"/>
    <cellStyle name="Normal 3 27 3 2" xfId="1251"/>
    <cellStyle name="Normal 3 27 3 2 2" xfId="2309"/>
    <cellStyle name="Normal 3 27 3 3" xfId="1252"/>
    <cellStyle name="Normal 3 27 3 3 2" xfId="2310"/>
    <cellStyle name="Normal 3 27 3 4" xfId="2311"/>
    <cellStyle name="Normal 3 27 3_12001 - Planilha orçamentária" xfId="1253"/>
    <cellStyle name="Normal 3 27 4" xfId="1254"/>
    <cellStyle name="Normal 3 27 4 2" xfId="2312"/>
    <cellStyle name="Normal 3 27 5" xfId="1255"/>
    <cellStyle name="Normal 3 27 5 2" xfId="2313"/>
    <cellStyle name="Normal 3 27 6" xfId="2314"/>
    <cellStyle name="Normal 3 27_12001 - Planilha orçamentária" xfId="1256"/>
    <cellStyle name="Normal 3 28" xfId="1257"/>
    <cellStyle name="Normal 3 28 2" xfId="1258"/>
    <cellStyle name="Normal 3 28 2 2" xfId="1259"/>
    <cellStyle name="Normal 3 28 2 2 2" xfId="1260"/>
    <cellStyle name="Normal 3 28 2 2 2 2" xfId="2315"/>
    <cellStyle name="Normal 3 28 2 2 3" xfId="1261"/>
    <cellStyle name="Normal 3 28 2 2 3 2" xfId="2316"/>
    <cellStyle name="Normal 3 28 2 2 4" xfId="2317"/>
    <cellStyle name="Normal 3 28 2 2_12001 - Planilha orçamentária" xfId="1262"/>
    <cellStyle name="Normal 3 28 2 3" xfId="1263"/>
    <cellStyle name="Normal 3 28 2 3 2" xfId="2318"/>
    <cellStyle name="Normal 3 28 2 4" xfId="1264"/>
    <cellStyle name="Normal 3 28 2 4 2" xfId="2319"/>
    <cellStyle name="Normal 3 28 2 5" xfId="2320"/>
    <cellStyle name="Normal 3 28 2_12001 - Planilha orçamentária" xfId="1265"/>
    <cellStyle name="Normal 3 28 3" xfId="1266"/>
    <cellStyle name="Normal 3 28 3 2" xfId="1267"/>
    <cellStyle name="Normal 3 28 3 2 2" xfId="2321"/>
    <cellStyle name="Normal 3 28 3 3" xfId="1268"/>
    <cellStyle name="Normal 3 28 3 3 2" xfId="2322"/>
    <cellStyle name="Normal 3 28 3 4" xfId="2323"/>
    <cellStyle name="Normal 3 28 3_12001 - Planilha orçamentária" xfId="1269"/>
    <cellStyle name="Normal 3 28 4" xfId="1270"/>
    <cellStyle name="Normal 3 28 4 2" xfId="2324"/>
    <cellStyle name="Normal 3 28 5" xfId="1271"/>
    <cellStyle name="Normal 3 28 5 2" xfId="2325"/>
    <cellStyle name="Normal 3 28 6" xfId="2326"/>
    <cellStyle name="Normal 3 28_12001 - Planilha orçamentária" xfId="1272"/>
    <cellStyle name="Normal 3 29" xfId="1273"/>
    <cellStyle name="Normal 3 29 2" xfId="1274"/>
    <cellStyle name="Normal 3 29 2 2" xfId="1275"/>
    <cellStyle name="Normal 3 29 2 2 2" xfId="1276"/>
    <cellStyle name="Normal 3 29 2 2 2 2" xfId="2327"/>
    <cellStyle name="Normal 3 29 2 2 3" xfId="1277"/>
    <cellStyle name="Normal 3 29 2 2 3 2" xfId="2328"/>
    <cellStyle name="Normal 3 29 2 2 4" xfId="2329"/>
    <cellStyle name="Normal 3 29 2 2_12001 - Planilha orçamentária" xfId="1278"/>
    <cellStyle name="Normal 3 29 2 3" xfId="1279"/>
    <cellStyle name="Normal 3 29 2 3 2" xfId="2330"/>
    <cellStyle name="Normal 3 29 2 4" xfId="1280"/>
    <cellStyle name="Normal 3 29 2 4 2" xfId="2331"/>
    <cellStyle name="Normal 3 29 2 5" xfId="2332"/>
    <cellStyle name="Normal 3 29 2_12001 - Planilha orçamentária" xfId="1281"/>
    <cellStyle name="Normal 3 29 3" xfId="1282"/>
    <cellStyle name="Normal 3 29 3 2" xfId="1283"/>
    <cellStyle name="Normal 3 29 3 2 2" xfId="2333"/>
    <cellStyle name="Normal 3 29 3 3" xfId="1284"/>
    <cellStyle name="Normal 3 29 3 3 2" xfId="2334"/>
    <cellStyle name="Normal 3 29 3 4" xfId="2335"/>
    <cellStyle name="Normal 3 29 3_12001 - Planilha orçamentária" xfId="1285"/>
    <cellStyle name="Normal 3 29 4" xfId="1286"/>
    <cellStyle name="Normal 3 29 4 2" xfId="2336"/>
    <cellStyle name="Normal 3 29 5" xfId="1287"/>
    <cellStyle name="Normal 3 29 5 2" xfId="2337"/>
    <cellStyle name="Normal 3 29 6" xfId="2338"/>
    <cellStyle name="Normal 3 29_12001 - Planilha orçamentária" xfId="1288"/>
    <cellStyle name="Normal 3 3" xfId="171"/>
    <cellStyle name="Normal 3 3 2" xfId="2703"/>
    <cellStyle name="Normal 3 3 3" xfId="3468"/>
    <cellStyle name="Normal 3 30" xfId="1289"/>
    <cellStyle name="Normal 3 30 2" xfId="1290"/>
    <cellStyle name="Normal 3 30 2 2" xfId="1291"/>
    <cellStyle name="Normal 3 30 2 2 2" xfId="1292"/>
    <cellStyle name="Normal 3 30 2 2 2 2" xfId="2339"/>
    <cellStyle name="Normal 3 30 2 2 3" xfId="1293"/>
    <cellStyle name="Normal 3 30 2 2 3 2" xfId="2340"/>
    <cellStyle name="Normal 3 30 2 2 4" xfId="2341"/>
    <cellStyle name="Normal 3 30 2 2_12001 - Planilha orçamentária" xfId="1294"/>
    <cellStyle name="Normal 3 30 2 3" xfId="1295"/>
    <cellStyle name="Normal 3 30 2 3 2" xfId="2342"/>
    <cellStyle name="Normal 3 30 2 4" xfId="1296"/>
    <cellStyle name="Normal 3 30 2 4 2" xfId="2343"/>
    <cellStyle name="Normal 3 30 2 5" xfId="2344"/>
    <cellStyle name="Normal 3 30 2_12001 - Planilha orçamentária" xfId="1297"/>
    <cellStyle name="Normal 3 30 3" xfId="1298"/>
    <cellStyle name="Normal 3 30 3 2" xfId="1299"/>
    <cellStyle name="Normal 3 30 3 2 2" xfId="2345"/>
    <cellStyle name="Normal 3 30 3 3" xfId="1300"/>
    <cellStyle name="Normal 3 30 3 3 2" xfId="2346"/>
    <cellStyle name="Normal 3 30 3 4" xfId="2347"/>
    <cellStyle name="Normal 3 30 3_12001 - Planilha orçamentária" xfId="1301"/>
    <cellStyle name="Normal 3 30 4" xfId="1302"/>
    <cellStyle name="Normal 3 30 4 2" xfId="2348"/>
    <cellStyle name="Normal 3 30 5" xfId="1303"/>
    <cellStyle name="Normal 3 30 5 2" xfId="2349"/>
    <cellStyle name="Normal 3 30 6" xfId="2350"/>
    <cellStyle name="Normal 3 30_12001 - Planilha orçamentária" xfId="1304"/>
    <cellStyle name="Normal 3 31" xfId="1305"/>
    <cellStyle name="Normal 3 31 2" xfId="1306"/>
    <cellStyle name="Normal 3 31 2 2" xfId="1307"/>
    <cellStyle name="Normal 3 31 2 2 2" xfId="1308"/>
    <cellStyle name="Normal 3 31 2 2 2 2" xfId="2351"/>
    <cellStyle name="Normal 3 31 2 2 3" xfId="1309"/>
    <cellStyle name="Normal 3 31 2 2 3 2" xfId="2352"/>
    <cellStyle name="Normal 3 31 2 2 4" xfId="2353"/>
    <cellStyle name="Normal 3 31 2 2_12001 - Planilha orçamentária" xfId="1310"/>
    <cellStyle name="Normal 3 31 2 3" xfId="1311"/>
    <cellStyle name="Normal 3 31 2 3 2" xfId="2354"/>
    <cellStyle name="Normal 3 31 2 4" xfId="1312"/>
    <cellStyle name="Normal 3 31 2 4 2" xfId="2355"/>
    <cellStyle name="Normal 3 31 2 5" xfId="2356"/>
    <cellStyle name="Normal 3 31 2_12001 - Planilha orçamentária" xfId="1313"/>
    <cellStyle name="Normal 3 31 3" xfId="1314"/>
    <cellStyle name="Normal 3 31 3 2" xfId="1315"/>
    <cellStyle name="Normal 3 31 3 2 2" xfId="2357"/>
    <cellStyle name="Normal 3 31 3 3" xfId="1316"/>
    <cellStyle name="Normal 3 31 3 3 2" xfId="2358"/>
    <cellStyle name="Normal 3 31 3 4" xfId="2359"/>
    <cellStyle name="Normal 3 31 3_12001 - Planilha orçamentária" xfId="1317"/>
    <cellStyle name="Normal 3 31 4" xfId="1318"/>
    <cellStyle name="Normal 3 31 4 2" xfId="2360"/>
    <cellStyle name="Normal 3 31 5" xfId="1319"/>
    <cellStyle name="Normal 3 31 5 2" xfId="2361"/>
    <cellStyle name="Normal 3 31 6" xfId="2362"/>
    <cellStyle name="Normal 3 31_12001 - Planilha orçamentária" xfId="1320"/>
    <cellStyle name="Normal 3 32" xfId="1321"/>
    <cellStyle name="Normal 3 32 2" xfId="1322"/>
    <cellStyle name="Normal 3 32 2 2" xfId="1323"/>
    <cellStyle name="Normal 3 32 2 2 2" xfId="1324"/>
    <cellStyle name="Normal 3 32 2 2 2 2" xfId="2363"/>
    <cellStyle name="Normal 3 32 2 2 3" xfId="1325"/>
    <cellStyle name="Normal 3 32 2 2 3 2" xfId="2364"/>
    <cellStyle name="Normal 3 32 2 2 4" xfId="2365"/>
    <cellStyle name="Normal 3 32 2 2_12001 - Planilha orçamentária" xfId="1326"/>
    <cellStyle name="Normal 3 32 2 3" xfId="1327"/>
    <cellStyle name="Normal 3 32 2 3 2" xfId="2366"/>
    <cellStyle name="Normal 3 32 2 4" xfId="1328"/>
    <cellStyle name="Normal 3 32 2 4 2" xfId="2367"/>
    <cellStyle name="Normal 3 32 2 5" xfId="2368"/>
    <cellStyle name="Normal 3 32 2_12001 - Planilha orçamentária" xfId="1329"/>
    <cellStyle name="Normal 3 32 3" xfId="1330"/>
    <cellStyle name="Normal 3 32 3 2" xfId="1331"/>
    <cellStyle name="Normal 3 32 3 2 2" xfId="2369"/>
    <cellStyle name="Normal 3 32 3 3" xfId="1332"/>
    <cellStyle name="Normal 3 32 3 3 2" xfId="2370"/>
    <cellStyle name="Normal 3 32 3 4" xfId="2371"/>
    <cellStyle name="Normal 3 32 3_12001 - Planilha orçamentária" xfId="1333"/>
    <cellStyle name="Normal 3 32 4" xfId="1334"/>
    <cellStyle name="Normal 3 32 4 2" xfId="2372"/>
    <cellStyle name="Normal 3 32 5" xfId="1335"/>
    <cellStyle name="Normal 3 32 5 2" xfId="2373"/>
    <cellStyle name="Normal 3 32 6" xfId="2374"/>
    <cellStyle name="Normal 3 32_12001 - Planilha orçamentária" xfId="1336"/>
    <cellStyle name="Normal 3 33" xfId="1337"/>
    <cellStyle name="Normal 3 33 2" xfId="1338"/>
    <cellStyle name="Normal 3 33 2 2" xfId="1339"/>
    <cellStyle name="Normal 3 33 2 2 2" xfId="1340"/>
    <cellStyle name="Normal 3 33 2 2 2 2" xfId="2375"/>
    <cellStyle name="Normal 3 33 2 2 3" xfId="1341"/>
    <cellStyle name="Normal 3 33 2 2 3 2" xfId="2376"/>
    <cellStyle name="Normal 3 33 2 2 4" xfId="2377"/>
    <cellStyle name="Normal 3 33 2 2_12001 - Planilha orçamentária" xfId="1342"/>
    <cellStyle name="Normal 3 33 2 3" xfId="1343"/>
    <cellStyle name="Normal 3 33 2 3 2" xfId="2378"/>
    <cellStyle name="Normal 3 33 2 4" xfId="1344"/>
    <cellStyle name="Normal 3 33 2 4 2" xfId="2379"/>
    <cellStyle name="Normal 3 33 2 5" xfId="2380"/>
    <cellStyle name="Normal 3 33 2_12001 - Planilha orçamentária" xfId="1345"/>
    <cellStyle name="Normal 3 33 3" xfId="1346"/>
    <cellStyle name="Normal 3 33 3 2" xfId="1347"/>
    <cellStyle name="Normal 3 33 3 2 2" xfId="2381"/>
    <cellStyle name="Normal 3 33 3 3" xfId="1348"/>
    <cellStyle name="Normal 3 33 3 3 2" xfId="2382"/>
    <cellStyle name="Normal 3 33 3 4" xfId="2383"/>
    <cellStyle name="Normal 3 33 3_12001 - Planilha orçamentária" xfId="1349"/>
    <cellStyle name="Normal 3 33 4" xfId="1350"/>
    <cellStyle name="Normal 3 33 4 2" xfId="2384"/>
    <cellStyle name="Normal 3 33 5" xfId="1351"/>
    <cellStyle name="Normal 3 33 5 2" xfId="2385"/>
    <cellStyle name="Normal 3 33 6" xfId="2386"/>
    <cellStyle name="Normal 3 33_12001 - Planilha orçamentária" xfId="1352"/>
    <cellStyle name="Normal 3 34" xfId="1353"/>
    <cellStyle name="Normal 3 34 2" xfId="1354"/>
    <cellStyle name="Normal 3 34 2 2" xfId="1355"/>
    <cellStyle name="Normal 3 34 2 2 2" xfId="1356"/>
    <cellStyle name="Normal 3 34 2 2 2 2" xfId="2387"/>
    <cellStyle name="Normal 3 34 2 2 3" xfId="1357"/>
    <cellStyle name="Normal 3 34 2 2 3 2" xfId="2388"/>
    <cellStyle name="Normal 3 34 2 2 4" xfId="2389"/>
    <cellStyle name="Normal 3 34 2 2_12001 - Planilha orçamentária" xfId="1358"/>
    <cellStyle name="Normal 3 34 2 3" xfId="1359"/>
    <cellStyle name="Normal 3 34 2 3 2" xfId="2390"/>
    <cellStyle name="Normal 3 34 2 4" xfId="1360"/>
    <cellStyle name="Normal 3 34 2 4 2" xfId="2391"/>
    <cellStyle name="Normal 3 34 2 5" xfId="2392"/>
    <cellStyle name="Normal 3 34 2_12001 - Planilha orçamentária" xfId="1361"/>
    <cellStyle name="Normal 3 34 3" xfId="1362"/>
    <cellStyle name="Normal 3 34 3 2" xfId="1363"/>
    <cellStyle name="Normal 3 34 3 2 2" xfId="2393"/>
    <cellStyle name="Normal 3 34 3 3" xfId="1364"/>
    <cellStyle name="Normal 3 34 3 3 2" xfId="2394"/>
    <cellStyle name="Normal 3 34 3 4" xfId="2395"/>
    <cellStyle name="Normal 3 34 3_12001 - Planilha orçamentária" xfId="1365"/>
    <cellStyle name="Normal 3 34 4" xfId="1366"/>
    <cellStyle name="Normal 3 34 4 2" xfId="2396"/>
    <cellStyle name="Normal 3 34 5" xfId="1367"/>
    <cellStyle name="Normal 3 34 5 2" xfId="2397"/>
    <cellStyle name="Normal 3 34 6" xfId="2398"/>
    <cellStyle name="Normal 3 34_12001 - Planilha orçamentária" xfId="1368"/>
    <cellStyle name="Normal 3 35" xfId="1369"/>
    <cellStyle name="Normal 3 35 2" xfId="1370"/>
    <cellStyle name="Normal 3 35 2 2" xfId="1371"/>
    <cellStyle name="Normal 3 35 2 2 2" xfId="1372"/>
    <cellStyle name="Normal 3 35 2 2 2 2" xfId="2399"/>
    <cellStyle name="Normal 3 35 2 2 3" xfId="1373"/>
    <cellStyle name="Normal 3 35 2 2 3 2" xfId="2400"/>
    <cellStyle name="Normal 3 35 2 2 4" xfId="2401"/>
    <cellStyle name="Normal 3 35 2 2_12001 - Planilha orçamentária" xfId="1374"/>
    <cellStyle name="Normal 3 35 2 3" xfId="1375"/>
    <cellStyle name="Normal 3 35 2 3 2" xfId="2402"/>
    <cellStyle name="Normal 3 35 2 4" xfId="1376"/>
    <cellStyle name="Normal 3 35 2 4 2" xfId="2403"/>
    <cellStyle name="Normal 3 35 2 5" xfId="2404"/>
    <cellStyle name="Normal 3 35 2_12001 - Planilha orçamentária" xfId="1377"/>
    <cellStyle name="Normal 3 35 3" xfId="1378"/>
    <cellStyle name="Normal 3 35 3 2" xfId="1379"/>
    <cellStyle name="Normal 3 35 3 2 2" xfId="2405"/>
    <cellStyle name="Normal 3 35 3 3" xfId="1380"/>
    <cellStyle name="Normal 3 35 3 3 2" xfId="2406"/>
    <cellStyle name="Normal 3 35 3 4" xfId="2407"/>
    <cellStyle name="Normal 3 35 3_12001 - Planilha orçamentária" xfId="1381"/>
    <cellStyle name="Normal 3 35 4" xfId="1382"/>
    <cellStyle name="Normal 3 35 4 2" xfId="2408"/>
    <cellStyle name="Normal 3 35 5" xfId="1383"/>
    <cellStyle name="Normal 3 35 5 2" xfId="2409"/>
    <cellStyle name="Normal 3 35 6" xfId="2410"/>
    <cellStyle name="Normal 3 35_12001 - Planilha orçamentária" xfId="1384"/>
    <cellStyle name="Normal 3 36" xfId="1385"/>
    <cellStyle name="Normal 3 36 2" xfId="1386"/>
    <cellStyle name="Normal 3 36 2 2" xfId="1387"/>
    <cellStyle name="Normal 3 36 2 2 2" xfId="1388"/>
    <cellStyle name="Normal 3 36 2 2 2 2" xfId="2411"/>
    <cellStyle name="Normal 3 36 2 2 3" xfId="1389"/>
    <cellStyle name="Normal 3 36 2 2 3 2" xfId="2412"/>
    <cellStyle name="Normal 3 36 2 2 4" xfId="2413"/>
    <cellStyle name="Normal 3 36 2 2_12001 - Planilha orçamentária" xfId="1390"/>
    <cellStyle name="Normal 3 36 2 3" xfId="1391"/>
    <cellStyle name="Normal 3 36 2 3 2" xfId="2414"/>
    <cellStyle name="Normal 3 36 2 4" xfId="1392"/>
    <cellStyle name="Normal 3 36 2 4 2" xfId="2415"/>
    <cellStyle name="Normal 3 36 2 5" xfId="2416"/>
    <cellStyle name="Normal 3 36 2_12001 - Planilha orçamentária" xfId="1393"/>
    <cellStyle name="Normal 3 36 3" xfId="1394"/>
    <cellStyle name="Normal 3 36 3 2" xfId="1395"/>
    <cellStyle name="Normal 3 36 3 2 2" xfId="2417"/>
    <cellStyle name="Normal 3 36 3 3" xfId="1396"/>
    <cellStyle name="Normal 3 36 3 3 2" xfId="2418"/>
    <cellStyle name="Normal 3 36 3 4" xfId="2419"/>
    <cellStyle name="Normal 3 36 3_12001 - Planilha orçamentária" xfId="1397"/>
    <cellStyle name="Normal 3 36 4" xfId="1398"/>
    <cellStyle name="Normal 3 36 4 2" xfId="2420"/>
    <cellStyle name="Normal 3 36 5" xfId="1399"/>
    <cellStyle name="Normal 3 36 5 2" xfId="2421"/>
    <cellStyle name="Normal 3 36 6" xfId="2422"/>
    <cellStyle name="Normal 3 36_12001 - Planilha orçamentária" xfId="1400"/>
    <cellStyle name="Normal 3 37" xfId="1401"/>
    <cellStyle name="Normal 3 37 2" xfId="1402"/>
    <cellStyle name="Normal 3 37 2 2" xfId="1403"/>
    <cellStyle name="Normal 3 37 2 2 2" xfId="1404"/>
    <cellStyle name="Normal 3 37 2 2 2 2" xfId="2423"/>
    <cellStyle name="Normal 3 37 2 2 3" xfId="1405"/>
    <cellStyle name="Normal 3 37 2 2 3 2" xfId="2424"/>
    <cellStyle name="Normal 3 37 2 2 4" xfId="2425"/>
    <cellStyle name="Normal 3 37 2 2_12001 - Planilha orçamentária" xfId="1406"/>
    <cellStyle name="Normal 3 37 2 3" xfId="1407"/>
    <cellStyle name="Normal 3 37 2 3 2" xfId="2426"/>
    <cellStyle name="Normal 3 37 2 4" xfId="1408"/>
    <cellStyle name="Normal 3 37 2 4 2" xfId="2427"/>
    <cellStyle name="Normal 3 37 2 5" xfId="2428"/>
    <cellStyle name="Normal 3 37 2_12001 - Planilha orçamentária" xfId="1409"/>
    <cellStyle name="Normal 3 37 3" xfId="1410"/>
    <cellStyle name="Normal 3 37 3 2" xfId="1411"/>
    <cellStyle name="Normal 3 37 3 2 2" xfId="2429"/>
    <cellStyle name="Normal 3 37 3 3" xfId="1412"/>
    <cellStyle name="Normal 3 37 3 3 2" xfId="2430"/>
    <cellStyle name="Normal 3 37 3 4" xfId="2431"/>
    <cellStyle name="Normal 3 37 3_12001 - Planilha orçamentária" xfId="1413"/>
    <cellStyle name="Normal 3 37 4" xfId="1414"/>
    <cellStyle name="Normal 3 37 4 2" xfId="2432"/>
    <cellStyle name="Normal 3 37 5" xfId="1415"/>
    <cellStyle name="Normal 3 37 5 2" xfId="2433"/>
    <cellStyle name="Normal 3 37 6" xfId="2434"/>
    <cellStyle name="Normal 3 37_12001 - Planilha orçamentária" xfId="1416"/>
    <cellStyle name="Normal 3 38" xfId="1417"/>
    <cellStyle name="Normal 3 38 2" xfId="1418"/>
    <cellStyle name="Normal 3 38 2 2" xfId="1419"/>
    <cellStyle name="Normal 3 38 2 2 2" xfId="1420"/>
    <cellStyle name="Normal 3 38 2 2 2 2" xfId="2435"/>
    <cellStyle name="Normal 3 38 2 2 3" xfId="1421"/>
    <cellStyle name="Normal 3 38 2 2 3 2" xfId="2436"/>
    <cellStyle name="Normal 3 38 2 2 4" xfId="2437"/>
    <cellStyle name="Normal 3 38 2 2_12001 - Planilha orçamentária" xfId="1422"/>
    <cellStyle name="Normal 3 38 2 3" xfId="1423"/>
    <cellStyle name="Normal 3 38 2 3 2" xfId="2438"/>
    <cellStyle name="Normal 3 38 2 4" xfId="1424"/>
    <cellStyle name="Normal 3 38 2 4 2" xfId="2439"/>
    <cellStyle name="Normal 3 38 2 5" xfId="2440"/>
    <cellStyle name="Normal 3 38 2_12001 - Planilha orçamentária" xfId="1425"/>
    <cellStyle name="Normal 3 38 3" xfId="1426"/>
    <cellStyle name="Normal 3 38 3 2" xfId="1427"/>
    <cellStyle name="Normal 3 38 3 2 2" xfId="2441"/>
    <cellStyle name="Normal 3 38 3 3" xfId="1428"/>
    <cellStyle name="Normal 3 38 3 3 2" xfId="2442"/>
    <cellStyle name="Normal 3 38 3 4" xfId="2443"/>
    <cellStyle name="Normal 3 38 3_12001 - Planilha orçamentária" xfId="1429"/>
    <cellStyle name="Normal 3 38 4" xfId="1430"/>
    <cellStyle name="Normal 3 38 4 2" xfId="2444"/>
    <cellStyle name="Normal 3 38 5" xfId="1431"/>
    <cellStyle name="Normal 3 38 5 2" xfId="2445"/>
    <cellStyle name="Normal 3 38 6" xfId="2446"/>
    <cellStyle name="Normal 3 38_12001 - Planilha orçamentária" xfId="1432"/>
    <cellStyle name="Normal 3 39" xfId="1433"/>
    <cellStyle name="Normal 3 39 2" xfId="1434"/>
    <cellStyle name="Normal 3 39 2 2" xfId="1435"/>
    <cellStyle name="Normal 3 39 2 2 2" xfId="1436"/>
    <cellStyle name="Normal 3 39 2 2 2 2" xfId="2447"/>
    <cellStyle name="Normal 3 39 2 2 3" xfId="1437"/>
    <cellStyle name="Normal 3 39 2 2 3 2" xfId="2448"/>
    <cellStyle name="Normal 3 39 2 2 4" xfId="2449"/>
    <cellStyle name="Normal 3 39 2 2_12001 - Planilha orçamentária" xfId="1438"/>
    <cellStyle name="Normal 3 39 2 3" xfId="1439"/>
    <cellStyle name="Normal 3 39 2 3 2" xfId="2450"/>
    <cellStyle name="Normal 3 39 2 4" xfId="1440"/>
    <cellStyle name="Normal 3 39 2 4 2" xfId="2451"/>
    <cellStyle name="Normal 3 39 2 5" xfId="2452"/>
    <cellStyle name="Normal 3 39 2_12001 - Planilha orçamentária" xfId="1441"/>
    <cellStyle name="Normal 3 39 3" xfId="1442"/>
    <cellStyle name="Normal 3 39 3 2" xfId="1443"/>
    <cellStyle name="Normal 3 39 3 2 2" xfId="2453"/>
    <cellStyle name="Normal 3 39 3 3" xfId="1444"/>
    <cellStyle name="Normal 3 39 3 3 2" xfId="2454"/>
    <cellStyle name="Normal 3 39 3 4" xfId="2455"/>
    <cellStyle name="Normal 3 39 3_12001 - Planilha orçamentária" xfId="1445"/>
    <cellStyle name="Normal 3 39 4" xfId="1446"/>
    <cellStyle name="Normal 3 39 4 2" xfId="2456"/>
    <cellStyle name="Normal 3 39 5" xfId="1447"/>
    <cellStyle name="Normal 3 39 5 2" xfId="2457"/>
    <cellStyle name="Normal 3 39 6" xfId="2458"/>
    <cellStyle name="Normal 3 39_12001 - Planilha orçamentária" xfId="1448"/>
    <cellStyle name="Normal 3 4" xfId="172"/>
    <cellStyle name="Normal 3 40" xfId="1449"/>
    <cellStyle name="Normal 3 40 2" xfId="1450"/>
    <cellStyle name="Normal 3 40 2 2" xfId="1451"/>
    <cellStyle name="Normal 3 40 2 2 2" xfId="1452"/>
    <cellStyle name="Normal 3 40 2 2 2 2" xfId="2459"/>
    <cellStyle name="Normal 3 40 2 2 3" xfId="1453"/>
    <cellStyle name="Normal 3 40 2 2 3 2" xfId="2460"/>
    <cellStyle name="Normal 3 40 2 2 4" xfId="2461"/>
    <cellStyle name="Normal 3 40 2 2_12001 - Planilha orçamentária" xfId="1454"/>
    <cellStyle name="Normal 3 40 2 3" xfId="1455"/>
    <cellStyle name="Normal 3 40 2 3 2" xfId="2462"/>
    <cellStyle name="Normal 3 40 2 4" xfId="1456"/>
    <cellStyle name="Normal 3 40 2 4 2" xfId="2463"/>
    <cellStyle name="Normal 3 40 2 5" xfId="2464"/>
    <cellStyle name="Normal 3 40 2_12001 - Planilha orçamentária" xfId="1457"/>
    <cellStyle name="Normal 3 40 3" xfId="1458"/>
    <cellStyle name="Normal 3 40 3 2" xfId="1459"/>
    <cellStyle name="Normal 3 40 3 2 2" xfId="2465"/>
    <cellStyle name="Normal 3 40 3 3" xfId="1460"/>
    <cellStyle name="Normal 3 40 3 3 2" xfId="2466"/>
    <cellStyle name="Normal 3 40 3 4" xfId="2467"/>
    <cellStyle name="Normal 3 40 3_12001 - Planilha orçamentária" xfId="1461"/>
    <cellStyle name="Normal 3 40 4" xfId="1462"/>
    <cellStyle name="Normal 3 40 4 2" xfId="2468"/>
    <cellStyle name="Normal 3 40 5" xfId="1463"/>
    <cellStyle name="Normal 3 40 5 2" xfId="2469"/>
    <cellStyle name="Normal 3 40 6" xfId="2470"/>
    <cellStyle name="Normal 3 40_12001 - Planilha orçamentária" xfId="1464"/>
    <cellStyle name="Normal 3 41" xfId="1465"/>
    <cellStyle name="Normal 3 41 2" xfId="1466"/>
    <cellStyle name="Normal 3 41 2 2" xfId="1467"/>
    <cellStyle name="Normal 3 41 2 2 2" xfId="1468"/>
    <cellStyle name="Normal 3 41 2 2 2 2" xfId="2471"/>
    <cellStyle name="Normal 3 41 2 2 3" xfId="1469"/>
    <cellStyle name="Normal 3 41 2 2 3 2" xfId="2472"/>
    <cellStyle name="Normal 3 41 2 2 4" xfId="2473"/>
    <cellStyle name="Normal 3 41 2 2_12001 - Planilha orçamentária" xfId="1470"/>
    <cellStyle name="Normal 3 41 2 3" xfId="1471"/>
    <cellStyle name="Normal 3 41 2 3 2" xfId="2474"/>
    <cellStyle name="Normal 3 41 2 4" xfId="1472"/>
    <cellStyle name="Normal 3 41 2 4 2" xfId="2475"/>
    <cellStyle name="Normal 3 41 2 5" xfId="2476"/>
    <cellStyle name="Normal 3 41 2_12001 - Planilha orçamentária" xfId="1473"/>
    <cellStyle name="Normal 3 41 3" xfId="1474"/>
    <cellStyle name="Normal 3 41 3 2" xfId="1475"/>
    <cellStyle name="Normal 3 41 3 2 2" xfId="2477"/>
    <cellStyle name="Normal 3 41 3 3" xfId="1476"/>
    <cellStyle name="Normal 3 41 3 3 2" xfId="2478"/>
    <cellStyle name="Normal 3 41 3 4" xfId="2479"/>
    <cellStyle name="Normal 3 41 3_12001 - Planilha orçamentária" xfId="1477"/>
    <cellStyle name="Normal 3 41 4" xfId="1478"/>
    <cellStyle name="Normal 3 41 4 2" xfId="2480"/>
    <cellStyle name="Normal 3 41 5" xfId="1479"/>
    <cellStyle name="Normal 3 41 5 2" xfId="2481"/>
    <cellStyle name="Normal 3 41 6" xfId="2482"/>
    <cellStyle name="Normal 3 41_12001 - Planilha orçamentária" xfId="1480"/>
    <cellStyle name="Normal 3 42" xfId="1481"/>
    <cellStyle name="Normal 3 42 2" xfId="1482"/>
    <cellStyle name="Normal 3 42 2 2" xfId="1483"/>
    <cellStyle name="Normal 3 42 2 2 2" xfId="1484"/>
    <cellStyle name="Normal 3 42 2 2 2 2" xfId="2483"/>
    <cellStyle name="Normal 3 42 2 2 3" xfId="1485"/>
    <cellStyle name="Normal 3 42 2 2 3 2" xfId="2484"/>
    <cellStyle name="Normal 3 42 2 2 4" xfId="2485"/>
    <cellStyle name="Normal 3 42 2 2_12001 - Planilha orçamentária" xfId="1486"/>
    <cellStyle name="Normal 3 42 2 3" xfId="1487"/>
    <cellStyle name="Normal 3 42 2 3 2" xfId="2486"/>
    <cellStyle name="Normal 3 42 2 4" xfId="1488"/>
    <cellStyle name="Normal 3 42 2 4 2" xfId="2487"/>
    <cellStyle name="Normal 3 42 2 5" xfId="2488"/>
    <cellStyle name="Normal 3 42 2_12001 - Planilha orçamentária" xfId="1489"/>
    <cellStyle name="Normal 3 42 3" xfId="1490"/>
    <cellStyle name="Normal 3 42 3 2" xfId="1491"/>
    <cellStyle name="Normal 3 42 3 2 2" xfId="2489"/>
    <cellStyle name="Normal 3 42 3 3" xfId="1492"/>
    <cellStyle name="Normal 3 42 3 3 2" xfId="2490"/>
    <cellStyle name="Normal 3 42 3 4" xfId="2491"/>
    <cellStyle name="Normal 3 42 3_12001 - Planilha orçamentária" xfId="1493"/>
    <cellStyle name="Normal 3 42 4" xfId="1494"/>
    <cellStyle name="Normal 3 42 4 2" xfId="2492"/>
    <cellStyle name="Normal 3 42 5" xfId="1495"/>
    <cellStyle name="Normal 3 42 5 2" xfId="2493"/>
    <cellStyle name="Normal 3 42 6" xfId="2494"/>
    <cellStyle name="Normal 3 42_12001 - Planilha orçamentária" xfId="1496"/>
    <cellStyle name="Normal 3 43" xfId="1497"/>
    <cellStyle name="Normal 3 43 2" xfId="1498"/>
    <cellStyle name="Normal 3 43 2 2" xfId="1499"/>
    <cellStyle name="Normal 3 43 2 2 2" xfId="1500"/>
    <cellStyle name="Normal 3 43 2 2 2 2" xfId="2495"/>
    <cellStyle name="Normal 3 43 2 2 3" xfId="1501"/>
    <cellStyle name="Normal 3 43 2 2 3 2" xfId="2496"/>
    <cellStyle name="Normal 3 43 2 2 4" xfId="2497"/>
    <cellStyle name="Normal 3 43 2 2_12001 - Planilha orçamentária" xfId="1502"/>
    <cellStyle name="Normal 3 43 2 3" xfId="1503"/>
    <cellStyle name="Normal 3 43 2 3 2" xfId="2498"/>
    <cellStyle name="Normal 3 43 2 4" xfId="1504"/>
    <cellStyle name="Normal 3 43 2 4 2" xfId="2499"/>
    <cellStyle name="Normal 3 43 2 5" xfId="2500"/>
    <cellStyle name="Normal 3 43 2_12001 - Planilha orçamentária" xfId="1505"/>
    <cellStyle name="Normal 3 43 3" xfId="1506"/>
    <cellStyle name="Normal 3 43 3 2" xfId="1507"/>
    <cellStyle name="Normal 3 43 3 2 2" xfId="2501"/>
    <cellStyle name="Normal 3 43 3 3" xfId="1508"/>
    <cellStyle name="Normal 3 43 3 3 2" xfId="2502"/>
    <cellStyle name="Normal 3 43 3 4" xfId="2503"/>
    <cellStyle name="Normal 3 43 3_12001 - Planilha orçamentária" xfId="1509"/>
    <cellStyle name="Normal 3 43 4" xfId="1510"/>
    <cellStyle name="Normal 3 43 4 2" xfId="2504"/>
    <cellStyle name="Normal 3 43 5" xfId="1511"/>
    <cellStyle name="Normal 3 43 5 2" xfId="2505"/>
    <cellStyle name="Normal 3 43 6" xfId="2506"/>
    <cellStyle name="Normal 3 43_12001 - Planilha orçamentária" xfId="1512"/>
    <cellStyle name="Normal 3 44" xfId="1513"/>
    <cellStyle name="Normal 3 44 2" xfId="1514"/>
    <cellStyle name="Normal 3 44 2 2" xfId="1515"/>
    <cellStyle name="Normal 3 44 2 2 2" xfId="1516"/>
    <cellStyle name="Normal 3 44 2 2 2 2" xfId="2507"/>
    <cellStyle name="Normal 3 44 2 2 3" xfId="1517"/>
    <cellStyle name="Normal 3 44 2 2 3 2" xfId="2508"/>
    <cellStyle name="Normal 3 44 2 2 4" xfId="2509"/>
    <cellStyle name="Normal 3 44 2 2_12001 - Planilha orçamentária" xfId="1518"/>
    <cellStyle name="Normal 3 44 2 3" xfId="1519"/>
    <cellStyle name="Normal 3 44 2 3 2" xfId="2510"/>
    <cellStyle name="Normal 3 44 2 4" xfId="1520"/>
    <cellStyle name="Normal 3 44 2 4 2" xfId="2511"/>
    <cellStyle name="Normal 3 44 2 5" xfId="2512"/>
    <cellStyle name="Normal 3 44 2_12001 - Planilha orçamentária" xfId="1521"/>
    <cellStyle name="Normal 3 44 3" xfId="1522"/>
    <cellStyle name="Normal 3 44 3 2" xfId="1523"/>
    <cellStyle name="Normal 3 44 3 2 2" xfId="2513"/>
    <cellStyle name="Normal 3 44 3 3" xfId="1524"/>
    <cellStyle name="Normal 3 44 3 3 2" xfId="2514"/>
    <cellStyle name="Normal 3 44 3 4" xfId="2515"/>
    <cellStyle name="Normal 3 44 3_12001 - Planilha orçamentária" xfId="1525"/>
    <cellStyle name="Normal 3 44 4" xfId="1526"/>
    <cellStyle name="Normal 3 44 4 2" xfId="2516"/>
    <cellStyle name="Normal 3 44 5" xfId="1527"/>
    <cellStyle name="Normal 3 44 5 2" xfId="2517"/>
    <cellStyle name="Normal 3 44 6" xfId="2518"/>
    <cellStyle name="Normal 3 44_12001 - Planilha orçamentária" xfId="1528"/>
    <cellStyle name="Normal 3 45" xfId="1529"/>
    <cellStyle name="Normal 3 45 2" xfId="1530"/>
    <cellStyle name="Normal 3 45 2 2" xfId="1531"/>
    <cellStyle name="Normal 3 45 2 2 2" xfId="1532"/>
    <cellStyle name="Normal 3 45 2 2 2 2" xfId="2519"/>
    <cellStyle name="Normal 3 45 2 2 3" xfId="1533"/>
    <cellStyle name="Normal 3 45 2 2 3 2" xfId="2520"/>
    <cellStyle name="Normal 3 45 2 2 4" xfId="2521"/>
    <cellStyle name="Normal 3 45 2 2_12001 - Planilha orçamentária" xfId="1534"/>
    <cellStyle name="Normal 3 45 2 3" xfId="1535"/>
    <cellStyle name="Normal 3 45 2 3 2" xfId="2522"/>
    <cellStyle name="Normal 3 45 2 4" xfId="1536"/>
    <cellStyle name="Normal 3 45 2 4 2" xfId="2523"/>
    <cellStyle name="Normal 3 45 2 5" xfId="2524"/>
    <cellStyle name="Normal 3 45 2_12001 - Planilha orçamentária" xfId="1537"/>
    <cellStyle name="Normal 3 45 3" xfId="1538"/>
    <cellStyle name="Normal 3 45 3 2" xfId="1539"/>
    <cellStyle name="Normal 3 45 3 2 2" xfId="2525"/>
    <cellStyle name="Normal 3 45 3 3" xfId="1540"/>
    <cellStyle name="Normal 3 45 3 3 2" xfId="2526"/>
    <cellStyle name="Normal 3 45 3 4" xfId="2527"/>
    <cellStyle name="Normal 3 45 3_12001 - Planilha orçamentária" xfId="1541"/>
    <cellStyle name="Normal 3 45 4" xfId="1542"/>
    <cellStyle name="Normal 3 45 4 2" xfId="2528"/>
    <cellStyle name="Normal 3 45 5" xfId="1543"/>
    <cellStyle name="Normal 3 45 5 2" xfId="2529"/>
    <cellStyle name="Normal 3 45 6" xfId="2530"/>
    <cellStyle name="Normal 3 45_12001 - Planilha orçamentária" xfId="1544"/>
    <cellStyle name="Normal 3 46" xfId="1545"/>
    <cellStyle name="Normal 3 46 2" xfId="1546"/>
    <cellStyle name="Normal 3 46 2 2" xfId="1547"/>
    <cellStyle name="Normal 3 46 2 2 2" xfId="1548"/>
    <cellStyle name="Normal 3 46 2 2 2 2" xfId="2531"/>
    <cellStyle name="Normal 3 46 2 2 3" xfId="1549"/>
    <cellStyle name="Normal 3 46 2 2 3 2" xfId="2532"/>
    <cellStyle name="Normal 3 46 2 2 4" xfId="2533"/>
    <cellStyle name="Normal 3 46 2 2_12001 - Planilha orçamentária" xfId="1550"/>
    <cellStyle name="Normal 3 46 2 3" xfId="1551"/>
    <cellStyle name="Normal 3 46 2 3 2" xfId="2534"/>
    <cellStyle name="Normal 3 46 2 4" xfId="1552"/>
    <cellStyle name="Normal 3 46 2 4 2" xfId="2535"/>
    <cellStyle name="Normal 3 46 2 5" xfId="2536"/>
    <cellStyle name="Normal 3 46 2_12001 - Planilha orçamentária" xfId="1553"/>
    <cellStyle name="Normal 3 46 3" xfId="1554"/>
    <cellStyle name="Normal 3 46 3 2" xfId="1555"/>
    <cellStyle name="Normal 3 46 3 2 2" xfId="2537"/>
    <cellStyle name="Normal 3 46 3 3" xfId="1556"/>
    <cellStyle name="Normal 3 46 3 3 2" xfId="2538"/>
    <cellStyle name="Normal 3 46 3 4" xfId="2539"/>
    <cellStyle name="Normal 3 46 3_12001 - Planilha orçamentária" xfId="1557"/>
    <cellStyle name="Normal 3 46 4" xfId="1558"/>
    <cellStyle name="Normal 3 46 4 2" xfId="2540"/>
    <cellStyle name="Normal 3 46 5" xfId="1559"/>
    <cellStyle name="Normal 3 46 5 2" xfId="2541"/>
    <cellStyle name="Normal 3 46 6" xfId="2542"/>
    <cellStyle name="Normal 3 46_12001 - Planilha orçamentária" xfId="1560"/>
    <cellStyle name="Normal 3 47" xfId="1561"/>
    <cellStyle name="Normal 3 47 2" xfId="1562"/>
    <cellStyle name="Normal 3 47 2 2" xfId="1563"/>
    <cellStyle name="Normal 3 47 2 2 2" xfId="1564"/>
    <cellStyle name="Normal 3 47 2 2 2 2" xfId="2543"/>
    <cellStyle name="Normal 3 47 2 2 3" xfId="1565"/>
    <cellStyle name="Normal 3 47 2 2 3 2" xfId="2544"/>
    <cellStyle name="Normal 3 47 2 2 4" xfId="2545"/>
    <cellStyle name="Normal 3 47 2 2_12001 - Planilha orçamentária" xfId="1566"/>
    <cellStyle name="Normal 3 47 2 3" xfId="1567"/>
    <cellStyle name="Normal 3 47 2 3 2" xfId="2546"/>
    <cellStyle name="Normal 3 47 2 4" xfId="1568"/>
    <cellStyle name="Normal 3 47 2 4 2" xfId="2547"/>
    <cellStyle name="Normal 3 47 2 5" xfId="2548"/>
    <cellStyle name="Normal 3 47 2_12001 - Planilha orçamentária" xfId="1569"/>
    <cellStyle name="Normal 3 47 3" xfId="1570"/>
    <cellStyle name="Normal 3 47 3 2" xfId="1571"/>
    <cellStyle name="Normal 3 47 3 2 2" xfId="2549"/>
    <cellStyle name="Normal 3 47 3 3" xfId="1572"/>
    <cellStyle name="Normal 3 47 3 3 2" xfId="2550"/>
    <cellStyle name="Normal 3 47 3 4" xfId="2551"/>
    <cellStyle name="Normal 3 47 3_12001 - Planilha orçamentária" xfId="1573"/>
    <cellStyle name="Normal 3 47 4" xfId="1574"/>
    <cellStyle name="Normal 3 47 4 2" xfId="2552"/>
    <cellStyle name="Normal 3 47 5" xfId="1575"/>
    <cellStyle name="Normal 3 47 5 2" xfId="2553"/>
    <cellStyle name="Normal 3 47 6" xfId="2554"/>
    <cellStyle name="Normal 3 47_12001 - Planilha orçamentária" xfId="1576"/>
    <cellStyle name="Normal 3 48" xfId="1577"/>
    <cellStyle name="Normal 3 48 2" xfId="1578"/>
    <cellStyle name="Normal 3 48 2 2" xfId="1579"/>
    <cellStyle name="Normal 3 48 2 2 2" xfId="1580"/>
    <cellStyle name="Normal 3 48 2 2 2 2" xfId="2555"/>
    <cellStyle name="Normal 3 48 2 2 3" xfId="1581"/>
    <cellStyle name="Normal 3 48 2 2 3 2" xfId="2556"/>
    <cellStyle name="Normal 3 48 2 2 4" xfId="2557"/>
    <cellStyle name="Normal 3 48 2 2_12001 - Planilha orçamentária" xfId="1582"/>
    <cellStyle name="Normal 3 48 2 3" xfId="1583"/>
    <cellStyle name="Normal 3 48 2 3 2" xfId="2558"/>
    <cellStyle name="Normal 3 48 2 4" xfId="1584"/>
    <cellStyle name="Normal 3 48 2 4 2" xfId="2559"/>
    <cellStyle name="Normal 3 48 2 5" xfId="2560"/>
    <cellStyle name="Normal 3 48 2_12001 - Planilha orçamentária" xfId="1585"/>
    <cellStyle name="Normal 3 48 3" xfId="1586"/>
    <cellStyle name="Normal 3 48 3 2" xfId="1587"/>
    <cellStyle name="Normal 3 48 3 2 2" xfId="2561"/>
    <cellStyle name="Normal 3 48 3 3" xfId="1588"/>
    <cellStyle name="Normal 3 48 3 3 2" xfId="2562"/>
    <cellStyle name="Normal 3 48 3 4" xfId="2563"/>
    <cellStyle name="Normal 3 48 3_12001 - Planilha orçamentária" xfId="1589"/>
    <cellStyle name="Normal 3 48 4" xfId="1590"/>
    <cellStyle name="Normal 3 48 4 2" xfId="2564"/>
    <cellStyle name="Normal 3 48 5" xfId="1591"/>
    <cellStyle name="Normal 3 48 5 2" xfId="2565"/>
    <cellStyle name="Normal 3 48 6" xfId="2566"/>
    <cellStyle name="Normal 3 48_12001 - Planilha orçamentária" xfId="1592"/>
    <cellStyle name="Normal 3 49" xfId="1593"/>
    <cellStyle name="Normal 3 49 2" xfId="1594"/>
    <cellStyle name="Normal 3 49 2 2" xfId="1595"/>
    <cellStyle name="Normal 3 49 2 2 2" xfId="1596"/>
    <cellStyle name="Normal 3 49 2 2 2 2" xfId="2567"/>
    <cellStyle name="Normal 3 49 2 2 3" xfId="1597"/>
    <cellStyle name="Normal 3 49 2 2 3 2" xfId="2568"/>
    <cellStyle name="Normal 3 49 2 2 4" xfId="2569"/>
    <cellStyle name="Normal 3 49 2 2_12001 - Planilha orçamentária" xfId="1598"/>
    <cellStyle name="Normal 3 49 2 3" xfId="1599"/>
    <cellStyle name="Normal 3 49 2 3 2" xfId="2570"/>
    <cellStyle name="Normal 3 49 2 4" xfId="1600"/>
    <cellStyle name="Normal 3 49 2 4 2" xfId="2571"/>
    <cellStyle name="Normal 3 49 2 5" xfId="2572"/>
    <cellStyle name="Normal 3 49 2_12001 - Planilha orçamentária" xfId="1601"/>
    <cellStyle name="Normal 3 49 3" xfId="1602"/>
    <cellStyle name="Normal 3 49 3 2" xfId="1603"/>
    <cellStyle name="Normal 3 49 3 2 2" xfId="2573"/>
    <cellStyle name="Normal 3 49 3 3" xfId="1604"/>
    <cellStyle name="Normal 3 49 3 3 2" xfId="2574"/>
    <cellStyle name="Normal 3 49 3 4" xfId="2575"/>
    <cellStyle name="Normal 3 49 3_12001 - Planilha orçamentária" xfId="1605"/>
    <cellStyle name="Normal 3 49 4" xfId="1606"/>
    <cellStyle name="Normal 3 49 4 2" xfId="2576"/>
    <cellStyle name="Normal 3 49 5" xfId="1607"/>
    <cellStyle name="Normal 3 49 5 2" xfId="2577"/>
    <cellStyle name="Normal 3 49 6" xfId="2578"/>
    <cellStyle name="Normal 3 49_12001 - Planilha orçamentária" xfId="1608"/>
    <cellStyle name="Normal 3 5" xfId="173"/>
    <cellStyle name="Normal 3 50" xfId="1609"/>
    <cellStyle name="Normal 3 50 2" xfId="1610"/>
    <cellStyle name="Normal 3 50 2 2" xfId="1611"/>
    <cellStyle name="Normal 3 50 2 2 2" xfId="1612"/>
    <cellStyle name="Normal 3 50 2 2 2 2" xfId="2579"/>
    <cellStyle name="Normal 3 50 2 2 3" xfId="1613"/>
    <cellStyle name="Normal 3 50 2 2 3 2" xfId="2580"/>
    <cellStyle name="Normal 3 50 2 2 4" xfId="2581"/>
    <cellStyle name="Normal 3 50 2 2_12001 - Planilha orçamentária" xfId="1614"/>
    <cellStyle name="Normal 3 50 2 3" xfId="1615"/>
    <cellStyle name="Normal 3 50 2 3 2" xfId="2582"/>
    <cellStyle name="Normal 3 50 2 4" xfId="1616"/>
    <cellStyle name="Normal 3 50 2 4 2" xfId="2583"/>
    <cellStyle name="Normal 3 50 2 5" xfId="2584"/>
    <cellStyle name="Normal 3 50 2_12001 - Planilha orçamentária" xfId="1617"/>
    <cellStyle name="Normal 3 50 3" xfId="1618"/>
    <cellStyle name="Normal 3 50 3 2" xfId="1619"/>
    <cellStyle name="Normal 3 50 3 2 2" xfId="2585"/>
    <cellStyle name="Normal 3 50 3 3" xfId="1620"/>
    <cellStyle name="Normal 3 50 3 3 2" xfId="2586"/>
    <cellStyle name="Normal 3 50 3 4" xfId="2587"/>
    <cellStyle name="Normal 3 50 3_12001 - Planilha orçamentária" xfId="1621"/>
    <cellStyle name="Normal 3 50 4" xfId="1622"/>
    <cellStyle name="Normal 3 50 4 2" xfId="2588"/>
    <cellStyle name="Normal 3 50 5" xfId="1623"/>
    <cellStyle name="Normal 3 50 5 2" xfId="2589"/>
    <cellStyle name="Normal 3 50 6" xfId="2590"/>
    <cellStyle name="Normal 3 50_12001 - Planilha orçamentária" xfId="1624"/>
    <cellStyle name="Normal 3 51" xfId="1625"/>
    <cellStyle name="Normal 3 51 2" xfId="1626"/>
    <cellStyle name="Normal 3 51 2 2" xfId="1627"/>
    <cellStyle name="Normal 3 51 2 2 2" xfId="1628"/>
    <cellStyle name="Normal 3 51 2 2 2 2" xfId="2591"/>
    <cellStyle name="Normal 3 51 2 2 3" xfId="1629"/>
    <cellStyle name="Normal 3 51 2 2 3 2" xfId="2592"/>
    <cellStyle name="Normal 3 51 2 2 4" xfId="2593"/>
    <cellStyle name="Normal 3 51 2 2_12001 - Planilha orçamentária" xfId="1630"/>
    <cellStyle name="Normal 3 51 2 3" xfId="1631"/>
    <cellStyle name="Normal 3 51 2 3 2" xfId="2594"/>
    <cellStyle name="Normal 3 51 2 4" xfId="1632"/>
    <cellStyle name="Normal 3 51 2 4 2" xfId="2595"/>
    <cellStyle name="Normal 3 51 2 5" xfId="2596"/>
    <cellStyle name="Normal 3 51 2_12001 - Planilha orçamentária" xfId="1633"/>
    <cellStyle name="Normal 3 51 3" xfId="1634"/>
    <cellStyle name="Normal 3 51 3 2" xfId="1635"/>
    <cellStyle name="Normal 3 51 3 2 2" xfId="2597"/>
    <cellStyle name="Normal 3 51 3 3" xfId="1636"/>
    <cellStyle name="Normal 3 51 3 3 2" xfId="2598"/>
    <cellStyle name="Normal 3 51 3 4" xfId="2599"/>
    <cellStyle name="Normal 3 51 3_12001 - Planilha orçamentária" xfId="1637"/>
    <cellStyle name="Normal 3 51 4" xfId="1638"/>
    <cellStyle name="Normal 3 51 4 2" xfId="2600"/>
    <cellStyle name="Normal 3 51 5" xfId="1639"/>
    <cellStyle name="Normal 3 51 5 2" xfId="2601"/>
    <cellStyle name="Normal 3 51 6" xfId="2602"/>
    <cellStyle name="Normal 3 51_12001 - Planilha orçamentária" xfId="1640"/>
    <cellStyle name="Normal 3 52" xfId="1641"/>
    <cellStyle name="Normal 3 52 2" xfId="1642"/>
    <cellStyle name="Normal 3 52 2 2" xfId="1643"/>
    <cellStyle name="Normal 3 52 2 2 2" xfId="1644"/>
    <cellStyle name="Normal 3 52 2 2 2 2" xfId="2603"/>
    <cellStyle name="Normal 3 52 2 2 3" xfId="1645"/>
    <cellStyle name="Normal 3 52 2 2 3 2" xfId="2604"/>
    <cellStyle name="Normal 3 52 2 2 4" xfId="2605"/>
    <cellStyle name="Normal 3 52 2 2_12001 - Planilha orçamentária" xfId="1646"/>
    <cellStyle name="Normal 3 52 2 3" xfId="1647"/>
    <cellStyle name="Normal 3 52 2 3 2" xfId="2606"/>
    <cellStyle name="Normal 3 52 2 4" xfId="1648"/>
    <cellStyle name="Normal 3 52 2 4 2" xfId="2607"/>
    <cellStyle name="Normal 3 52 2 5" xfId="2608"/>
    <cellStyle name="Normal 3 52 2_12001 - Planilha orçamentária" xfId="1649"/>
    <cellStyle name="Normal 3 52 3" xfId="1650"/>
    <cellStyle name="Normal 3 52 3 2" xfId="1651"/>
    <cellStyle name="Normal 3 52 3 2 2" xfId="2609"/>
    <cellStyle name="Normal 3 52 3 3" xfId="1652"/>
    <cellStyle name="Normal 3 52 3 3 2" xfId="2610"/>
    <cellStyle name="Normal 3 52 3 4" xfId="2611"/>
    <cellStyle name="Normal 3 52 3_12001 - Planilha orçamentária" xfId="1653"/>
    <cellStyle name="Normal 3 52 4" xfId="1654"/>
    <cellStyle name="Normal 3 52 4 2" xfId="2612"/>
    <cellStyle name="Normal 3 52 5" xfId="1655"/>
    <cellStyle name="Normal 3 52 5 2" xfId="2613"/>
    <cellStyle name="Normal 3 52 6" xfId="2614"/>
    <cellStyle name="Normal 3 52_12001 - Planilha orçamentária" xfId="1656"/>
    <cellStyle name="Normal 3 53" xfId="1657"/>
    <cellStyle name="Normal 3 53 2" xfId="1658"/>
    <cellStyle name="Normal 3 53 2 2" xfId="1659"/>
    <cellStyle name="Normal 3 53 2 2 2" xfId="1660"/>
    <cellStyle name="Normal 3 53 2 2 2 2" xfId="2615"/>
    <cellStyle name="Normal 3 53 2 2 3" xfId="1661"/>
    <cellStyle name="Normal 3 53 2 2 3 2" xfId="2616"/>
    <cellStyle name="Normal 3 53 2 2 4" xfId="2617"/>
    <cellStyle name="Normal 3 53 2 2_12001 - Planilha orçamentária" xfId="1662"/>
    <cellStyle name="Normal 3 53 2 3" xfId="1663"/>
    <cellStyle name="Normal 3 53 2 3 2" xfId="2618"/>
    <cellStyle name="Normal 3 53 2 4" xfId="1664"/>
    <cellStyle name="Normal 3 53 2 4 2" xfId="2619"/>
    <cellStyle name="Normal 3 53 2 5" xfId="2620"/>
    <cellStyle name="Normal 3 53 2_12001 - Planilha orçamentária" xfId="1665"/>
    <cellStyle name="Normal 3 53 3" xfId="1666"/>
    <cellStyle name="Normal 3 53 3 2" xfId="1667"/>
    <cellStyle name="Normal 3 53 3 2 2" xfId="2621"/>
    <cellStyle name="Normal 3 53 3 3" xfId="1668"/>
    <cellStyle name="Normal 3 53 3 3 2" xfId="2622"/>
    <cellStyle name="Normal 3 53 3 4" xfId="2623"/>
    <cellStyle name="Normal 3 53 3_12001 - Planilha orçamentária" xfId="1669"/>
    <cellStyle name="Normal 3 53 4" xfId="1670"/>
    <cellStyle name="Normal 3 53 4 2" xfId="2624"/>
    <cellStyle name="Normal 3 53 5" xfId="1671"/>
    <cellStyle name="Normal 3 53 5 2" xfId="2625"/>
    <cellStyle name="Normal 3 53 6" xfId="2626"/>
    <cellStyle name="Normal 3 53_12001 - Planilha orçamentária" xfId="1672"/>
    <cellStyle name="Normal 3 54" xfId="1673"/>
    <cellStyle name="Normal 3 54 2" xfId="1674"/>
    <cellStyle name="Normal 3 54 2 2" xfId="1675"/>
    <cellStyle name="Normal 3 54 2 2 2" xfId="1676"/>
    <cellStyle name="Normal 3 54 2 2 2 2" xfId="2627"/>
    <cellStyle name="Normal 3 54 2 2 3" xfId="1677"/>
    <cellStyle name="Normal 3 54 2 2 3 2" xfId="2628"/>
    <cellStyle name="Normal 3 54 2 2 4" xfId="2629"/>
    <cellStyle name="Normal 3 54 2 2_12001 - Planilha orçamentária" xfId="1678"/>
    <cellStyle name="Normal 3 54 2 3" xfId="1679"/>
    <cellStyle name="Normal 3 54 2 3 2" xfId="2630"/>
    <cellStyle name="Normal 3 54 2 4" xfId="1680"/>
    <cellStyle name="Normal 3 54 2 4 2" xfId="2631"/>
    <cellStyle name="Normal 3 54 2 5" xfId="2632"/>
    <cellStyle name="Normal 3 54 2_12001 - Planilha orçamentária" xfId="1681"/>
    <cellStyle name="Normal 3 54 3" xfId="1682"/>
    <cellStyle name="Normal 3 54 3 2" xfId="1683"/>
    <cellStyle name="Normal 3 54 3 2 2" xfId="2633"/>
    <cellStyle name="Normal 3 54 3 3" xfId="1684"/>
    <cellStyle name="Normal 3 54 3 3 2" xfId="2634"/>
    <cellStyle name="Normal 3 54 3 4" xfId="2635"/>
    <cellStyle name="Normal 3 54 3_12001 - Planilha orçamentária" xfId="1685"/>
    <cellStyle name="Normal 3 54 4" xfId="1686"/>
    <cellStyle name="Normal 3 54 4 2" xfId="2636"/>
    <cellStyle name="Normal 3 54 5" xfId="1687"/>
    <cellStyle name="Normal 3 54 5 2" xfId="2637"/>
    <cellStyle name="Normal 3 54 6" xfId="2638"/>
    <cellStyle name="Normal 3 54_12001 - Planilha orçamentária" xfId="1688"/>
    <cellStyle name="Normal 3 55" xfId="1689"/>
    <cellStyle name="Normal 3 55 2" xfId="1690"/>
    <cellStyle name="Normal 3 55 2 2" xfId="1691"/>
    <cellStyle name="Normal 3 55 2 2 2" xfId="1692"/>
    <cellStyle name="Normal 3 55 2 2 2 2" xfId="2639"/>
    <cellStyle name="Normal 3 55 2 2 3" xfId="1693"/>
    <cellStyle name="Normal 3 55 2 2 3 2" xfId="2640"/>
    <cellStyle name="Normal 3 55 2 2 4" xfId="2641"/>
    <cellStyle name="Normal 3 55 2 2_12001 - Planilha orçamentária" xfId="1694"/>
    <cellStyle name="Normal 3 55 2 3" xfId="1695"/>
    <cellStyle name="Normal 3 55 2 3 2" xfId="2642"/>
    <cellStyle name="Normal 3 55 2 4" xfId="1696"/>
    <cellStyle name="Normal 3 55 2 4 2" xfId="2643"/>
    <cellStyle name="Normal 3 55 2 5" xfId="2644"/>
    <cellStyle name="Normal 3 55 2_12001 - Planilha orçamentária" xfId="1697"/>
    <cellStyle name="Normal 3 55 3" xfId="1698"/>
    <cellStyle name="Normal 3 55 3 2" xfId="1699"/>
    <cellStyle name="Normal 3 55 3 2 2" xfId="2645"/>
    <cellStyle name="Normal 3 55 3 3" xfId="1700"/>
    <cellStyle name="Normal 3 55 3 3 2" xfId="2646"/>
    <cellStyle name="Normal 3 55 3 4" xfId="2647"/>
    <cellStyle name="Normal 3 55 3_12001 - Planilha orçamentária" xfId="1701"/>
    <cellStyle name="Normal 3 55 4" xfId="1702"/>
    <cellStyle name="Normal 3 55 4 2" xfId="2648"/>
    <cellStyle name="Normal 3 55 5" xfId="1703"/>
    <cellStyle name="Normal 3 55 5 2" xfId="2649"/>
    <cellStyle name="Normal 3 55 6" xfId="2650"/>
    <cellStyle name="Normal 3 55_12001 - Planilha orçamentária" xfId="1704"/>
    <cellStyle name="Normal 3 56" xfId="1705"/>
    <cellStyle name="Normal 3 56 2" xfId="1706"/>
    <cellStyle name="Normal 3 56 2 2" xfId="1707"/>
    <cellStyle name="Normal 3 56 2 2 2" xfId="1708"/>
    <cellStyle name="Normal 3 56 2 2 2 2" xfId="2651"/>
    <cellStyle name="Normal 3 56 2 2 3" xfId="1709"/>
    <cellStyle name="Normal 3 56 2 2 3 2" xfId="2652"/>
    <cellStyle name="Normal 3 56 2 2 4" xfId="2653"/>
    <cellStyle name="Normal 3 56 2 2_12001 - Planilha orçamentária" xfId="1710"/>
    <cellStyle name="Normal 3 56 2 3" xfId="1711"/>
    <cellStyle name="Normal 3 56 2 3 2" xfId="2654"/>
    <cellStyle name="Normal 3 56 2 4" xfId="1712"/>
    <cellStyle name="Normal 3 56 2 4 2" xfId="2655"/>
    <cellStyle name="Normal 3 56 2 5" xfId="2656"/>
    <cellStyle name="Normal 3 56 2_12001 - Planilha orçamentária" xfId="1713"/>
    <cellStyle name="Normal 3 56 3" xfId="1714"/>
    <cellStyle name="Normal 3 56 3 2" xfId="1715"/>
    <cellStyle name="Normal 3 56 3 2 2" xfId="2657"/>
    <cellStyle name="Normal 3 56 3 3" xfId="1716"/>
    <cellStyle name="Normal 3 56 3 3 2" xfId="2658"/>
    <cellStyle name="Normal 3 56 3 4" xfId="2659"/>
    <cellStyle name="Normal 3 56 3_12001 - Planilha orçamentária" xfId="1717"/>
    <cellStyle name="Normal 3 56 4" xfId="1718"/>
    <cellStyle name="Normal 3 56 4 2" xfId="2660"/>
    <cellStyle name="Normal 3 56 5" xfId="1719"/>
    <cellStyle name="Normal 3 56 5 2" xfId="2661"/>
    <cellStyle name="Normal 3 56 6" xfId="2662"/>
    <cellStyle name="Normal 3 56_12001 - Planilha orçamentária" xfId="1720"/>
    <cellStyle name="Normal 3 57" xfId="1721"/>
    <cellStyle name="Normal 3 57 2" xfId="1722"/>
    <cellStyle name="Normal 3 57 2 2" xfId="1723"/>
    <cellStyle name="Normal 3 57 2 2 2" xfId="1724"/>
    <cellStyle name="Normal 3 57 2 2 2 2" xfId="2663"/>
    <cellStyle name="Normal 3 57 2 2 3" xfId="1725"/>
    <cellStyle name="Normal 3 57 2 2 3 2" xfId="2664"/>
    <cellStyle name="Normal 3 57 2 2 4" xfId="2665"/>
    <cellStyle name="Normal 3 57 2 2_12001 - Planilha orçamentária" xfId="1726"/>
    <cellStyle name="Normal 3 57 2 3" xfId="1727"/>
    <cellStyle name="Normal 3 57 2 3 2" xfId="2666"/>
    <cellStyle name="Normal 3 57 2 4" xfId="1728"/>
    <cellStyle name="Normal 3 57 2 4 2" xfId="2667"/>
    <cellStyle name="Normal 3 57 2 5" xfId="2668"/>
    <cellStyle name="Normal 3 57 2_12001 - Planilha orçamentária" xfId="1729"/>
    <cellStyle name="Normal 3 57 3" xfId="1730"/>
    <cellStyle name="Normal 3 57 3 2" xfId="1731"/>
    <cellStyle name="Normal 3 57 3 2 2" xfId="2669"/>
    <cellStyle name="Normal 3 57 3 3" xfId="1732"/>
    <cellStyle name="Normal 3 57 3 3 2" xfId="2670"/>
    <cellStyle name="Normal 3 57 3 4" xfId="2671"/>
    <cellStyle name="Normal 3 57 3_12001 - Planilha orçamentária" xfId="1733"/>
    <cellStyle name="Normal 3 57 4" xfId="1734"/>
    <cellStyle name="Normal 3 57 4 2" xfId="2672"/>
    <cellStyle name="Normal 3 57 5" xfId="1735"/>
    <cellStyle name="Normal 3 57 5 2" xfId="2673"/>
    <cellStyle name="Normal 3 57 6" xfId="2674"/>
    <cellStyle name="Normal 3 57_12001 - Planilha orçamentária" xfId="1736"/>
    <cellStyle name="Normal 3 58" xfId="1737"/>
    <cellStyle name="Normal 3 58 2" xfId="1738"/>
    <cellStyle name="Normal 3 58 2 2" xfId="1739"/>
    <cellStyle name="Normal 3 58 2 2 2" xfId="2675"/>
    <cellStyle name="Normal 3 58 2 3" xfId="1740"/>
    <cellStyle name="Normal 3 58 2 3 2" xfId="2676"/>
    <cellStyle name="Normal 3 58 2 4" xfId="2677"/>
    <cellStyle name="Normal 3 58 2_12001 - Planilha orçamentária" xfId="1741"/>
    <cellStyle name="Normal 3 58 3" xfId="1742"/>
    <cellStyle name="Normal 3 58 3 2" xfId="2678"/>
    <cellStyle name="Normal 3 58 4" xfId="1743"/>
    <cellStyle name="Normal 3 58 4 2" xfId="2679"/>
    <cellStyle name="Normal 3 58 5" xfId="2680"/>
    <cellStyle name="Normal 3 58_12001 - Planilha orçamentária" xfId="1744"/>
    <cellStyle name="Normal 3 59" xfId="1745"/>
    <cellStyle name="Normal 3 6" xfId="174"/>
    <cellStyle name="Normal 3 60" xfId="1746"/>
    <cellStyle name="Normal 3 61" xfId="2859"/>
    <cellStyle name="Normal 3 61 2" xfId="2860"/>
    <cellStyle name="Normal 3 62" xfId="450"/>
    <cellStyle name="Normal 3 63" xfId="1757"/>
    <cellStyle name="Normal 3 64" xfId="930"/>
    <cellStyle name="Normal 3 65" xfId="3079"/>
    <cellStyle name="Normal 3 66" xfId="3699"/>
    <cellStyle name="Normal 3 67" xfId="3704"/>
    <cellStyle name="Normal 3 68" xfId="3707"/>
    <cellStyle name="Normal 3 69" xfId="3703"/>
    <cellStyle name="Normal 3 7" xfId="175"/>
    <cellStyle name="Normal 3 70" xfId="3705"/>
    <cellStyle name="Normal 3 8" xfId="176"/>
    <cellStyle name="Normal 3 9" xfId="177"/>
    <cellStyle name="Normal 3_013_Globo - Bloco de Apoio" xfId="451"/>
    <cellStyle name="Normal 30" xfId="1982"/>
    <cellStyle name="Normal 30 2" xfId="1997"/>
    <cellStyle name="Normal 30 2 2" xfId="2861"/>
    <cellStyle name="Normal 30 3" xfId="2862"/>
    <cellStyle name="Normal 31" xfId="1983"/>
    <cellStyle name="Normal 31 2" xfId="1991"/>
    <cellStyle name="Normal 31 2 2" xfId="2863"/>
    <cellStyle name="Normal 31 3" xfId="2681"/>
    <cellStyle name="Normal 31 3 2" xfId="2864"/>
    <cellStyle name="Normal 31 4" xfId="2706"/>
    <cellStyle name="Normal 32" xfId="1749"/>
    <cellStyle name="Normal 33" xfId="1750"/>
    <cellStyle name="Normal 34" xfId="1989"/>
    <cellStyle name="Normal 34 2" xfId="2698"/>
    <cellStyle name="Normal 34_COTAÇÃO" xfId="2700"/>
    <cellStyle name="Normal 35" xfId="1992"/>
    <cellStyle name="Normal 35 2" xfId="2865"/>
    <cellStyle name="Normal 35 3" xfId="2866"/>
    <cellStyle name="Normal 36" xfId="1994"/>
    <cellStyle name="Normal 36 2" xfId="2699"/>
    <cellStyle name="Normal 36_COTAÇÃO" xfId="2701"/>
    <cellStyle name="Normal 37" xfId="1751"/>
    <cellStyle name="Normal 38" xfId="1752"/>
    <cellStyle name="Normal 39" xfId="2682"/>
    <cellStyle name="Normal 39 2" xfId="2867"/>
    <cellStyle name="Normal 4" xfId="178"/>
    <cellStyle name="Normal 4 10" xfId="179"/>
    <cellStyle name="Normal 4 11" xfId="180"/>
    <cellStyle name="Normal 4 12" xfId="181"/>
    <cellStyle name="Normal 4 13" xfId="182"/>
    <cellStyle name="Normal 4 13 2" xfId="1754"/>
    <cellStyle name="Normal 4 14" xfId="183"/>
    <cellStyle name="Normal 4 15" xfId="184"/>
    <cellStyle name="Normal 4 16" xfId="185"/>
    <cellStyle name="Normal 4 17" xfId="186"/>
    <cellStyle name="Normal 4 18" xfId="187"/>
    <cellStyle name="Normal 4 19" xfId="188"/>
    <cellStyle name="Normal 4 2" xfId="189"/>
    <cellStyle name="Normal 4 2 2" xfId="1755"/>
    <cellStyle name="Normal 4 2 3" xfId="1756"/>
    <cellStyle name="Normal 4 2 3 2" xfId="190"/>
    <cellStyle name="Normal 4 2 3 2 2" xfId="398"/>
    <cellStyle name="Normal 4 2 3 2 3" xfId="404"/>
    <cellStyle name="Normal 4 20" xfId="191"/>
    <cellStyle name="Normal 4 21" xfId="452"/>
    <cellStyle name="Normal 4 3" xfId="192"/>
    <cellStyle name="Normal 4 3 2" xfId="2690"/>
    <cellStyle name="Normal 4 3 2 2" xfId="2691"/>
    <cellStyle name="Normal 4 3 3" xfId="2692"/>
    <cellStyle name="Normal 4 3 3 2" xfId="2693"/>
    <cellStyle name="Normal 4 4" xfId="193"/>
    <cellStyle name="Normal 4 5" xfId="194"/>
    <cellStyle name="Normal 4 6" xfId="195"/>
    <cellStyle name="Normal 4 7" xfId="196"/>
    <cellStyle name="Normal 4 8" xfId="197"/>
    <cellStyle name="Normal 4 9" xfId="198"/>
    <cellStyle name="Normal 40" xfId="2683"/>
    <cellStyle name="Normal 40 2" xfId="2868"/>
    <cellStyle name="Normal 41" xfId="2684"/>
    <cellStyle name="Normal 41 2" xfId="2869"/>
    <cellStyle name="Normal 42" xfId="1758"/>
    <cellStyle name="Normal 43" xfId="1759"/>
    <cellStyle name="Normal 44" xfId="2694"/>
    <cellStyle name="Normal 44 2" xfId="2870"/>
    <cellStyle name="Normal 44 3" xfId="2871"/>
    <cellStyle name="Normal 44 4" xfId="3700"/>
    <cellStyle name="Normal 45" xfId="2695"/>
    <cellStyle name="Normal 46" xfId="2705"/>
    <cellStyle name="Normal 47" xfId="1760"/>
    <cellStyle name="Normal 48" xfId="1761"/>
    <cellStyle name="Normal 49" xfId="408"/>
    <cellStyle name="Normal 5" xfId="199"/>
    <cellStyle name="Normal 5 10" xfId="200"/>
    <cellStyle name="Normal 5 11" xfId="201"/>
    <cellStyle name="Normal 5 12" xfId="202"/>
    <cellStyle name="Normal 5 13" xfId="203"/>
    <cellStyle name="Normal 5 14" xfId="204"/>
    <cellStyle name="Normal 5 15" xfId="205"/>
    <cellStyle name="Normal 5 16" xfId="206"/>
    <cellStyle name="Normal 5 17" xfId="207"/>
    <cellStyle name="Normal 5 18" xfId="208"/>
    <cellStyle name="Normal 5 19" xfId="209"/>
    <cellStyle name="Normal 5 2" xfId="210"/>
    <cellStyle name="Normal 5 2 2" xfId="3469"/>
    <cellStyle name="Normal 5 2 3" xfId="3470"/>
    <cellStyle name="Normal 5 20" xfId="211"/>
    <cellStyle name="Normal 5 3" xfId="212"/>
    <cellStyle name="Normal 5 4" xfId="213"/>
    <cellStyle name="Normal 5 4 2" xfId="3471"/>
    <cellStyle name="Normal 5 5" xfId="214"/>
    <cellStyle name="Normal 5 6" xfId="215"/>
    <cellStyle name="Normal 5 7" xfId="216"/>
    <cellStyle name="Normal 5 8" xfId="217"/>
    <cellStyle name="Normal 5 9" xfId="218"/>
    <cellStyle name="Normal 5_memória de cálculo" xfId="3472"/>
    <cellStyle name="Normal 50" xfId="1993"/>
    <cellStyle name="Normal 51" xfId="3111"/>
    <cellStyle name="Normal 52" xfId="3095"/>
    <cellStyle name="Normal 53" xfId="3698"/>
    <cellStyle name="Normal 54" xfId="2685"/>
    <cellStyle name="Normal 55" xfId="2686"/>
    <cellStyle name="Normal 56" xfId="3702"/>
    <cellStyle name="Normal 57" xfId="3706"/>
    <cellStyle name="Normal 58" xfId="3708"/>
    <cellStyle name="Normal 59" xfId="3709"/>
    <cellStyle name="Normal 6" xfId="219"/>
    <cellStyle name="Normal 6 10" xfId="220"/>
    <cellStyle name="Normal 6 11" xfId="221"/>
    <cellStyle name="Normal 6 11 2" xfId="1762"/>
    <cellStyle name="Normal 6 12" xfId="222"/>
    <cellStyle name="Normal 6 12 2" xfId="1763"/>
    <cellStyle name="Normal 6 13" xfId="223"/>
    <cellStyle name="Normal 6 13 2" xfId="1764"/>
    <cellStyle name="Normal 6 14" xfId="224"/>
    <cellStyle name="Normal 6 14 2" xfId="1765"/>
    <cellStyle name="Normal 6 15" xfId="225"/>
    <cellStyle name="Normal 6 15 2" xfId="1766"/>
    <cellStyle name="Normal 6 16" xfId="226"/>
    <cellStyle name="Normal 6 16 2" xfId="1767"/>
    <cellStyle name="Normal 6 17" xfId="227"/>
    <cellStyle name="Normal 6 17 2" xfId="1768"/>
    <cellStyle name="Normal 6 18" xfId="228"/>
    <cellStyle name="Normal 6 18 2" xfId="1769"/>
    <cellStyle name="Normal 6 19" xfId="229"/>
    <cellStyle name="Normal 6 19 2" xfId="1770"/>
    <cellStyle name="Normal 6 2" xfId="230"/>
    <cellStyle name="Normal 6 2 10" xfId="1772"/>
    <cellStyle name="Normal 6 2 11" xfId="1773"/>
    <cellStyle name="Normal 6 2 12" xfId="1774"/>
    <cellStyle name="Normal 6 2 13" xfId="1775"/>
    <cellStyle name="Normal 6 2 14" xfId="1776"/>
    <cellStyle name="Normal 6 2 15" xfId="1777"/>
    <cellStyle name="Normal 6 2 16" xfId="1778"/>
    <cellStyle name="Normal 6 2 17" xfId="1779"/>
    <cellStyle name="Normal 6 2 18" xfId="1780"/>
    <cellStyle name="Normal 6 2 19" xfId="1781"/>
    <cellStyle name="Normal 6 2 2" xfId="1782"/>
    <cellStyle name="Normal 6 2 20" xfId="1783"/>
    <cellStyle name="Normal 6 2 21" xfId="1784"/>
    <cellStyle name="Normal 6 2 22" xfId="1785"/>
    <cellStyle name="Normal 6 2 23" xfId="1786"/>
    <cellStyle name="Normal 6 2 24" xfId="1787"/>
    <cellStyle name="Normal 6 2 25" xfId="1788"/>
    <cellStyle name="Normal 6 2 26" xfId="1789"/>
    <cellStyle name="Normal 6 2 27" xfId="1790"/>
    <cellStyle name="Normal 6 2 28" xfId="1791"/>
    <cellStyle name="Normal 6 2 29" xfId="1792"/>
    <cellStyle name="Normal 6 2 3" xfId="1793"/>
    <cellStyle name="Normal 6 2 30" xfId="1794"/>
    <cellStyle name="Normal 6 2 31" xfId="1795"/>
    <cellStyle name="Normal 6 2 32" xfId="1796"/>
    <cellStyle name="Normal 6 2 33" xfId="1797"/>
    <cellStyle name="Normal 6 2 34" xfId="1798"/>
    <cellStyle name="Normal 6 2 35" xfId="1799"/>
    <cellStyle name="Normal 6 2 36" xfId="1800"/>
    <cellStyle name="Normal 6 2 37" xfId="1801"/>
    <cellStyle name="Normal 6 2 38" xfId="1802"/>
    <cellStyle name="Normal 6 2 39" xfId="1803"/>
    <cellStyle name="Normal 6 2 4" xfId="1804"/>
    <cellStyle name="Normal 6 2 40" xfId="1805"/>
    <cellStyle name="Normal 6 2 41" xfId="1806"/>
    <cellStyle name="Normal 6 2 42" xfId="1807"/>
    <cellStyle name="Normal 6 2 43" xfId="1808"/>
    <cellStyle name="Normal 6 2 44" xfId="1809"/>
    <cellStyle name="Normal 6 2 45" xfId="1810"/>
    <cellStyle name="Normal 6 2 46" xfId="1811"/>
    <cellStyle name="Normal 6 2 47" xfId="1771"/>
    <cellStyle name="Normal 6 2 5" xfId="1812"/>
    <cellStyle name="Normal 6 2 6" xfId="1813"/>
    <cellStyle name="Normal 6 2 7" xfId="1814"/>
    <cellStyle name="Normal 6 2 8" xfId="1815"/>
    <cellStyle name="Normal 6 2 9" xfId="1816"/>
    <cellStyle name="Normal 6 20" xfId="231"/>
    <cellStyle name="Normal 6 20 2" xfId="1817"/>
    <cellStyle name="Normal 6 21" xfId="1818"/>
    <cellStyle name="Normal 6 22" xfId="1819"/>
    <cellStyle name="Normal 6 23" xfId="1820"/>
    <cellStyle name="Normal 6 24" xfId="1821"/>
    <cellStyle name="Normal 6 25" xfId="1822"/>
    <cellStyle name="Normal 6 26" xfId="1823"/>
    <cellStyle name="Normal 6 27" xfId="1824"/>
    <cellStyle name="Normal 6 28" xfId="1825"/>
    <cellStyle name="Normal 6 29" xfId="1826"/>
    <cellStyle name="Normal 6 3" xfId="232"/>
    <cellStyle name="Normal 6 30" xfId="1827"/>
    <cellStyle name="Normal 6 31" xfId="1828"/>
    <cellStyle name="Normal 6 32" xfId="1829"/>
    <cellStyle name="Normal 6 33" xfId="1830"/>
    <cellStyle name="Normal 6 34" xfId="1831"/>
    <cellStyle name="Normal 6 35" xfId="1832"/>
    <cellStyle name="Normal 6 36" xfId="1833"/>
    <cellStyle name="Normal 6 37" xfId="1834"/>
    <cellStyle name="Normal 6 38" xfId="1835"/>
    <cellStyle name="Normal 6 39" xfId="1836"/>
    <cellStyle name="Normal 6 4" xfId="233"/>
    <cellStyle name="Normal 6 40" xfId="1837"/>
    <cellStyle name="Normal 6 41" xfId="1838"/>
    <cellStyle name="Normal 6 42" xfId="1839"/>
    <cellStyle name="Normal 6 43" xfId="1840"/>
    <cellStyle name="Normal 6 44" xfId="1841"/>
    <cellStyle name="Normal 6 45" xfId="1842"/>
    <cellStyle name="Normal 6 46" xfId="1843"/>
    <cellStyle name="Normal 6 47" xfId="1844"/>
    <cellStyle name="Normal 6 48" xfId="1845"/>
    <cellStyle name="Normal 6 49" xfId="1846"/>
    <cellStyle name="Normal 6 5" xfId="234"/>
    <cellStyle name="Normal 6 50" xfId="1847"/>
    <cellStyle name="Normal 6 51" xfId="1848"/>
    <cellStyle name="Normal 6 52" xfId="1849"/>
    <cellStyle name="Normal 6 53" xfId="1850"/>
    <cellStyle name="Normal 6 54" xfId="1851"/>
    <cellStyle name="Normal 6 6" xfId="235"/>
    <cellStyle name="Normal 6 7" xfId="236"/>
    <cellStyle name="Normal 6 8" xfId="237"/>
    <cellStyle name="Normal 6 9" xfId="238"/>
    <cellStyle name="Normal 7" xfId="239"/>
    <cellStyle name="Normal 7 10" xfId="240"/>
    <cellStyle name="Normal 7 11" xfId="241"/>
    <cellStyle name="Normal 7 12" xfId="242"/>
    <cellStyle name="Normal 7 13" xfId="243"/>
    <cellStyle name="Normal 7 14" xfId="244"/>
    <cellStyle name="Normal 7 15" xfId="245"/>
    <cellStyle name="Normal 7 16" xfId="246"/>
    <cellStyle name="Normal 7 17" xfId="247"/>
    <cellStyle name="Normal 7 18" xfId="248"/>
    <cellStyle name="Normal 7 19" xfId="249"/>
    <cellStyle name="Normal 7 2" xfId="250"/>
    <cellStyle name="Normal 7 2 2" xfId="3473"/>
    <cellStyle name="Normal 7 20" xfId="251"/>
    <cellStyle name="Normal 7 3" xfId="252"/>
    <cellStyle name="Normal 7 4" xfId="253"/>
    <cellStyle name="Normal 7 5" xfId="254"/>
    <cellStyle name="Normal 7 6" xfId="255"/>
    <cellStyle name="Normal 7 7" xfId="256"/>
    <cellStyle name="Normal 7 8" xfId="257"/>
    <cellStyle name="Normal 7 9" xfId="258"/>
    <cellStyle name="Normal 8" xfId="259"/>
    <cellStyle name="Normal 8 2" xfId="468"/>
    <cellStyle name="Normal 8 2 2" xfId="3474"/>
    <cellStyle name="Normal 9" xfId="260"/>
    <cellStyle name="Normal 9 2" xfId="469"/>
    <cellStyle name="Normal_MEDICAO-13_JUN 2007_MADRE GERMANAnova" xfId="9"/>
    <cellStyle name="Normal_Pesquisa no referencial 10 de maio de 2013" xfId="3710"/>
    <cellStyle name="Nota 10" xfId="3475"/>
    <cellStyle name="Nota 2" xfId="487"/>
    <cellStyle name="Nota 2 10" xfId="3476"/>
    <cellStyle name="Nota 2 11" xfId="3477"/>
    <cellStyle name="Nota 2 2" xfId="1852"/>
    <cellStyle name="Nota 2 2 2" xfId="3478"/>
    <cellStyle name="Nota 2 2 3" xfId="3479"/>
    <cellStyle name="Nota 2 3" xfId="2872"/>
    <cellStyle name="Nota 2 3 2" xfId="3480"/>
    <cellStyle name="Nota 2 4" xfId="3481"/>
    <cellStyle name="Nota 2 5" xfId="3482"/>
    <cellStyle name="Nota 2 6" xfId="3483"/>
    <cellStyle name="Nota 2 7" xfId="3484"/>
    <cellStyle name="Nota 2 8" xfId="3485"/>
    <cellStyle name="Nota 2 9" xfId="3486"/>
    <cellStyle name="Nota 3" xfId="518"/>
    <cellStyle name="Nota 3 2" xfId="1853"/>
    <cellStyle name="Nota 3 2 2" xfId="2873"/>
    <cellStyle name="Nota 3 3" xfId="2874"/>
    <cellStyle name="Nota 4" xfId="453"/>
    <cellStyle name="Nota 5" xfId="3487"/>
    <cellStyle name="Nota 6" xfId="3488"/>
    <cellStyle name="Nota 7" xfId="3489"/>
    <cellStyle name="Nota 8" xfId="3490"/>
    <cellStyle name="Nota 9" xfId="3491"/>
    <cellStyle name="Percent" xfId="3720"/>
    <cellStyle name="Percent [2]" xfId="542"/>
    <cellStyle name="Percent 2" xfId="3492"/>
    <cellStyle name="Percent 2 2" xfId="3493"/>
    <cellStyle name="Percent 2 3" xfId="3494"/>
    <cellStyle name="Percentual" xfId="1854"/>
    <cellStyle name="planilhas" xfId="454"/>
    <cellStyle name="planilhas 10" xfId="1855"/>
    <cellStyle name="planilhas 11" xfId="1856"/>
    <cellStyle name="planilhas 12" xfId="1857"/>
    <cellStyle name="planilhas 13" xfId="1858"/>
    <cellStyle name="planilhas 14" xfId="1859"/>
    <cellStyle name="planilhas 15" xfId="1860"/>
    <cellStyle name="planilhas 16" xfId="1861"/>
    <cellStyle name="planilhas 17" xfId="1862"/>
    <cellStyle name="planilhas 18" xfId="1863"/>
    <cellStyle name="planilhas 19" xfId="1864"/>
    <cellStyle name="planilhas 2" xfId="1865"/>
    <cellStyle name="planilhas 20" xfId="1866"/>
    <cellStyle name="planilhas 21" xfId="1867"/>
    <cellStyle name="planilhas 22" xfId="1868"/>
    <cellStyle name="planilhas 23" xfId="1869"/>
    <cellStyle name="planilhas 3" xfId="1870"/>
    <cellStyle name="planilhas 4" xfId="1871"/>
    <cellStyle name="planilhas 5" xfId="1872"/>
    <cellStyle name="planilhas 6" xfId="1873"/>
    <cellStyle name="planilhas 7" xfId="1874"/>
    <cellStyle name="planilhas 8" xfId="1875"/>
    <cellStyle name="planilhas 9" xfId="1876"/>
    <cellStyle name="Ponto" xfId="1877"/>
    <cellStyle name="Porcentagem" xfId="3721" builtinId="5"/>
    <cellStyle name="Porcentagem 10" xfId="551"/>
    <cellStyle name="Porcentagem 11" xfId="1878"/>
    <cellStyle name="Porcentagem 12" xfId="1879"/>
    <cellStyle name="Porcentagem 13" xfId="2875"/>
    <cellStyle name="Porcentagem 14" xfId="3711"/>
    <cellStyle name="Porcentagem 2" xfId="262"/>
    <cellStyle name="Porcentagem 2 2" xfId="6"/>
    <cellStyle name="Porcentagem 2 2 2" xfId="263"/>
    <cellStyle name="Porcentagem 2 2 2 2" xfId="1880"/>
    <cellStyle name="Porcentagem 2 2 3" xfId="399"/>
    <cellStyle name="Porcentagem 2 2 3 2" xfId="3495"/>
    <cellStyle name="Porcentagem 2 2 4" xfId="405"/>
    <cellStyle name="Porcentagem 2 3" xfId="264"/>
    <cellStyle name="Porcentagem 2 3 2" xfId="1881"/>
    <cellStyle name="Porcentagem 2 4" xfId="1882"/>
    <cellStyle name="Porcentagem 2 5" xfId="471"/>
    <cellStyle name="Porcentagem 3" xfId="265"/>
    <cellStyle name="Porcentagem 3 10" xfId="1884"/>
    <cellStyle name="Porcentagem 3 11" xfId="1885"/>
    <cellStyle name="Porcentagem 3 12" xfId="1886"/>
    <cellStyle name="Porcentagem 3 13" xfId="1887"/>
    <cellStyle name="Porcentagem 3 14" xfId="1883"/>
    <cellStyle name="Porcentagem 3 2" xfId="1888"/>
    <cellStyle name="Porcentagem 3 2 2" xfId="1889"/>
    <cellStyle name="Porcentagem 3 2 2 2" xfId="3496"/>
    <cellStyle name="Porcentagem 3 2 2 3" xfId="3497"/>
    <cellStyle name="Porcentagem 3 2 3" xfId="3498"/>
    <cellStyle name="Porcentagem 3 2 4" xfId="3499"/>
    <cellStyle name="Porcentagem 3 3" xfId="1890"/>
    <cellStyle name="Porcentagem 3 3 2" xfId="3500"/>
    <cellStyle name="Porcentagem 3 3 3" xfId="3501"/>
    <cellStyle name="Porcentagem 3 4" xfId="1891"/>
    <cellStyle name="Porcentagem 3 5" xfId="1892"/>
    <cellStyle name="Porcentagem 3 6" xfId="1893"/>
    <cellStyle name="Porcentagem 3 7" xfId="1894"/>
    <cellStyle name="Porcentagem 3 8" xfId="1895"/>
    <cellStyle name="Porcentagem 3 9" xfId="1896"/>
    <cellStyle name="Porcentagem 4" xfId="261"/>
    <cellStyle name="Porcentagem 4 10" xfId="1898"/>
    <cellStyle name="Porcentagem 4 11" xfId="1899"/>
    <cellStyle name="Porcentagem 4 12" xfId="1897"/>
    <cellStyle name="Porcentagem 4 2" xfId="1900"/>
    <cellStyle name="Porcentagem 4 3" xfId="1901"/>
    <cellStyle name="Porcentagem 4 4" xfId="1902"/>
    <cellStyle name="Porcentagem 4 5" xfId="1903"/>
    <cellStyle name="Porcentagem 4 6" xfId="1904"/>
    <cellStyle name="Porcentagem 4 7" xfId="1905"/>
    <cellStyle name="Porcentagem 4 8" xfId="1906"/>
    <cellStyle name="Porcentagem 4 9" xfId="1907"/>
    <cellStyle name="Porcentagem 5" xfId="1908"/>
    <cellStyle name="Porcentagem 5 10" xfId="1909"/>
    <cellStyle name="Porcentagem 5 11" xfId="1910"/>
    <cellStyle name="Porcentagem 5 2" xfId="1911"/>
    <cellStyle name="Porcentagem 5 3" xfId="1912"/>
    <cellStyle name="Porcentagem 5 4" xfId="1913"/>
    <cellStyle name="Porcentagem 5 5" xfId="1914"/>
    <cellStyle name="Porcentagem 5 6" xfId="1915"/>
    <cellStyle name="Porcentagem 5 7" xfId="1916"/>
    <cellStyle name="Porcentagem 5 8" xfId="1917"/>
    <cellStyle name="Porcentagem 5 9" xfId="1918"/>
    <cellStyle name="Porcentagem 6" xfId="1919"/>
    <cellStyle name="Porcentagem 6 2" xfId="3502"/>
    <cellStyle name="Porcentagem 7" xfId="1920"/>
    <cellStyle name="Porcentagem 8" xfId="1921"/>
    <cellStyle name="Porcentagem 8 2" xfId="3503"/>
    <cellStyle name="Porcentagem 9" xfId="1922"/>
    <cellStyle name="QUILÔMETRO_2" xfId="3504"/>
    <cellStyle name="Saída 10" xfId="3505"/>
    <cellStyle name="Saída 2" xfId="482"/>
    <cellStyle name="Saída 2 10" xfId="3506"/>
    <cellStyle name="Saída 2 11" xfId="3507"/>
    <cellStyle name="Saída 2 2" xfId="1923"/>
    <cellStyle name="Saída 2 2 2" xfId="3508"/>
    <cellStyle name="Saída 2 2 3" xfId="3509"/>
    <cellStyle name="Saída 2 3" xfId="3510"/>
    <cellStyle name="Saída 2 4" xfId="3511"/>
    <cellStyle name="Saída 2 5" xfId="3512"/>
    <cellStyle name="Saída 2 6" xfId="3513"/>
    <cellStyle name="Saída 2 7" xfId="3514"/>
    <cellStyle name="Saída 2 8" xfId="3515"/>
    <cellStyle name="Saída 2 9" xfId="3516"/>
    <cellStyle name="Saída 3" xfId="1924"/>
    <cellStyle name="Saída 4" xfId="455"/>
    <cellStyle name="Saída 5" xfId="3517"/>
    <cellStyle name="Saída 6" xfId="3518"/>
    <cellStyle name="Saída 7" xfId="3519"/>
    <cellStyle name="Saída 8" xfId="3520"/>
    <cellStyle name="Saída 9" xfId="3521"/>
    <cellStyle name="Separador de m" xfId="3522"/>
    <cellStyle name="Separador de milhares" xfId="2" builtinId="3"/>
    <cellStyle name="Separador de milhares 10" xfId="266"/>
    <cellStyle name="Separador de milhares 10 2" xfId="2876"/>
    <cellStyle name="Separador de milhares 10 3" xfId="3523"/>
    <cellStyle name="Separador de milhares 10 4" xfId="3701"/>
    <cellStyle name="Separador de milhares 11" xfId="267"/>
    <cellStyle name="Separador de milhares 11 2" xfId="3524"/>
    <cellStyle name="Separador de milhares 12" xfId="3525"/>
    <cellStyle name="Separador de milhares 13" xfId="3526"/>
    <cellStyle name="Separador de milhares 2" xfId="268"/>
    <cellStyle name="Separador de milhares 2 10" xfId="269"/>
    <cellStyle name="Separador de milhares 2 10 2" xfId="2877"/>
    <cellStyle name="Separador de milhares 2 11" xfId="270"/>
    <cellStyle name="Separador de milhares 2 11 2" xfId="2878"/>
    <cellStyle name="Separador de milhares 2 12" xfId="271"/>
    <cellStyle name="Separador de milhares 2 12 2" xfId="2879"/>
    <cellStyle name="Separador de milhares 2 13" xfId="272"/>
    <cellStyle name="Separador de milhares 2 13 2" xfId="2880"/>
    <cellStyle name="Separador de milhares 2 14" xfId="273"/>
    <cellStyle name="Separador de milhares 2 14 2" xfId="2881"/>
    <cellStyle name="Separador de milhares 2 15" xfId="274"/>
    <cellStyle name="Separador de milhares 2 15 2" xfId="2882"/>
    <cellStyle name="Separador de milhares 2 16" xfId="275"/>
    <cellStyle name="Separador de milhares 2 16 2" xfId="2883"/>
    <cellStyle name="Separador de milhares 2 17" xfId="276"/>
    <cellStyle name="Separador de milhares 2 17 2" xfId="2884"/>
    <cellStyle name="Separador de milhares 2 18" xfId="277"/>
    <cellStyle name="Separador de milhares 2 18 2" xfId="2885"/>
    <cellStyle name="Separador de milhares 2 19" xfId="278"/>
    <cellStyle name="Separador de milhares 2 19 2" xfId="2886"/>
    <cellStyle name="Separador de milhares 2 2" xfId="279"/>
    <cellStyle name="Separador de milhares 2 2 10" xfId="1925"/>
    <cellStyle name="Separador de milhares 2 2 10 2" xfId="2887"/>
    <cellStyle name="Separador de milhares 2 2 11" xfId="1926"/>
    <cellStyle name="Separador de milhares 2 2 11 2" xfId="2888"/>
    <cellStyle name="Separador de milhares 2 2 12" xfId="1927"/>
    <cellStyle name="Separador de milhares 2 2 13" xfId="2889"/>
    <cellStyle name="Separador de milhares 2 2 13 2" xfId="3527"/>
    <cellStyle name="Separador de milhares 2 2 2" xfId="1928"/>
    <cellStyle name="Separador de milhares 2 2 2 10" xfId="3528"/>
    <cellStyle name="Separador de milhares 2 2 2 11" xfId="3529"/>
    <cellStyle name="Separador de milhares 2 2 2 2" xfId="2890"/>
    <cellStyle name="Separador de milhares 2 2 2 2 2" xfId="3531"/>
    <cellStyle name="Separador de milhares 2 2 2 2 3" xfId="3532"/>
    <cellStyle name="Separador de milhares 2 2 2 2 4" xfId="3530"/>
    <cellStyle name="Separador de milhares 2 2 2 3" xfId="3533"/>
    <cellStyle name="Separador de milhares 2 2 2 4" xfId="3534"/>
    <cellStyle name="Separador de milhares 2 2 2 5" xfId="3535"/>
    <cellStyle name="Separador de milhares 2 2 2 6" xfId="3536"/>
    <cellStyle name="Separador de milhares 2 2 2 7" xfId="3537"/>
    <cellStyle name="Separador de milhares 2 2 2 8" xfId="3538"/>
    <cellStyle name="Separador de milhares 2 2 2 9" xfId="3539"/>
    <cellStyle name="Separador de milhares 2 2 3" xfId="10"/>
    <cellStyle name="Separador de milhares 2 2 3 2" xfId="2891"/>
    <cellStyle name="Separador de milhares 2 2 3 2 2" xfId="3540"/>
    <cellStyle name="Separador de milhares 2 2 3 3" xfId="3541"/>
    <cellStyle name="Separador de milhares 2 2 4" xfId="1929"/>
    <cellStyle name="Separador de milhares 2 2 4 2" xfId="2892"/>
    <cellStyle name="Separador de milhares 2 2 4 2 2" xfId="3542"/>
    <cellStyle name="Separador de milhares 2 2 4 3" xfId="3543"/>
    <cellStyle name="Separador de milhares 2 2 5" xfId="1930"/>
    <cellStyle name="Separador de milhares 2 2 5 2" xfId="2893"/>
    <cellStyle name="Separador de milhares 2 2 5 2 2" xfId="3544"/>
    <cellStyle name="Separador de milhares 2 2 5 3" xfId="3545"/>
    <cellStyle name="Separador de milhares 2 2 6" xfId="1931"/>
    <cellStyle name="Separador de milhares 2 2 6 2" xfId="2894"/>
    <cellStyle name="Separador de milhares 2 2 7" xfId="1932"/>
    <cellStyle name="Separador de milhares 2 2 7 2" xfId="2895"/>
    <cellStyle name="Separador de milhares 2 2 8" xfId="1933"/>
    <cellStyle name="Separador de milhares 2 2 8 2" xfId="2896"/>
    <cellStyle name="Separador de milhares 2 2 9" xfId="1934"/>
    <cellStyle name="Separador de milhares 2 2 9 2" xfId="2897"/>
    <cellStyle name="Separador de milhares 2 20" xfId="280"/>
    <cellStyle name="Separador de milhares 2 20 2" xfId="2898"/>
    <cellStyle name="Separador de milhares 2 21" xfId="281"/>
    <cellStyle name="Separador de milhares 2 21 2" xfId="2899"/>
    <cellStyle name="Separador de milhares 2 22" xfId="1935"/>
    <cellStyle name="Separador de milhares 2 23" xfId="2900"/>
    <cellStyle name="Separador de milhares 2 24" xfId="456"/>
    <cellStyle name="Separador de milhares 2 3" xfId="282"/>
    <cellStyle name="Separador de milhares 2 3 10" xfId="1937"/>
    <cellStyle name="Separador de milhares 2 3 10 2" xfId="2901"/>
    <cellStyle name="Separador de milhares 2 3 11" xfId="1936"/>
    <cellStyle name="Separador de milhares 2 3 2" xfId="1938"/>
    <cellStyle name="Separador de milhares 2 3 2 2" xfId="2902"/>
    <cellStyle name="Separador de milhares 2 3 3" xfId="1939"/>
    <cellStyle name="Separador de milhares 2 3 3 2" xfId="2903"/>
    <cellStyle name="Separador de milhares 2 3 4" xfId="1940"/>
    <cellStyle name="Separador de milhares 2 3 4 2" xfId="2904"/>
    <cellStyle name="Separador de milhares 2 3 5" xfId="1941"/>
    <cellStyle name="Separador de milhares 2 3 5 2" xfId="2905"/>
    <cellStyle name="Separador de milhares 2 3 6" xfId="1942"/>
    <cellStyle name="Separador de milhares 2 3 6 2" xfId="2906"/>
    <cellStyle name="Separador de milhares 2 3 7" xfId="1943"/>
    <cellStyle name="Separador de milhares 2 3 7 2" xfId="2907"/>
    <cellStyle name="Separador de milhares 2 3 8" xfId="1944"/>
    <cellStyle name="Separador de milhares 2 3 8 2" xfId="2908"/>
    <cellStyle name="Separador de milhares 2 3 9" xfId="1945"/>
    <cellStyle name="Separador de milhares 2 3 9 2" xfId="2909"/>
    <cellStyle name="Separador de milhares 2 4" xfId="4"/>
    <cellStyle name="Separador de milhares 2 4 2" xfId="283"/>
    <cellStyle name="Separador de milhares 2 4 2 2" xfId="2910"/>
    <cellStyle name="Separador de milhares 2 4 3" xfId="3546"/>
    <cellStyle name="Separador de milhares 2 5" xfId="284"/>
    <cellStyle name="Separador de milhares 2 5 2" xfId="2911"/>
    <cellStyle name="Separador de milhares 2 6" xfId="285"/>
    <cellStyle name="Separador de milhares 2 6 2" xfId="2912"/>
    <cellStyle name="Separador de milhares 2 7" xfId="286"/>
    <cellStyle name="Separador de milhares 2 7 2" xfId="2913"/>
    <cellStyle name="Separador de milhares 2 8" xfId="287"/>
    <cellStyle name="Separador de milhares 2 8 2" xfId="2914"/>
    <cellStyle name="Separador de milhares 2 9" xfId="288"/>
    <cellStyle name="Separador de milhares 2 9 2" xfId="2915"/>
    <cellStyle name="Separador de milhares 29" xfId="289"/>
    <cellStyle name="Separador de milhares 3" xfId="290"/>
    <cellStyle name="Separador de milhares 3 10" xfId="291"/>
    <cellStyle name="Separador de milhares 3 10 2" xfId="1946"/>
    <cellStyle name="Separador de milhares 3 11" xfId="292"/>
    <cellStyle name="Separador de milhares 3 11 2" xfId="1947"/>
    <cellStyle name="Separador de milhares 3 12" xfId="293"/>
    <cellStyle name="Separador de milhares 3 12 2" xfId="2916"/>
    <cellStyle name="Separador de milhares 3 12 3" xfId="1948"/>
    <cellStyle name="Separador de milhares 3 13" xfId="294"/>
    <cellStyle name="Separador de milhares 3 13 2" xfId="2917"/>
    <cellStyle name="Separador de milhares 3 14" xfId="295"/>
    <cellStyle name="Separador de milhares 3 15" xfId="296"/>
    <cellStyle name="Separador de milhares 3 16" xfId="297"/>
    <cellStyle name="Separador de milhares 3 17" xfId="298"/>
    <cellStyle name="Separador de milhares 3 18" xfId="299"/>
    <cellStyle name="Separador de milhares 3 19" xfId="300"/>
    <cellStyle name="Separador de milhares 3 2" xfId="301"/>
    <cellStyle name="Separador de milhares 3 2 2" xfId="1949"/>
    <cellStyle name="Separador de milhares 3 2 2 2" xfId="3548"/>
    <cellStyle name="Separador de milhares 3 2 2 3" xfId="3549"/>
    <cellStyle name="Separador de milhares 3 2 2 4" xfId="3547"/>
    <cellStyle name="Separador de milhares 3 2 3" xfId="3550"/>
    <cellStyle name="Separador de milhares 3 2 4" xfId="3551"/>
    <cellStyle name="Separador de milhares 3 20" xfId="302"/>
    <cellStyle name="Separador de milhares 3 3" xfId="303"/>
    <cellStyle name="Separador de milhares 3 3 2" xfId="1950"/>
    <cellStyle name="Separador de milhares 3 3 2 2" xfId="3552"/>
    <cellStyle name="Separador de milhares 3 3 3" xfId="3553"/>
    <cellStyle name="Separador de milhares 3 4" xfId="304"/>
    <cellStyle name="Separador de milhares 3 4 2" xfId="1951"/>
    <cellStyle name="Separador de milhares 3 5" xfId="305"/>
    <cellStyle name="Separador de milhares 3 5 2" xfId="1952"/>
    <cellStyle name="Separador de milhares 3 6" xfId="306"/>
    <cellStyle name="Separador de milhares 3 6 2" xfId="1953"/>
    <cellStyle name="Separador de milhares 3 7" xfId="307"/>
    <cellStyle name="Separador de milhares 3 7 2" xfId="1954"/>
    <cellStyle name="Separador de milhares 3 8" xfId="308"/>
    <cellStyle name="Separador de milhares 3 8 2" xfId="1955"/>
    <cellStyle name="Separador de milhares 3 9" xfId="309"/>
    <cellStyle name="Separador de milhares 3 9 2" xfId="1956"/>
    <cellStyle name="Separador de milhares 4" xfId="310"/>
    <cellStyle name="Separador de milhares 4 10" xfId="311"/>
    <cellStyle name="Separador de milhares 4 11" xfId="312"/>
    <cellStyle name="Separador de milhares 4 12" xfId="313"/>
    <cellStyle name="Separador de milhares 4 13" xfId="314"/>
    <cellStyle name="Separador de milhares 4 14" xfId="315"/>
    <cellStyle name="Separador de milhares 4 15" xfId="316"/>
    <cellStyle name="Separador de milhares 4 16" xfId="317"/>
    <cellStyle name="Separador de milhares 4 17" xfId="318"/>
    <cellStyle name="Separador de milhares 4 18" xfId="319"/>
    <cellStyle name="Separador de milhares 4 19" xfId="320"/>
    <cellStyle name="Separador de milhares 4 2" xfId="321"/>
    <cellStyle name="Separador de milhares 4 2 2" xfId="3555"/>
    <cellStyle name="Separador de milhares 4 2 3" xfId="3556"/>
    <cellStyle name="Separador de milhares 4 2 4" xfId="3554"/>
    <cellStyle name="Separador de milhares 4 20" xfId="322"/>
    <cellStyle name="Separador de milhares 4 21" xfId="543"/>
    <cellStyle name="Separador de milhares 4 3" xfId="323"/>
    <cellStyle name="Separador de milhares 4 3 2" xfId="3557"/>
    <cellStyle name="Separador de milhares 4 4" xfId="324"/>
    <cellStyle name="Separador de milhares 4 4 2" xfId="3558"/>
    <cellStyle name="Separador de milhares 4 5" xfId="325"/>
    <cellStyle name="Separador de milhares 4 6" xfId="326"/>
    <cellStyle name="Separador de milhares 4 7" xfId="327"/>
    <cellStyle name="Separador de milhares 4 8" xfId="328"/>
    <cellStyle name="Separador de milhares 4 9" xfId="329"/>
    <cellStyle name="Separador de milhares 5" xfId="330"/>
    <cellStyle name="Separador de milhares 5 10" xfId="331"/>
    <cellStyle name="Separador de milhares 5 11" xfId="332"/>
    <cellStyle name="Separador de milhares 5 12" xfId="333"/>
    <cellStyle name="Separador de milhares 5 13" xfId="334"/>
    <cellStyle name="Separador de milhares 5 14" xfId="335"/>
    <cellStyle name="Separador de milhares 5 15" xfId="336"/>
    <cellStyle name="Separador de milhares 5 16" xfId="337"/>
    <cellStyle name="Separador de milhares 5 17" xfId="338"/>
    <cellStyle name="Separador de milhares 5 18" xfId="339"/>
    <cellStyle name="Separador de milhares 5 19" xfId="340"/>
    <cellStyle name="Separador de milhares 5 2" xfId="341"/>
    <cellStyle name="Separador de milhares 5 2 2" xfId="2918"/>
    <cellStyle name="Separador de milhares 5 2 2 2" xfId="3560"/>
    <cellStyle name="Separador de milhares 5 2 3" xfId="3561"/>
    <cellStyle name="Separador de milhares 5 2 4" xfId="3559"/>
    <cellStyle name="Separador de milhares 5 20" xfId="342"/>
    <cellStyle name="Separador de milhares 5 21" xfId="544"/>
    <cellStyle name="Separador de milhares 5 3" xfId="343"/>
    <cellStyle name="Separador de milhares 5 3 2" xfId="3562"/>
    <cellStyle name="Separador de milhares 5 4" xfId="344"/>
    <cellStyle name="Separador de milhares 5 4 2" xfId="3563"/>
    <cellStyle name="Separador de milhares 5 5" xfId="345"/>
    <cellStyle name="Separador de milhares 5 6" xfId="346"/>
    <cellStyle name="Separador de milhares 5 7" xfId="347"/>
    <cellStyle name="Separador de milhares 5 8" xfId="348"/>
    <cellStyle name="Separador de milhares 5 9" xfId="349"/>
    <cellStyle name="Separador de milhares 6" xfId="350"/>
    <cellStyle name="Separador de milhares 6 10" xfId="351"/>
    <cellStyle name="Separador de milhares 6 11" xfId="352"/>
    <cellStyle name="Separador de milhares 6 12" xfId="353"/>
    <cellStyle name="Separador de milhares 6 13" xfId="354"/>
    <cellStyle name="Separador de milhares 6 14" xfId="355"/>
    <cellStyle name="Separador de milhares 6 15" xfId="356"/>
    <cellStyle name="Separador de milhares 6 16" xfId="357"/>
    <cellStyle name="Separador de milhares 6 17" xfId="358"/>
    <cellStyle name="Separador de milhares 6 18" xfId="359"/>
    <cellStyle name="Separador de milhares 6 19" xfId="360"/>
    <cellStyle name="Separador de milhares 6 2" xfId="361"/>
    <cellStyle name="Separador de milhares 6 2 2" xfId="3565"/>
    <cellStyle name="Separador de milhares 6 2 3" xfId="3564"/>
    <cellStyle name="Separador de milhares 6 20" xfId="362"/>
    <cellStyle name="Separador de milhares 6 21" xfId="545"/>
    <cellStyle name="Separador de milhares 6 3" xfId="363"/>
    <cellStyle name="Separador de milhares 6 4" xfId="364"/>
    <cellStyle name="Separador de milhares 6 5" xfId="365"/>
    <cellStyle name="Separador de milhares 6 6" xfId="366"/>
    <cellStyle name="Separador de milhares 6 7" xfId="367"/>
    <cellStyle name="Separador de milhares 6 8" xfId="368"/>
    <cellStyle name="Separador de milhares 6 9" xfId="369"/>
    <cellStyle name="Separador de milhares 7" xfId="370"/>
    <cellStyle name="Separador de milhares 7 10" xfId="371"/>
    <cellStyle name="Separador de milhares 7 11" xfId="372"/>
    <cellStyle name="Separador de milhares 7 12" xfId="373"/>
    <cellStyle name="Separador de milhares 7 13" xfId="374"/>
    <cellStyle name="Separador de milhares 7 14" xfId="375"/>
    <cellStyle name="Separador de milhares 7 15" xfId="376"/>
    <cellStyle name="Separador de milhares 7 16" xfId="377"/>
    <cellStyle name="Separador de milhares 7 17" xfId="378"/>
    <cellStyle name="Separador de milhares 7 18" xfId="379"/>
    <cellStyle name="Separador de milhares 7 19" xfId="380"/>
    <cellStyle name="Separador de milhares 7 2" xfId="381"/>
    <cellStyle name="Separador de milhares 7 20" xfId="382"/>
    <cellStyle name="Separador de milhares 7 21" xfId="546"/>
    <cellStyle name="Separador de milhares 7 3" xfId="383"/>
    <cellStyle name="Separador de milhares 7 4" xfId="384"/>
    <cellStyle name="Separador de milhares 7 5" xfId="385"/>
    <cellStyle name="Separador de milhares 7 6" xfId="386"/>
    <cellStyle name="Separador de milhares 7 7" xfId="387"/>
    <cellStyle name="Separador de milhares 7 8" xfId="388"/>
    <cellStyle name="Separador de milhares 7 9" xfId="389"/>
    <cellStyle name="Separador de milhares 8" xfId="390"/>
    <cellStyle name="Separador de milhares 8 2" xfId="547"/>
    <cellStyle name="Separador de milhares 8 2 2" xfId="3566"/>
    <cellStyle name="Separador de milhares 9" xfId="391"/>
    <cellStyle name="Separador de milhares 9 2" xfId="392"/>
    <cellStyle name="Separador de milhares 9 2 2" xfId="400"/>
    <cellStyle name="Separador de milhares 9 2 3" xfId="406"/>
    <cellStyle name="Separador de milhares 9 2 4" xfId="3567"/>
    <cellStyle name="subhead" xfId="548"/>
    <cellStyle name="Subtitulo" xfId="3568"/>
    <cellStyle name="Subtitulo 2" xfId="3569"/>
    <cellStyle name="Texto de Aviso 10" xfId="3570"/>
    <cellStyle name="Texto de Aviso 2" xfId="486"/>
    <cellStyle name="Texto de Aviso 2 10" xfId="3571"/>
    <cellStyle name="Texto de Aviso 2 11" xfId="3572"/>
    <cellStyle name="Texto de Aviso 2 2" xfId="3573"/>
    <cellStyle name="Texto de Aviso 2 2 2" xfId="3574"/>
    <cellStyle name="Texto de Aviso 2 2 3" xfId="3575"/>
    <cellStyle name="Texto de Aviso 2 3" xfId="3576"/>
    <cellStyle name="Texto de Aviso 2 4" xfId="3577"/>
    <cellStyle name="Texto de Aviso 2 5" xfId="3578"/>
    <cellStyle name="Texto de Aviso 2 6" xfId="3579"/>
    <cellStyle name="Texto de Aviso 2 7" xfId="3580"/>
    <cellStyle name="Texto de Aviso 2 8" xfId="3581"/>
    <cellStyle name="Texto de Aviso 2 9" xfId="3582"/>
    <cellStyle name="Texto de Aviso 3" xfId="1957"/>
    <cellStyle name="Texto de Aviso 4" xfId="457"/>
    <cellStyle name="Texto de Aviso 5" xfId="3583"/>
    <cellStyle name="Texto de Aviso 6" xfId="3584"/>
    <cellStyle name="Texto de Aviso 7" xfId="3585"/>
    <cellStyle name="Texto de Aviso 8" xfId="3586"/>
    <cellStyle name="Texto de Aviso 9" xfId="3587"/>
    <cellStyle name="Texto Explicativo 10" xfId="3588"/>
    <cellStyle name="Texto Explicativo 2" xfId="488"/>
    <cellStyle name="Texto Explicativo 2 10" xfId="3589"/>
    <cellStyle name="Texto Explicativo 2 11" xfId="3590"/>
    <cellStyle name="Texto Explicativo 2 2" xfId="3591"/>
    <cellStyle name="Texto Explicativo 2 2 2" xfId="3592"/>
    <cellStyle name="Texto Explicativo 2 2 3" xfId="3593"/>
    <cellStyle name="Texto Explicativo 2 3" xfId="3594"/>
    <cellStyle name="Texto Explicativo 2 4" xfId="3595"/>
    <cellStyle name="Texto Explicativo 2 5" xfId="3596"/>
    <cellStyle name="Texto Explicativo 2 6" xfId="3597"/>
    <cellStyle name="Texto Explicativo 2 7" xfId="3598"/>
    <cellStyle name="Texto Explicativo 2 8" xfId="3599"/>
    <cellStyle name="Texto Explicativo 2 9" xfId="3600"/>
    <cellStyle name="Texto Explicativo 3" xfId="1958"/>
    <cellStyle name="Texto Explicativo 4" xfId="458"/>
    <cellStyle name="Texto Explicativo 5" xfId="3601"/>
    <cellStyle name="Texto Explicativo 6" xfId="3602"/>
    <cellStyle name="Texto Explicativo 7" xfId="3603"/>
    <cellStyle name="Texto Explicativo 8" xfId="3604"/>
    <cellStyle name="Texto Explicativo 9" xfId="3605"/>
    <cellStyle name="Titulo" xfId="3606"/>
    <cellStyle name="Título 1 1" xfId="461"/>
    <cellStyle name="Título 1 1 1" xfId="1959"/>
    <cellStyle name="Título 1 1 10" xfId="1960"/>
    <cellStyle name="Título 1 1 11" xfId="1961"/>
    <cellStyle name="Título 1 1 12" xfId="1962"/>
    <cellStyle name="Título 1 1 2" xfId="1963"/>
    <cellStyle name="Título 1 1 3" xfId="1964"/>
    <cellStyle name="Título 1 1 4" xfId="1965"/>
    <cellStyle name="Título 1 1 5" xfId="1966"/>
    <cellStyle name="Título 1 1 6" xfId="1967"/>
    <cellStyle name="Título 1 1 7" xfId="1968"/>
    <cellStyle name="Título 1 1 8" xfId="1969"/>
    <cellStyle name="Título 1 1 9" xfId="1970"/>
    <cellStyle name="Título 1 10" xfId="3607"/>
    <cellStyle name="Título 1 2" xfId="474"/>
    <cellStyle name="Título 1 3" xfId="1971"/>
    <cellStyle name="Título 1 4" xfId="3608"/>
    <cellStyle name="Título 1 5" xfId="3609"/>
    <cellStyle name="Título 1 6" xfId="3610"/>
    <cellStyle name="Título 1 7" xfId="3611"/>
    <cellStyle name="Título 1 8" xfId="3612"/>
    <cellStyle name="Título 1 9" xfId="3613"/>
    <cellStyle name="Título 10" xfId="3614"/>
    <cellStyle name="Título 11" xfId="3615"/>
    <cellStyle name="Título 12" xfId="3616"/>
    <cellStyle name="Título 13" xfId="3617"/>
    <cellStyle name="Título 2 10" xfId="3618"/>
    <cellStyle name="Título 2 2" xfId="475"/>
    <cellStyle name="Título 2 3" xfId="1972"/>
    <cellStyle name="Título 2 4" xfId="3619"/>
    <cellStyle name="Título 2 5" xfId="3620"/>
    <cellStyle name="Título 2 6" xfId="3621"/>
    <cellStyle name="Título 2 7" xfId="3622"/>
    <cellStyle name="Título 2 8" xfId="3623"/>
    <cellStyle name="Título 2 9" xfId="3624"/>
    <cellStyle name="Título 3 10" xfId="3625"/>
    <cellStyle name="Título 3 2" xfId="476"/>
    <cellStyle name="Título 3 2 10" xfId="3626"/>
    <cellStyle name="Título 3 2 11" xfId="3627"/>
    <cellStyle name="Título 3 2 2" xfId="3628"/>
    <cellStyle name="Título 3 2 2 2" xfId="3629"/>
    <cellStyle name="Título 3 2 2 3" xfId="3630"/>
    <cellStyle name="Título 3 2 3" xfId="3631"/>
    <cellStyle name="Título 3 2 4" xfId="3632"/>
    <cellStyle name="Título 3 2 5" xfId="3633"/>
    <cellStyle name="Título 3 2 6" xfId="3634"/>
    <cellStyle name="Título 3 2 7" xfId="3635"/>
    <cellStyle name="Título 3 2 8" xfId="3636"/>
    <cellStyle name="Título 3 2 9" xfId="3637"/>
    <cellStyle name="Título 3 3" xfId="1973"/>
    <cellStyle name="Título 3 4" xfId="3638"/>
    <cellStyle name="Título 3 5" xfId="3639"/>
    <cellStyle name="Título 3 6" xfId="3640"/>
    <cellStyle name="Título 3 7" xfId="3641"/>
    <cellStyle name="Título 3 8" xfId="3642"/>
    <cellStyle name="Título 3 9" xfId="3643"/>
    <cellStyle name="Título 4 10" xfId="3644"/>
    <cellStyle name="Título 4 2" xfId="477"/>
    <cellStyle name="Título 4 2 10" xfId="3645"/>
    <cellStyle name="Título 4 2 11" xfId="3646"/>
    <cellStyle name="Título 4 2 2" xfId="3647"/>
    <cellStyle name="Título 4 2 2 2" xfId="3648"/>
    <cellStyle name="Título 4 2 2 3" xfId="3649"/>
    <cellStyle name="Título 4 2 3" xfId="3650"/>
    <cellStyle name="Título 4 2 4" xfId="3651"/>
    <cellStyle name="Título 4 2 5" xfId="3652"/>
    <cellStyle name="Título 4 2 6" xfId="3653"/>
    <cellStyle name="Título 4 2 7" xfId="3654"/>
    <cellStyle name="Título 4 2 8" xfId="3655"/>
    <cellStyle name="Título 4 2 9" xfId="3656"/>
    <cellStyle name="Título 4 3" xfId="1974"/>
    <cellStyle name="Título 4 4" xfId="3657"/>
    <cellStyle name="Título 4 5" xfId="3658"/>
    <cellStyle name="Título 4 6" xfId="3659"/>
    <cellStyle name="Título 4 7" xfId="3660"/>
    <cellStyle name="Título 4 8" xfId="3661"/>
    <cellStyle name="Título 4 9" xfId="3662"/>
    <cellStyle name="Título 5" xfId="473"/>
    <cellStyle name="Título 5 10" xfId="3663"/>
    <cellStyle name="Título 5 11" xfId="3664"/>
    <cellStyle name="Título 5 2" xfId="3665"/>
    <cellStyle name="Título 5 2 2" xfId="3666"/>
    <cellStyle name="Título 5 2 3" xfId="3667"/>
    <cellStyle name="Título 5 3" xfId="3668"/>
    <cellStyle name="Título 5 4" xfId="3669"/>
    <cellStyle name="Título 5 5" xfId="3670"/>
    <cellStyle name="Título 5 6" xfId="3671"/>
    <cellStyle name="Título 5 7" xfId="3672"/>
    <cellStyle name="Título 5 8" xfId="3673"/>
    <cellStyle name="Título 5 9" xfId="3674"/>
    <cellStyle name="Título 6" xfId="459"/>
    <cellStyle name="Título 7" xfId="3675"/>
    <cellStyle name="Título 8" xfId="3676"/>
    <cellStyle name="Título 9" xfId="3677"/>
    <cellStyle name="Titulo1" xfId="1975"/>
    <cellStyle name="Titulo2" xfId="1976"/>
    <cellStyle name="titulos" xfId="3678"/>
    <cellStyle name="TONELADA_2" xfId="3679"/>
    <cellStyle name="Total 10" xfId="3680"/>
    <cellStyle name="Total 2" xfId="489"/>
    <cellStyle name="Total 2 2" xfId="1977"/>
    <cellStyle name="Total 3" xfId="1978"/>
    <cellStyle name="Total 4" xfId="465"/>
    <cellStyle name="Total 4 2" xfId="3681"/>
    <cellStyle name="Total 5" xfId="3682"/>
    <cellStyle name="Total 6" xfId="3683"/>
    <cellStyle name="Total 7" xfId="3684"/>
    <cellStyle name="Total 8" xfId="3685"/>
    <cellStyle name="Total 9" xfId="3686"/>
    <cellStyle name="TXM_2" xfId="3687"/>
    <cellStyle name="UNIDADE" xfId="3688"/>
    <cellStyle name="Verificar Célula" xfId="1986"/>
    <cellStyle name="Vírgula 2" xfId="8"/>
    <cellStyle name="Vírgula 2 2" xfId="394"/>
    <cellStyle name="Vírgula 2 2 2" xfId="2919"/>
    <cellStyle name="Vírgula 2 2 3" xfId="1987"/>
    <cellStyle name="Vírgula 2 3" xfId="470"/>
    <cellStyle name="Vírgula 2 3 2" xfId="3689"/>
    <cellStyle name="Vírgula 2 4" xfId="3690"/>
    <cellStyle name="Vírgula 3" xfId="393"/>
    <cellStyle name="Vírgula 3 2" xfId="2920"/>
    <cellStyle name="Vírgula 3 2 2" xfId="3691"/>
    <cellStyle name="Vírgula 3 3" xfId="515"/>
    <cellStyle name="Vírgula 3 3 2" xfId="3692"/>
    <cellStyle name="Vírgula 4" xfId="1980"/>
    <cellStyle name="Vírgula 4 2" xfId="2921"/>
    <cellStyle name="Vírgula 4 2 2" xfId="3693"/>
    <cellStyle name="Vírgula 5" xfId="1990"/>
    <cellStyle name="Vírgula 5 2" xfId="2922"/>
    <cellStyle name="Vírgula 6" xfId="2923"/>
    <cellStyle name="Vírgula 6 2" xfId="3694"/>
    <cellStyle name="Vírgula 7" xfId="2702"/>
    <cellStyle name="Vírgula 8" xfId="3695"/>
    <cellStyle name="Vírgula0" xfId="3696"/>
    <cellStyle name="ZERO_2" xfId="3697"/>
  </cellStyles>
  <dxfs count="580">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externalLink" Target="externalLinks/externalLink17.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externalLink" Target="externalLinks/externalLink20.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41"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4"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 Id="rId5" Type="http://schemas.openxmlformats.org/officeDocument/2006/relationships/image" Target="../media/image23.png"/><Relationship Id="rId4"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478972</xdr:colOff>
      <xdr:row>0</xdr:row>
      <xdr:rowOff>21773</xdr:rowOff>
    </xdr:from>
    <xdr:to>
      <xdr:col>1</xdr:col>
      <xdr:colOff>634752</xdr:colOff>
      <xdr:row>2</xdr:row>
      <xdr:rowOff>215152</xdr:rowOff>
    </xdr:to>
    <xdr:pic>
      <xdr:nvPicPr>
        <xdr:cNvPr id="3" name="Imagem 3" descr="C:\Users\SESAPI\Desktop\brasao-governo-do-piaui2015.png">
          <a:extLst>
            <a:ext uri="{FF2B5EF4-FFF2-40B4-BE49-F238E27FC236}">
              <a16:creationId xmlns=""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78972" y="21773"/>
          <a:ext cx="801239" cy="69540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139700</xdr:colOff>
      <xdr:row>360</xdr:row>
      <xdr:rowOff>152400</xdr:rowOff>
    </xdr:from>
    <xdr:to>
      <xdr:col>13</xdr:col>
      <xdr:colOff>622300</xdr:colOff>
      <xdr:row>389</xdr:row>
      <xdr:rowOff>127000</xdr:rowOff>
    </xdr:to>
    <xdr:pic>
      <xdr:nvPicPr>
        <xdr:cNvPr id="2050" name="Picture 2">
          <a:extLst>
            <a:ext uri="{FF2B5EF4-FFF2-40B4-BE49-F238E27FC236}">
              <a16:creationId xmlns="" xmlns:a16="http://schemas.microsoft.com/office/drawing/2014/main" id="{00000000-0008-0000-1100-000002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9700" y="73304400"/>
          <a:ext cx="9232900" cy="5867400"/>
        </a:xfrm>
        <a:prstGeom prst="rect">
          <a:avLst/>
        </a:prstGeom>
        <a:noFill/>
        <a:ln w="1">
          <a:noFill/>
          <a:miter lim="800000"/>
          <a:headEnd/>
          <a:tailEnd type="none" w="med" len="med"/>
        </a:ln>
        <a:effectLst/>
      </xdr:spPr>
    </xdr:pic>
    <xdr:clientData/>
  </xdr:twoCellAnchor>
  <xdr:twoCellAnchor editAs="oneCell">
    <xdr:from>
      <xdr:col>0</xdr:col>
      <xdr:colOff>127000</xdr:colOff>
      <xdr:row>90</xdr:row>
      <xdr:rowOff>38100</xdr:rowOff>
    </xdr:from>
    <xdr:to>
      <xdr:col>13</xdr:col>
      <xdr:colOff>622300</xdr:colOff>
      <xdr:row>119</xdr:row>
      <xdr:rowOff>101600</xdr:rowOff>
    </xdr:to>
    <xdr:pic>
      <xdr:nvPicPr>
        <xdr:cNvPr id="5" name="Imagem 4">
          <a:extLst>
            <a:ext uri="{FF2B5EF4-FFF2-40B4-BE49-F238E27FC236}">
              <a16:creationId xmlns="" xmlns:a16="http://schemas.microsoft.com/office/drawing/2014/main" id="{00000000-0008-0000-1100-000005000000}"/>
            </a:ext>
          </a:extLst>
        </xdr:cNvPr>
        <xdr:cNvPicPr/>
      </xdr:nvPicPr>
      <xdr:blipFill>
        <a:blip xmlns:r="http://schemas.openxmlformats.org/officeDocument/2006/relationships" r:embed="rId2" cstate="print"/>
        <a:srcRect/>
        <a:stretch>
          <a:fillRect/>
        </a:stretch>
      </xdr:blipFill>
      <xdr:spPr bwMode="auto">
        <a:xfrm>
          <a:off x="127000" y="18326100"/>
          <a:ext cx="9245600" cy="5956300"/>
        </a:xfrm>
        <a:prstGeom prst="rect">
          <a:avLst/>
        </a:prstGeom>
        <a:noFill/>
        <a:ln w="9525">
          <a:noFill/>
          <a:miter lim="800000"/>
          <a:headEnd/>
          <a:tailEnd/>
        </a:ln>
      </xdr:spPr>
    </xdr:pic>
    <xdr:clientData/>
  </xdr:twoCellAnchor>
  <xdr:twoCellAnchor editAs="oneCell">
    <xdr:from>
      <xdr:col>0</xdr:col>
      <xdr:colOff>50800</xdr:colOff>
      <xdr:row>120</xdr:row>
      <xdr:rowOff>50800</xdr:rowOff>
    </xdr:from>
    <xdr:to>
      <xdr:col>13</xdr:col>
      <xdr:colOff>609600</xdr:colOff>
      <xdr:row>149</xdr:row>
      <xdr:rowOff>101600</xdr:rowOff>
    </xdr:to>
    <xdr:pic>
      <xdr:nvPicPr>
        <xdr:cNvPr id="2" name="Picture 1">
          <a:extLst>
            <a:ext uri="{FF2B5EF4-FFF2-40B4-BE49-F238E27FC236}">
              <a16:creationId xmlns=""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50800" y="24434800"/>
          <a:ext cx="9309100" cy="5943600"/>
        </a:xfrm>
        <a:prstGeom prst="rect">
          <a:avLst/>
        </a:prstGeom>
        <a:noFill/>
        <a:ln w="1">
          <a:noFill/>
          <a:miter lim="800000"/>
          <a:headEnd/>
          <a:tailEnd type="none" w="med" len="med"/>
        </a:ln>
        <a:effectLst/>
      </xdr:spPr>
    </xdr:pic>
    <xdr:clientData/>
  </xdr:twoCellAnchor>
  <xdr:twoCellAnchor editAs="oneCell">
    <xdr:from>
      <xdr:col>0</xdr:col>
      <xdr:colOff>0</xdr:colOff>
      <xdr:row>150</xdr:row>
      <xdr:rowOff>114300</xdr:rowOff>
    </xdr:from>
    <xdr:to>
      <xdr:col>13</xdr:col>
      <xdr:colOff>622300</xdr:colOff>
      <xdr:row>179</xdr:row>
      <xdr:rowOff>101600</xdr:rowOff>
    </xdr:to>
    <xdr:pic>
      <xdr:nvPicPr>
        <xdr:cNvPr id="3073" name="Picture 1">
          <a:extLst>
            <a:ext uri="{FF2B5EF4-FFF2-40B4-BE49-F238E27FC236}">
              <a16:creationId xmlns="" xmlns:a16="http://schemas.microsoft.com/office/drawing/2014/main" id="{00000000-0008-0000-1100-0000010C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30594300"/>
          <a:ext cx="9372600" cy="5880100"/>
        </a:xfrm>
        <a:prstGeom prst="rect">
          <a:avLst/>
        </a:prstGeom>
        <a:noFill/>
        <a:ln w="1">
          <a:noFill/>
          <a:miter lim="800000"/>
          <a:headEnd/>
          <a:tailEnd type="none" w="med" len="med"/>
        </a:ln>
        <a:effectLst/>
      </xdr:spPr>
    </xdr:pic>
    <xdr:clientData/>
  </xdr:twoCellAnchor>
  <xdr:twoCellAnchor editAs="oneCell">
    <xdr:from>
      <xdr:col>0</xdr:col>
      <xdr:colOff>12700</xdr:colOff>
      <xdr:row>180</xdr:row>
      <xdr:rowOff>114300</xdr:rowOff>
    </xdr:from>
    <xdr:to>
      <xdr:col>13</xdr:col>
      <xdr:colOff>571500</xdr:colOff>
      <xdr:row>209</xdr:row>
      <xdr:rowOff>88900</xdr:rowOff>
    </xdr:to>
    <xdr:pic>
      <xdr:nvPicPr>
        <xdr:cNvPr id="4097" name="Picture 1">
          <a:extLst>
            <a:ext uri="{FF2B5EF4-FFF2-40B4-BE49-F238E27FC236}">
              <a16:creationId xmlns="" xmlns:a16="http://schemas.microsoft.com/office/drawing/2014/main" id="{00000000-0008-0000-1100-0000011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2700" y="36690300"/>
          <a:ext cx="9309100" cy="5867400"/>
        </a:xfrm>
        <a:prstGeom prst="rect">
          <a:avLst/>
        </a:prstGeom>
        <a:noFill/>
        <a:ln w="1">
          <a:noFill/>
          <a:miter lim="800000"/>
          <a:headEnd/>
          <a:tailEnd type="none" w="med" len="med"/>
        </a:ln>
        <a:effectLst/>
      </xdr:spPr>
    </xdr:pic>
    <xdr:clientData/>
  </xdr:twoCellAnchor>
  <xdr:twoCellAnchor editAs="oneCell">
    <xdr:from>
      <xdr:col>0</xdr:col>
      <xdr:colOff>0</xdr:colOff>
      <xdr:row>210</xdr:row>
      <xdr:rowOff>182880</xdr:rowOff>
    </xdr:from>
    <xdr:to>
      <xdr:col>13</xdr:col>
      <xdr:colOff>558800</xdr:colOff>
      <xdr:row>239</xdr:row>
      <xdr:rowOff>114300</xdr:rowOff>
    </xdr:to>
    <xdr:pic>
      <xdr:nvPicPr>
        <xdr:cNvPr id="4098" name="Picture 2">
          <a:extLst>
            <a:ext uri="{FF2B5EF4-FFF2-40B4-BE49-F238E27FC236}">
              <a16:creationId xmlns="" xmlns:a16="http://schemas.microsoft.com/office/drawing/2014/main" id="{00000000-0008-0000-1100-0000021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0" y="42854880"/>
          <a:ext cx="9309100" cy="5824220"/>
        </a:xfrm>
        <a:prstGeom prst="rect">
          <a:avLst/>
        </a:prstGeom>
        <a:noFill/>
        <a:ln w="1">
          <a:noFill/>
          <a:miter lim="800000"/>
          <a:headEnd/>
          <a:tailEnd type="none" w="med" len="med"/>
        </a:ln>
        <a:effectLst/>
      </xdr:spPr>
    </xdr:pic>
    <xdr:clientData/>
  </xdr:twoCellAnchor>
  <xdr:twoCellAnchor editAs="oneCell">
    <xdr:from>
      <xdr:col>0</xdr:col>
      <xdr:colOff>0</xdr:colOff>
      <xdr:row>240</xdr:row>
      <xdr:rowOff>83820</xdr:rowOff>
    </xdr:from>
    <xdr:to>
      <xdr:col>13</xdr:col>
      <xdr:colOff>622300</xdr:colOff>
      <xdr:row>269</xdr:row>
      <xdr:rowOff>152400</xdr:rowOff>
    </xdr:to>
    <xdr:pic>
      <xdr:nvPicPr>
        <xdr:cNvPr id="1026" name="Picture 2">
          <a:extLst>
            <a:ext uri="{FF2B5EF4-FFF2-40B4-BE49-F238E27FC236}">
              <a16:creationId xmlns="" xmlns:a16="http://schemas.microsoft.com/office/drawing/2014/main" id="{00000000-0008-0000-1100-00000204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0" y="48851820"/>
          <a:ext cx="9372600" cy="5961380"/>
        </a:xfrm>
        <a:prstGeom prst="rect">
          <a:avLst/>
        </a:prstGeom>
        <a:noFill/>
        <a:ln w="1">
          <a:noFill/>
          <a:miter lim="800000"/>
          <a:headEnd/>
          <a:tailEnd type="none" w="med" len="med"/>
        </a:ln>
        <a:effectLst/>
      </xdr:spPr>
    </xdr:pic>
    <xdr:clientData/>
  </xdr:twoCellAnchor>
  <xdr:twoCellAnchor editAs="oneCell">
    <xdr:from>
      <xdr:col>0</xdr:col>
      <xdr:colOff>0</xdr:colOff>
      <xdr:row>300</xdr:row>
      <xdr:rowOff>0</xdr:rowOff>
    </xdr:from>
    <xdr:to>
      <xdr:col>13</xdr:col>
      <xdr:colOff>558800</xdr:colOff>
      <xdr:row>329</xdr:row>
      <xdr:rowOff>106680</xdr:rowOff>
    </xdr:to>
    <xdr:pic>
      <xdr:nvPicPr>
        <xdr:cNvPr id="1027" name="Picture 3">
          <a:extLst>
            <a:ext uri="{FF2B5EF4-FFF2-40B4-BE49-F238E27FC236}">
              <a16:creationId xmlns="" xmlns:a16="http://schemas.microsoft.com/office/drawing/2014/main" id="{00000000-0008-0000-1100-00000304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0" y="60960000"/>
          <a:ext cx="9309100" cy="5999480"/>
        </a:xfrm>
        <a:prstGeom prst="rect">
          <a:avLst/>
        </a:prstGeom>
        <a:noFill/>
        <a:ln w="1">
          <a:noFill/>
          <a:miter lim="800000"/>
          <a:headEnd/>
          <a:tailEnd type="none" w="med" len="med"/>
        </a:ln>
        <a:effectLst/>
      </xdr:spPr>
    </xdr:pic>
    <xdr:clientData/>
  </xdr:twoCellAnchor>
  <xdr:twoCellAnchor editAs="oneCell">
    <xdr:from>
      <xdr:col>0</xdr:col>
      <xdr:colOff>0</xdr:colOff>
      <xdr:row>30</xdr:row>
      <xdr:rowOff>0</xdr:rowOff>
    </xdr:from>
    <xdr:to>
      <xdr:col>13</xdr:col>
      <xdr:colOff>609600</xdr:colOff>
      <xdr:row>59</xdr:row>
      <xdr:rowOff>106680</xdr:rowOff>
    </xdr:to>
    <xdr:pic>
      <xdr:nvPicPr>
        <xdr:cNvPr id="3" name="Picture 1">
          <a:extLst>
            <a:ext uri="{FF2B5EF4-FFF2-40B4-BE49-F238E27FC236}">
              <a16:creationId xmlns=""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0" y="6096000"/>
          <a:ext cx="9359900" cy="5999480"/>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13</xdr:col>
      <xdr:colOff>596900</xdr:colOff>
      <xdr:row>29</xdr:row>
      <xdr:rowOff>106680</xdr:rowOff>
    </xdr:to>
    <xdr:pic>
      <xdr:nvPicPr>
        <xdr:cNvPr id="4" name="Picture 2">
          <a:extLst>
            <a:ext uri="{FF2B5EF4-FFF2-40B4-BE49-F238E27FC236}">
              <a16:creationId xmlns=""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0" y="0"/>
          <a:ext cx="9347200" cy="5999480"/>
        </a:xfrm>
        <a:prstGeom prst="rect">
          <a:avLst/>
        </a:prstGeom>
        <a:noFill/>
        <a:ln w="1">
          <a:noFill/>
          <a:miter lim="800000"/>
          <a:headEnd/>
          <a:tailEnd type="none" w="med" len="med"/>
        </a:ln>
        <a:effectLst/>
      </xdr:spPr>
    </xdr:pic>
    <xdr:clientData/>
  </xdr:twoCellAnchor>
  <xdr:twoCellAnchor editAs="oneCell">
    <xdr:from>
      <xdr:col>0</xdr:col>
      <xdr:colOff>101600</xdr:colOff>
      <xdr:row>60</xdr:row>
      <xdr:rowOff>63500</xdr:rowOff>
    </xdr:from>
    <xdr:to>
      <xdr:col>13</xdr:col>
      <xdr:colOff>635000</xdr:colOff>
      <xdr:row>89</xdr:row>
      <xdr:rowOff>170180</xdr:rowOff>
    </xdr:to>
    <xdr:pic>
      <xdr:nvPicPr>
        <xdr:cNvPr id="6" name="Picture 3">
          <a:extLst>
            <a:ext uri="{FF2B5EF4-FFF2-40B4-BE49-F238E27FC236}">
              <a16:creationId xmlns="" xmlns:a16="http://schemas.microsoft.com/office/drawing/2014/main" id="{00000000-0008-0000-1100-000006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101600" y="12255500"/>
          <a:ext cx="9283700" cy="5999480"/>
        </a:xfrm>
        <a:prstGeom prst="rect">
          <a:avLst/>
        </a:prstGeom>
        <a:noFill/>
        <a:ln w="1">
          <a:noFill/>
          <a:miter lim="800000"/>
          <a:headEnd/>
          <a:tailEnd type="none" w="med" len="med"/>
        </a:ln>
        <a:effectLst/>
      </xdr:spPr>
    </xdr:pic>
    <xdr:clientData/>
  </xdr:twoCellAnchor>
  <xdr:twoCellAnchor editAs="oneCell">
    <xdr:from>
      <xdr:col>0</xdr:col>
      <xdr:colOff>0</xdr:colOff>
      <xdr:row>270</xdr:row>
      <xdr:rowOff>70970</xdr:rowOff>
    </xdr:from>
    <xdr:to>
      <xdr:col>13</xdr:col>
      <xdr:colOff>638735</xdr:colOff>
      <xdr:row>299</xdr:row>
      <xdr:rowOff>50800</xdr:rowOff>
    </xdr:to>
    <xdr:pic>
      <xdr:nvPicPr>
        <xdr:cNvPr id="1025" name="Picture 1">
          <a:extLst>
            <a:ext uri="{FF2B5EF4-FFF2-40B4-BE49-F238E27FC236}">
              <a16:creationId xmlns="" xmlns:a16="http://schemas.microsoft.com/office/drawing/2014/main" id="{00000000-0008-0000-1100-00000104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0" y="54934970"/>
          <a:ext cx="9389035" cy="5872630"/>
        </a:xfrm>
        <a:prstGeom prst="rect">
          <a:avLst/>
        </a:prstGeom>
        <a:noFill/>
        <a:ln w="1">
          <a:noFill/>
          <a:miter lim="800000"/>
          <a:headEnd/>
          <a:tailEnd type="none" w="med" len="med"/>
        </a:ln>
        <a:effectLst/>
      </xdr:spPr>
    </xdr:pic>
    <xdr:clientData/>
  </xdr:twoCellAnchor>
  <xdr:twoCellAnchor editAs="oneCell">
    <xdr:from>
      <xdr:col>0</xdr:col>
      <xdr:colOff>0</xdr:colOff>
      <xdr:row>330</xdr:row>
      <xdr:rowOff>139700</xdr:rowOff>
    </xdr:from>
    <xdr:to>
      <xdr:col>13</xdr:col>
      <xdr:colOff>584200</xdr:colOff>
      <xdr:row>359</xdr:row>
      <xdr:rowOff>88900</xdr:rowOff>
    </xdr:to>
    <xdr:pic>
      <xdr:nvPicPr>
        <xdr:cNvPr id="7" name="Picture 2">
          <a:extLst>
            <a:ext uri="{FF2B5EF4-FFF2-40B4-BE49-F238E27FC236}">
              <a16:creationId xmlns=""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0" y="67195700"/>
          <a:ext cx="9334500" cy="5842000"/>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13</xdr:col>
      <xdr:colOff>546100</xdr:colOff>
      <xdr:row>29</xdr:row>
      <xdr:rowOff>106680</xdr:rowOff>
    </xdr:to>
    <xdr:pic>
      <xdr:nvPicPr>
        <xdr:cNvPr id="5121" name="Picture 1">
          <a:extLst>
            <a:ext uri="{FF2B5EF4-FFF2-40B4-BE49-F238E27FC236}">
              <a16:creationId xmlns="" xmlns:a16="http://schemas.microsoft.com/office/drawing/2014/main" id="{00000000-0008-0000-1300-000001140000}"/>
            </a:ext>
          </a:extLst>
        </xdr:cNvPr>
        <xdr:cNvPicPr>
          <a:picLocks noChangeAspect="1" noChangeArrowheads="1"/>
        </xdr:cNvPicPr>
      </xdr:nvPicPr>
      <xdr:blipFill>
        <a:blip xmlns:r="http://schemas.openxmlformats.org/officeDocument/2006/relationships" r:embed="rId1" cstate="print"/>
        <a:srcRect t="635" r="13126"/>
        <a:stretch>
          <a:fillRect/>
        </a:stretch>
      </xdr:blipFill>
      <xdr:spPr bwMode="auto">
        <a:xfrm>
          <a:off x="0" y="38100"/>
          <a:ext cx="9296400" cy="5961380"/>
        </a:xfrm>
        <a:prstGeom prst="rect">
          <a:avLst/>
        </a:prstGeom>
        <a:noFill/>
        <a:ln w="1">
          <a:noFill/>
          <a:miter lim="800000"/>
          <a:headEnd/>
          <a:tailEnd type="none" w="med" len="med"/>
        </a:ln>
        <a:effectLst/>
      </xdr:spPr>
    </xdr:pic>
    <xdr:clientData/>
  </xdr:twoCellAnchor>
  <xdr:twoCellAnchor editAs="oneCell">
    <xdr:from>
      <xdr:col>0</xdr:col>
      <xdr:colOff>0</xdr:colOff>
      <xdr:row>31</xdr:row>
      <xdr:rowOff>0</xdr:rowOff>
    </xdr:from>
    <xdr:to>
      <xdr:col>13</xdr:col>
      <xdr:colOff>533400</xdr:colOff>
      <xdr:row>59</xdr:row>
      <xdr:rowOff>139700</xdr:rowOff>
    </xdr:to>
    <xdr:pic>
      <xdr:nvPicPr>
        <xdr:cNvPr id="1025" name="Picture 1">
          <a:extLst>
            <a:ext uri="{FF2B5EF4-FFF2-40B4-BE49-F238E27FC236}">
              <a16:creationId xmlns="" xmlns:a16="http://schemas.microsoft.com/office/drawing/2014/main" id="{00000000-0008-0000-1300-000001040000}"/>
            </a:ext>
          </a:extLst>
        </xdr:cNvPr>
        <xdr:cNvPicPr>
          <a:picLocks noChangeAspect="1" noChangeArrowheads="1"/>
        </xdr:cNvPicPr>
      </xdr:nvPicPr>
      <xdr:blipFill>
        <a:blip xmlns:r="http://schemas.openxmlformats.org/officeDocument/2006/relationships" r:embed="rId2" cstate="print"/>
        <a:srcRect r="16940"/>
        <a:stretch>
          <a:fillRect/>
        </a:stretch>
      </xdr:blipFill>
      <xdr:spPr bwMode="auto">
        <a:xfrm>
          <a:off x="0" y="6299200"/>
          <a:ext cx="9283700" cy="5829300"/>
        </a:xfrm>
        <a:prstGeom prst="rect">
          <a:avLst/>
        </a:prstGeom>
        <a:noFill/>
        <a:ln w="1">
          <a:noFill/>
          <a:miter lim="800000"/>
          <a:headEnd/>
          <a:tailEnd type="none" w="med" len="med"/>
        </a:ln>
        <a:effectLst/>
      </xdr:spPr>
    </xdr:pic>
    <xdr:clientData/>
  </xdr:twoCellAnchor>
  <xdr:twoCellAnchor editAs="oneCell">
    <xdr:from>
      <xdr:col>0</xdr:col>
      <xdr:colOff>0</xdr:colOff>
      <xdr:row>60</xdr:row>
      <xdr:rowOff>0</xdr:rowOff>
    </xdr:from>
    <xdr:to>
      <xdr:col>13</xdr:col>
      <xdr:colOff>622300</xdr:colOff>
      <xdr:row>89</xdr:row>
      <xdr:rowOff>106680</xdr:rowOff>
    </xdr:to>
    <xdr:pic>
      <xdr:nvPicPr>
        <xdr:cNvPr id="2049" name="Picture 1">
          <a:extLst>
            <a:ext uri="{FF2B5EF4-FFF2-40B4-BE49-F238E27FC236}">
              <a16:creationId xmlns="" xmlns:a16="http://schemas.microsoft.com/office/drawing/2014/main" id="{00000000-0008-0000-1300-00000108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12192000"/>
          <a:ext cx="9372600" cy="5999480"/>
        </a:xfrm>
        <a:prstGeom prst="rect">
          <a:avLst/>
        </a:prstGeom>
        <a:noFill/>
        <a:ln w="1">
          <a:noFill/>
          <a:miter lim="800000"/>
          <a:headEnd/>
          <a:tailEnd type="none" w="med" len="med"/>
        </a:ln>
        <a:effectLst/>
      </xdr:spPr>
    </xdr:pic>
    <xdr:clientData/>
  </xdr:twoCellAnchor>
  <xdr:twoCellAnchor editAs="oneCell">
    <xdr:from>
      <xdr:col>0</xdr:col>
      <xdr:colOff>0</xdr:colOff>
      <xdr:row>90</xdr:row>
      <xdr:rowOff>0</xdr:rowOff>
    </xdr:from>
    <xdr:to>
      <xdr:col>13</xdr:col>
      <xdr:colOff>482600</xdr:colOff>
      <xdr:row>119</xdr:row>
      <xdr:rowOff>106680</xdr:rowOff>
    </xdr:to>
    <xdr:pic>
      <xdr:nvPicPr>
        <xdr:cNvPr id="2050" name="Picture 2">
          <a:extLst>
            <a:ext uri="{FF2B5EF4-FFF2-40B4-BE49-F238E27FC236}">
              <a16:creationId xmlns="" xmlns:a16="http://schemas.microsoft.com/office/drawing/2014/main" id="{00000000-0008-0000-1300-00000208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18288000"/>
          <a:ext cx="9232900" cy="5999480"/>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647700</xdr:colOff>
      <xdr:row>29</xdr:row>
      <xdr:rowOff>106680</xdr:rowOff>
    </xdr:to>
    <xdr:pic>
      <xdr:nvPicPr>
        <xdr:cNvPr id="2049" name="Picture 1">
          <a:extLst>
            <a:ext uri="{FF2B5EF4-FFF2-40B4-BE49-F238E27FC236}">
              <a16:creationId xmlns="" xmlns:a16="http://schemas.microsoft.com/office/drawing/2014/main" id="{00000000-0008-0000-1400-000001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9398000" cy="5999480"/>
        </a:xfrm>
        <a:prstGeom prst="rect">
          <a:avLst/>
        </a:prstGeom>
        <a:noFill/>
        <a:ln w="1">
          <a:noFill/>
          <a:miter lim="800000"/>
          <a:headEnd/>
          <a:tailEnd type="none" w="med" len="med"/>
        </a:ln>
        <a:effectLst/>
      </xdr:spPr>
    </xdr:pic>
    <xdr:clientData/>
  </xdr:twoCellAnchor>
  <xdr:twoCellAnchor editAs="oneCell">
    <xdr:from>
      <xdr:col>0</xdr:col>
      <xdr:colOff>0</xdr:colOff>
      <xdr:row>29</xdr:row>
      <xdr:rowOff>165100</xdr:rowOff>
    </xdr:from>
    <xdr:to>
      <xdr:col>13</xdr:col>
      <xdr:colOff>609600</xdr:colOff>
      <xdr:row>59</xdr:row>
      <xdr:rowOff>68580</xdr:rowOff>
    </xdr:to>
    <xdr:pic>
      <xdr:nvPicPr>
        <xdr:cNvPr id="1026" name="Picture 2">
          <a:extLst>
            <a:ext uri="{FF2B5EF4-FFF2-40B4-BE49-F238E27FC236}">
              <a16:creationId xmlns="" xmlns:a16="http://schemas.microsoft.com/office/drawing/2014/main" id="{00000000-0008-0000-1400-0000020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6057900"/>
          <a:ext cx="9359900" cy="5999480"/>
        </a:xfrm>
        <a:prstGeom prst="rect">
          <a:avLst/>
        </a:prstGeom>
        <a:noFill/>
        <a:ln w="1">
          <a:noFill/>
          <a:miter lim="800000"/>
          <a:headEnd/>
          <a:tailEnd type="none" w="med" len="med"/>
        </a:ln>
        <a:effectLst/>
      </xdr:spPr>
    </xdr:pic>
    <xdr:clientData/>
  </xdr:twoCellAnchor>
  <xdr:twoCellAnchor editAs="oneCell">
    <xdr:from>
      <xdr:col>0</xdr:col>
      <xdr:colOff>0</xdr:colOff>
      <xdr:row>61</xdr:row>
      <xdr:rowOff>0</xdr:rowOff>
    </xdr:from>
    <xdr:to>
      <xdr:col>13</xdr:col>
      <xdr:colOff>647700</xdr:colOff>
      <xdr:row>89</xdr:row>
      <xdr:rowOff>63500</xdr:rowOff>
    </xdr:to>
    <xdr:pic>
      <xdr:nvPicPr>
        <xdr:cNvPr id="1027" name="Picture 3">
          <a:extLst>
            <a:ext uri="{FF2B5EF4-FFF2-40B4-BE49-F238E27FC236}">
              <a16:creationId xmlns="" xmlns:a16="http://schemas.microsoft.com/office/drawing/2014/main" id="{00000000-0008-0000-1400-00000304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0" y="12395200"/>
          <a:ext cx="9398000" cy="5753100"/>
        </a:xfrm>
        <a:prstGeom prst="rect">
          <a:avLst/>
        </a:prstGeom>
        <a:noFill/>
        <a:ln w="1">
          <a:noFill/>
          <a:miter lim="800000"/>
          <a:headEnd/>
          <a:tailEnd type="none" w="med" len="med"/>
        </a:ln>
        <a:effectLst/>
      </xdr:spPr>
    </xdr:pic>
    <xdr:clientData/>
  </xdr:twoCellAnchor>
  <xdr:twoCellAnchor editAs="oneCell">
    <xdr:from>
      <xdr:col>0</xdr:col>
      <xdr:colOff>0</xdr:colOff>
      <xdr:row>92</xdr:row>
      <xdr:rowOff>0</xdr:rowOff>
    </xdr:from>
    <xdr:to>
      <xdr:col>14</xdr:col>
      <xdr:colOff>0</xdr:colOff>
      <xdr:row>119</xdr:row>
      <xdr:rowOff>152400</xdr:rowOff>
    </xdr:to>
    <xdr:pic>
      <xdr:nvPicPr>
        <xdr:cNvPr id="1028" name="Picture 4">
          <a:extLst>
            <a:ext uri="{FF2B5EF4-FFF2-40B4-BE49-F238E27FC236}">
              <a16:creationId xmlns="" xmlns:a16="http://schemas.microsoft.com/office/drawing/2014/main" id="{00000000-0008-0000-1400-00000404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0" y="18694400"/>
          <a:ext cx="9423400" cy="5638800"/>
        </a:xfrm>
        <a:prstGeom prst="rect">
          <a:avLst/>
        </a:prstGeom>
        <a:noFill/>
        <a:ln w="1">
          <a:noFill/>
          <a:miter lim="800000"/>
          <a:headEnd/>
          <a:tailEnd type="none" w="med" len="med"/>
        </a:ln>
        <a:effectLst/>
      </xdr:spPr>
    </xdr:pic>
    <xdr:clientData/>
  </xdr:twoCellAnchor>
  <xdr:twoCellAnchor editAs="oneCell">
    <xdr:from>
      <xdr:col>0</xdr:col>
      <xdr:colOff>38100</xdr:colOff>
      <xdr:row>120</xdr:row>
      <xdr:rowOff>63500</xdr:rowOff>
    </xdr:from>
    <xdr:to>
      <xdr:col>13</xdr:col>
      <xdr:colOff>546100</xdr:colOff>
      <xdr:row>149</xdr:row>
      <xdr:rowOff>170180</xdr:rowOff>
    </xdr:to>
    <xdr:pic>
      <xdr:nvPicPr>
        <xdr:cNvPr id="2" name="Picture 1">
          <a:extLst>
            <a:ext uri="{FF2B5EF4-FFF2-40B4-BE49-F238E27FC236}">
              <a16:creationId xmlns=""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38100" y="24447500"/>
          <a:ext cx="9258300" cy="5999480"/>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Q:\ATTACH\Arquivos%20-%202003\Planilha%20SESC%20Sto%20Amaro%20-%20REVIS&#195;O-06-1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PC\Users\Documents%20and%20Settings\Roberto%20Oliveira\Meus%20documentos\Documentos%20-%20Roberto\01.Desplan\2006\21.Unicamp\A.Patologia%20Cl&#237;nica\CEB%20-%20Patologia%20Cl&#237;nica\Or&#231;amento\Planilha%20Patologia%20-%20Unicamp%20-%20Rev.%20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ervidor\office\EXCEL\VENDAS\Orc_2002\Banco%20de%20Dados\BANCO%20DE%20DADOS%20EL&#201;TRIC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erver\Orcamentos\WINDOWS\Desktop\BDMATERIAI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PASTA%20DE%20TRABALHO/SECRETARIA%20DE%20SAUDE%20DO%20PIAUI/NOVA%20MATERNIDADE/ORCAMENTO/MATERNIDADE%20REVISAO%20JANEIRO%202017/CUSTO%20DOS%20PROJETOS/PROJETO%20EXECUTIVO%20ESTRUTUR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PASTA%20DE%20TRABALHO/SECRETARIA%20DE%20SAUDE%20DO%20PIAUI/NOVA%20MATERNIDADE/ORCAMENTO/MATERNIDADE%20REVISAO%20JANEIRO%202017/CUSTO%20DOS%20PROJETOS/PROJETO%20EXECUTIVO%20ARQUITETUR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PASTA%20DE%20TRABALHO/SECRETARIA%20DE%20SAUDE%20DO%20PIAUI/NOVA%20MATERNIDADE/ORCAMENTO/MATERNIDADE%20REVISAO%20JANEIRO%202017/CUSTO%20DOS%20PROJETOS/PROJETO%20EXECUTIVO%20HIDROSSANITARI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PASTA%20DE%20TRABALHO/SECRETARIA%20DE%20SAUDE%20DO%20PIAUI/NOVA%20MATERNIDADE/ORCAMENTO/MATERNIDADE%20REVISAO%20JANEIRO%202017/CUSTO%20DOS%20PROJETOS/PROJETO%20EXECUTIVO%20ELETRICO-SUBESTACAO.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PASTA%20DE%20TRABALHO/SECRETARIA%20DE%20SAUDE%20DO%20PIAUI/NOVA%20MATERNIDADE/ORCAMENTO/MATERNIDADE%20REVISAO%20JANEIRO%202017/CUSTO%20DOS%20PROJETOS/PROJETO%20EXECUTIVO%20ELETRONICO.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PASTA%20DE%20TRABALHO/SECRETARIA%20DE%20SAUDE%20DO%20PIAUI/NOVA%20MATERNIDADE/ORCAMENTO/MATERNIDADE%20REVISAO%20JANEIRO%202017/CUSTO%20DOS%20PROJETOS/PROJETO%20EXECUTIVO%20CLIMATIZA&#199;&#195;O.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PASTA%20DE%20TRABALHO/SECRETARIA%20DE%20SAUDE%20DO%20PIAUI/NOVA%20MATERNIDADE/ORCAMENTO/MATERNIDADE%20REVISAO%20JANEIRO%202017/CUSTO%20DOS%20PROJETOS/PROJETO%20RIM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PC\Users\Users\edward.toledo\AppData\Local\Microsoft\Windows\Temporary%20Internet%20Files\Content.IE5\8YJEMZ4I\ca_arqs\eletrica\e0104500.doc"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PASTA%20DE%20TRABALHO/SECRETARIA%20DE%20SAUDE%20DO%20PIAUI/NOVA%20MATERNIDADE/ORCAMENTO/MATERNIDADE%20REVISAO%20JANEIRO%202017/CUSTO%20DOS%20PROJETOS/PROJETO%20US%20BUIL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PASTA%20DE%20TRABALHO/SECRETARIA%20DE%20SAUDE%20DO%20PIAUI/NOVA%20MATERNIDADE/ORCAMENTO/MATERNIDADE%20REVISAO%20JANEIRO%202017/CUSTO%20DOS%20PROJETOS/PROJETO%20PCMAT-PCMSO.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PLANILHA%20OR&#199;AMENT&#193;RIA-JAN%202017%20-%20MATERNIDADE-%201A%20ETAPA.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1-PC\Users\Public\RDO%20SOBREIRA\SESAPI\NOVA%20MATERNIDADE\ORCAMENTO\ORCAMENTO-LICITACAO\PLANILHA%20OR&#199;AMENT&#193;RIA-07-2016%20-%20MATERNIDADE-%201A%20ETAPA.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PC\Users\Public\RDO%20SOBREIRA\SESAPI\NOVA%20MATERNIDADE\ORCAMENTO\ORCAMENTO-LICITACAO\PLANILHA%20OR&#199;AMENT&#193;RIA-07-2016%20-%20MATERNIDADE-2A%20ETAP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banco%20de%20dados%20engenharia\levantamento\levantamento\LEVAN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o-m11\publico\WINDOWS\TEMP\B5348E-LM001_R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pu-a\01-md-2005\EQUIP\MAQUINAS\I0201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IDOR\OFFICE\Temp\Banco%20de%20Dado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PC\Users\Documents%20and%20Settings\op5857.WW101\Local%20Settings\Temp\Planilha%20Seconci%20FINAL_2606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PC\Users\Users\fernandaci\AppData\Local\Microsoft\Windows\Temporary%20Internet%20Files\Content.IE5\GWXXSHWX\Or&#231;amento%20Orma%20M&#243;veis%20-%20D&#243;rio%20Silv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PC\Users\Documents%20and%20Settings\Roberto%20Oliveira\Meus%20documentos\Documentos%20-%20Roberto\01.Desplan\2006\21.Unicamp\Arquivo%20Edgard\Arquivo\Civil%20e%20Instala&#231;&#245;es\Planilha%20Acervo%20-%20Geral%20-%20Rev.0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DIND"/>
      <sheetName val="PLANILHA TOTAL"/>
      <sheetName val="% max"/>
      <sheetName val="resumo"/>
      <sheetName val="Fechamento"/>
      <sheetName val="quadro de areas"/>
    </sheetNames>
    <sheetDataSet>
      <sheetData sheetId="0"/>
      <sheetData sheetId="1"/>
      <sheetData sheetId="2"/>
      <sheetData sheetId="3"/>
      <sheetData sheetId="4"/>
      <sheetData sheetId="5"/>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Planilha"/>
      <sheetName val="ABC"/>
      <sheetName val="Cronograma"/>
      <sheetName val="Comp Civil"/>
      <sheetName val="Comp Inst"/>
      <sheetName val="Mat Civil"/>
      <sheetName val="Mat Inst"/>
      <sheetName val="MO"/>
      <sheetName val="DI"/>
      <sheetName val="BDI"/>
      <sheetName val="Empresas"/>
      <sheetName val="PU"/>
    </sheetNames>
    <sheetDataSet>
      <sheetData sheetId="0"/>
      <sheetData sheetId="1" refreshError="1"/>
      <sheetData sheetId="2" refreshError="1"/>
      <sheetData sheetId="3"/>
      <sheetData sheetId="4" refreshError="1"/>
      <sheetData sheetId="5" refreshError="1"/>
      <sheetData sheetId="6">
        <row r="8">
          <cell r="A8" t="str">
            <v>Eletricista</v>
          </cell>
        </row>
        <row r="9">
          <cell r="A9" t="str">
            <v>Encanador</v>
          </cell>
        </row>
        <row r="10">
          <cell r="A10" t="str">
            <v>Pedreiro</v>
          </cell>
        </row>
        <row r="11">
          <cell r="A11" t="str">
            <v>Servente</v>
          </cell>
        </row>
        <row r="12">
          <cell r="A12" t="str">
            <v>Ajudante</v>
          </cell>
        </row>
      </sheetData>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RELAÇÃO"/>
      <sheetName val="LT"/>
      <sheetName val="ELT"/>
      <sheetName val="ARA"/>
      <sheetName val="ELE"/>
      <sheetName val="C"/>
      <sheetName val="ELE F"/>
      <sheetName val="DK"/>
      <sheetName val="MG"/>
      <sheetName val="SPDA"/>
      <sheetName val="P_B"/>
      <sheetName val="PTO_EX"/>
      <sheetName val="L_R"/>
      <sheetName val="T_I"/>
      <sheetName val="S_D"/>
      <sheetName val="Q_CIA"/>
    </sheetNames>
    <sheetDataSet>
      <sheetData sheetId="0" refreshError="1"/>
      <sheetData sheetId="1" refreshError="1">
        <row r="9">
          <cell r="A9" t="str">
            <v>DESCRIÇÃO  DOS  MATERIAIS</v>
          </cell>
          <cell r="B9" t="str">
            <v>UNID.</v>
          </cell>
          <cell r="C9" t="str">
            <v>CÓDIGO</v>
          </cell>
          <cell r="D9" t="str">
            <v>UNITÁRIO</v>
          </cell>
          <cell r="E9" t="str">
            <v>METRO</v>
          </cell>
        </row>
        <row r="10">
          <cell r="A10" t="str">
            <v>LEVE</v>
          </cell>
        </row>
        <row r="11">
          <cell r="A11" t="str">
            <v>LEITO 75x19x3000 #18, TRAV. PERFORT 38x19 #18 C/ L=200mm</v>
          </cell>
          <cell r="B11" t="str">
            <v>BR</v>
          </cell>
          <cell r="C11" t="str">
            <v>154-0200-3000-Z</v>
          </cell>
          <cell r="D11">
            <v>36.427463100000004</v>
          </cell>
          <cell r="E11">
            <v>12.142487700000002</v>
          </cell>
        </row>
        <row r="12">
          <cell r="A12" t="str">
            <v>LEITO 75x19x3000 #18, TRAV. PERFORT 38x19 #18 C/ L=300mm</v>
          </cell>
          <cell r="B12" t="str">
            <v>BR</v>
          </cell>
          <cell r="C12" t="str">
            <v>154-0300-3000-Z</v>
          </cell>
          <cell r="D12">
            <v>39.797975699999995</v>
          </cell>
          <cell r="E12">
            <v>13.265991899999998</v>
          </cell>
        </row>
        <row r="13">
          <cell r="A13" t="str">
            <v>LEITO 75x19x3000 #18, TRAV. PERFORT 38x19 #18 C/ L=400mm</v>
          </cell>
          <cell r="B13" t="str">
            <v>BR</v>
          </cell>
          <cell r="C13" t="str">
            <v>154-0400-3000-Z</v>
          </cell>
          <cell r="D13">
            <v>43.159228649999996</v>
          </cell>
          <cell r="E13">
            <v>14.386409549999998</v>
          </cell>
        </row>
        <row r="14">
          <cell r="A14" t="str">
            <v>LEITO 75x19x3000 #18, TRAV. PERFORT 38x19 #18 C/ L=500mm</v>
          </cell>
          <cell r="B14" t="str">
            <v>BR</v>
          </cell>
          <cell r="C14" t="str">
            <v>154-0500-3000-Z</v>
          </cell>
          <cell r="D14">
            <v>46.529741249999994</v>
          </cell>
          <cell r="E14">
            <v>15.509913749999997</v>
          </cell>
        </row>
        <row r="15">
          <cell r="A15" t="str">
            <v>LEITO 75x19x3000 #18, TRAV. PERFORT 38x19 #18 C/ L=600mm</v>
          </cell>
          <cell r="B15" t="str">
            <v>BR</v>
          </cell>
          <cell r="C15" t="str">
            <v>154-0600-3000-Z</v>
          </cell>
          <cell r="D15">
            <v>49.900253849999991</v>
          </cell>
          <cell r="E15">
            <v>16.633417949999998</v>
          </cell>
        </row>
        <row r="16">
          <cell r="D16">
            <v>0</v>
          </cell>
          <cell r="E16">
            <v>0</v>
          </cell>
        </row>
        <row r="17">
          <cell r="A17" t="str">
            <v>SEMI-PESADO</v>
          </cell>
          <cell r="D17">
            <v>0</v>
          </cell>
          <cell r="E17">
            <v>0</v>
          </cell>
        </row>
        <row r="18">
          <cell r="A18" t="str">
            <v>LEITO 100x19x3000 #18, TRAV. PERFORT 38x19 #18 C/ L=200mm</v>
          </cell>
          <cell r="B18" t="str">
            <v>BR</v>
          </cell>
          <cell r="C18" t="str">
            <v>155-0200-3000-Z</v>
          </cell>
          <cell r="D18">
            <v>41.594347800000001</v>
          </cell>
          <cell r="E18">
            <v>13.8647826</v>
          </cell>
        </row>
        <row r="19">
          <cell r="A19" t="str">
            <v>LEITO 100x19x3000 #18, TRAV. PERFORT 38x19 #18 C/ L=300mm</v>
          </cell>
          <cell r="B19" t="str">
            <v>BR</v>
          </cell>
          <cell r="C19" t="str">
            <v>155-0300-3000-Z</v>
          </cell>
          <cell r="D19">
            <v>44.964860399999992</v>
          </cell>
          <cell r="E19">
            <v>14.988286799999997</v>
          </cell>
        </row>
        <row r="20">
          <cell r="A20" t="str">
            <v>LEITO 100x19x3000 #18, TRAV. PERFORT 38x19 #18 C/ L=400mm</v>
          </cell>
          <cell r="B20" t="str">
            <v>BR</v>
          </cell>
          <cell r="C20" t="str">
            <v>155-0400-3000-Z</v>
          </cell>
          <cell r="D20">
            <v>48.335373000000004</v>
          </cell>
          <cell r="E20">
            <v>16.111791</v>
          </cell>
        </row>
        <row r="21">
          <cell r="A21" t="str">
            <v>LEITO 100x19x3000 #18, TRAV. PERFORT 38x19 #18 C/ L=500mm</v>
          </cell>
          <cell r="B21" t="str">
            <v>BR</v>
          </cell>
          <cell r="C21" t="str">
            <v>155-0500-3000-Z</v>
          </cell>
          <cell r="D21">
            <v>51.705885600000002</v>
          </cell>
          <cell r="E21">
            <v>17.235295199999999</v>
          </cell>
        </row>
        <row r="22">
          <cell r="A22" t="str">
            <v>LEITO 100x19x3000 #18, TRAV. PERFORT 38x19 #18 C/ L=600mm</v>
          </cell>
          <cell r="B22" t="str">
            <v>BR</v>
          </cell>
          <cell r="C22" t="str">
            <v>155-0600-3000-Z</v>
          </cell>
          <cell r="D22">
            <v>55.067138549999996</v>
          </cell>
          <cell r="E22">
            <v>18.35571285</v>
          </cell>
        </row>
        <row r="23">
          <cell r="A23" t="str">
            <v>LEITO 100x19x3000 #18, TRAV. PERFORT 38x19 #18 C/ L=700mm</v>
          </cell>
          <cell r="B23" t="str">
            <v>BR</v>
          </cell>
          <cell r="C23" t="str">
            <v>155-0700-3000-Z</v>
          </cell>
          <cell r="D23">
            <v>58.437651149999994</v>
          </cell>
          <cell r="E23">
            <v>19.479217049999999</v>
          </cell>
        </row>
        <row r="24">
          <cell r="A24" t="str">
            <v>LEITO 100x19x3000 #18, TRAV. PERFORT 38x19 #18 C/ L=800mm</v>
          </cell>
          <cell r="B24" t="str">
            <v>BR</v>
          </cell>
          <cell r="C24" t="str">
            <v>155-0800-3000-Z</v>
          </cell>
          <cell r="D24">
            <v>61.808163749999991</v>
          </cell>
          <cell r="E24">
            <v>20.602721249999998</v>
          </cell>
        </row>
        <row r="25">
          <cell r="A25" t="str">
            <v>LEITO 100x19x3000 #18, TRAV. PERFORT 38x19 #18 C/ L=900mm</v>
          </cell>
          <cell r="B25" t="str">
            <v>BR</v>
          </cell>
          <cell r="C25" t="str">
            <v>155-0900-3000-Z</v>
          </cell>
          <cell r="D25">
            <v>65.169416699999985</v>
          </cell>
          <cell r="E25">
            <v>21.723138899999995</v>
          </cell>
        </row>
        <row r="26">
          <cell r="A26" t="str">
            <v>LEITO 100x19x3000 #18, TRAV. PERFORT 38x19 #18 C/ L=1000mm</v>
          </cell>
          <cell r="B26" t="str">
            <v>BR</v>
          </cell>
          <cell r="C26" t="str">
            <v>155-1000-3000-Z</v>
          </cell>
          <cell r="D26">
            <v>68.539929299999983</v>
          </cell>
          <cell r="E26">
            <v>22.846643099999994</v>
          </cell>
        </row>
        <row r="27">
          <cell r="A27" t="str">
            <v>LEITO 100x19x3000 #18, TRAV. PERFORT 38x19 #18 C/ L=1200mm</v>
          </cell>
          <cell r="B27" t="str">
            <v>BR</v>
          </cell>
          <cell r="C27" t="str">
            <v>155-1200-3000-Z</v>
          </cell>
          <cell r="D27">
            <v>0</v>
          </cell>
          <cell r="E27">
            <v>0</v>
          </cell>
        </row>
        <row r="28">
          <cell r="D28">
            <v>0</v>
          </cell>
          <cell r="E28">
            <v>0</v>
          </cell>
        </row>
        <row r="29">
          <cell r="A29" t="str">
            <v>PESADO</v>
          </cell>
          <cell r="D29">
            <v>0</v>
          </cell>
          <cell r="E29">
            <v>0</v>
          </cell>
        </row>
        <row r="30">
          <cell r="A30" t="str">
            <v>LEITO 100x19x3000 #18, TRAV. PERFORT 38x38 #18 C/ L=400mm</v>
          </cell>
          <cell r="B30" t="str">
            <v>BR</v>
          </cell>
          <cell r="C30" t="str">
            <v>156-0400-3000-Z</v>
          </cell>
          <cell r="D30">
            <v>55.039359599999997</v>
          </cell>
          <cell r="E30">
            <v>18.346453199999999</v>
          </cell>
        </row>
        <row r="31">
          <cell r="A31" t="str">
            <v>LEITO 100x19x3000 #18, TRAV. PERFORT 38x38 #18 C/ L=500mm</v>
          </cell>
          <cell r="B31" t="str">
            <v>BR</v>
          </cell>
          <cell r="C31" t="str">
            <v>156-0500-3000-Z</v>
          </cell>
          <cell r="D31">
            <v>59.92845479999999</v>
          </cell>
          <cell r="E31">
            <v>19.976151599999998</v>
          </cell>
        </row>
        <row r="32">
          <cell r="A32" t="str">
            <v>LEITO 100x19x3000 #18, TRAV. PERFORT 38x38 #18 C/ L=600mm</v>
          </cell>
          <cell r="B32" t="str">
            <v>BR</v>
          </cell>
          <cell r="C32" t="str">
            <v>156-0600-3000-Z</v>
          </cell>
          <cell r="D32">
            <v>64.817549999999997</v>
          </cell>
          <cell r="E32">
            <v>21.60585</v>
          </cell>
        </row>
        <row r="33">
          <cell r="A33" t="str">
            <v>LEITO 100x19x3000 #18, TRAV. PERFORT 38x38 #18 C/ L=700mm</v>
          </cell>
          <cell r="B33" t="str">
            <v>BR</v>
          </cell>
          <cell r="C33" t="str">
            <v>156-0700-3000-Z</v>
          </cell>
          <cell r="D33">
            <v>69.715904850000001</v>
          </cell>
          <cell r="E33">
            <v>23.238634950000002</v>
          </cell>
        </row>
        <row r="34">
          <cell r="A34" t="str">
            <v>LEITO 100x19x3000 #18, TRAV. PERFORT 38x38 #18 C/ L=800mm</v>
          </cell>
          <cell r="B34" t="str">
            <v>BR</v>
          </cell>
          <cell r="C34" t="str">
            <v>156-0800-3000-Z</v>
          </cell>
          <cell r="D34">
            <v>74.605000049999973</v>
          </cell>
          <cell r="E34">
            <v>24.86833334999999</v>
          </cell>
        </row>
        <row r="35">
          <cell r="A35" t="str">
            <v>LEITO 100x19x3000 #18, TRAV. PERFORT 38x38 #18 C/ L=900mm</v>
          </cell>
          <cell r="B35" t="str">
            <v>BR</v>
          </cell>
          <cell r="C35" t="str">
            <v>156-0900-3000-Z</v>
          </cell>
          <cell r="D35">
            <v>79.494095249999987</v>
          </cell>
          <cell r="E35">
            <v>26.498031749999996</v>
          </cell>
        </row>
        <row r="36">
          <cell r="A36" t="str">
            <v>LEITO 100x19x3000 #18, TRAV. PERFORT 38x38 #18 C/ L=1000mm</v>
          </cell>
          <cell r="B36" t="str">
            <v>BR</v>
          </cell>
          <cell r="C36" t="str">
            <v>156-1000-3000-Z</v>
          </cell>
          <cell r="D36">
            <v>84.383190450000001</v>
          </cell>
          <cell r="E36">
            <v>28.127730150000001</v>
          </cell>
        </row>
        <row r="37">
          <cell r="A37" t="str">
            <v>LEITO 100x19x3000 #18, TRAV. PERFORT 38x38 #18 C/ L=1200mm</v>
          </cell>
          <cell r="B37" t="str">
            <v>BR</v>
          </cell>
          <cell r="C37" t="str">
            <v>156-1200-3000-Z</v>
          </cell>
          <cell r="D37">
            <v>0</v>
          </cell>
          <cell r="E37">
            <v>0</v>
          </cell>
        </row>
        <row r="38">
          <cell r="D38">
            <v>0</v>
          </cell>
        </row>
        <row r="39">
          <cell r="D39">
            <v>0</v>
          </cell>
        </row>
        <row r="40">
          <cell r="A40" t="str">
            <v>DIVISOR "L" PERFURADO h=50mm</v>
          </cell>
          <cell r="B40" t="str">
            <v>PÇ</v>
          </cell>
          <cell r="C40" t="str">
            <v>139-08-050-Z</v>
          </cell>
          <cell r="D40">
            <v>7.2503059499999996</v>
          </cell>
        </row>
        <row r="41">
          <cell r="A41" t="str">
            <v>DIVISOR "L" PERFURADO h=75mm</v>
          </cell>
          <cell r="B41" t="str">
            <v>PÇ</v>
          </cell>
          <cell r="C41" t="str">
            <v>139-08-100-Z</v>
          </cell>
          <cell r="D41">
            <v>9.6578149499999988</v>
          </cell>
        </row>
        <row r="42">
          <cell r="D42">
            <v>0</v>
          </cell>
        </row>
        <row r="44">
          <cell r="A44" t="str">
            <v>TALA RÁPIDA h=50mm</v>
          </cell>
        </row>
        <row r="45">
          <cell r="A45" t="str">
            <v>TALA RÁPIDA h=75mm</v>
          </cell>
        </row>
        <row r="47">
          <cell r="A47" t="str">
            <v>LEVE</v>
          </cell>
        </row>
        <row r="48">
          <cell r="A48" t="str">
            <v>CURVA HORIZ. 90º C/ LONG. 75x19 #18, TRAV.PERF. 38x19 #18 C/ L=200mm</v>
          </cell>
        </row>
        <row r="49">
          <cell r="A49" t="str">
            <v>CURVA HORIZ. 90º C/ LONG. 75x19 #18, TRAV.PERF. 38x19 #18 C/ L=300mm</v>
          </cell>
        </row>
        <row r="50">
          <cell r="A50" t="str">
            <v>CURVA HORIZ. 90º C/ LONG. 75x19 #18, TRAV.PERF. 38x19 #18 C/ L=400mm</v>
          </cell>
        </row>
        <row r="51">
          <cell r="A51" t="str">
            <v>CURVA HORIZ. 90º C/ LONG. 75x19 #18, TRAV.PERF. 38x19 #18 C/ L=500mm</v>
          </cell>
        </row>
        <row r="52">
          <cell r="A52" t="str">
            <v>CURVA HORIZ. 90º C/ LONG. 75x19 #18, TRAV.PERF. 38x19 #18 C/ L=600mm</v>
          </cell>
        </row>
        <row r="54">
          <cell r="A54" t="str">
            <v>SEMI-PESADO</v>
          </cell>
        </row>
        <row r="55">
          <cell r="A55" t="str">
            <v>CURVA HORIZ. 90º C/ LONG. 100x19 #18, TRAV.PERF. 38x19 #18 C/ L=200mm</v>
          </cell>
        </row>
        <row r="56">
          <cell r="A56" t="str">
            <v>CURVA HORIZ. 90º C/ LONG. 100x19 #18, TRAV.PERF. 38x19 #18 C/ L=300mm</v>
          </cell>
        </row>
        <row r="57">
          <cell r="A57" t="str">
            <v>CURVA HORIZ. 90º C/ LONG. 100x19 #18, TRAV.PERF. 38x19 #18 C/ L=400mm</v>
          </cell>
        </row>
        <row r="58">
          <cell r="A58" t="str">
            <v>CURVA HORIZ. 90º C/ LONG. 100x19 #18, TRAV.PERF. 38x19 #18 C/ L=500mm</v>
          </cell>
        </row>
        <row r="59">
          <cell r="A59" t="str">
            <v>CURVA HORIZ. 90º C/ LONG. 100x19 #18, TRAV.PERF. 38x19 #18 C/ L=600mm</v>
          </cell>
        </row>
        <row r="60">
          <cell r="A60" t="str">
            <v>CURVA HORIZ. 90º C/ LONG. 100x19 #18, TRAV.PERF. 38x19 #18 C/ L=700mm</v>
          </cell>
        </row>
        <row r="61">
          <cell r="A61" t="str">
            <v>CURVA HORIZ. 90º C/ LONG. 100x19 #18, TRAV.PERF. 38x19 #18 C/ L=800mm</v>
          </cell>
        </row>
        <row r="62">
          <cell r="A62" t="str">
            <v>CURVA HORIZ. 90º C/ LONG. 100x19 #18, TRAV.PERF. 38x19 #18 C/ L=900mm</v>
          </cell>
        </row>
        <row r="63">
          <cell r="A63" t="str">
            <v>CURVA HORIZ. 90º C/ LONG. 100x19 #18, TRAV.PERF. 38x19 #18 C/ L=1000mm</v>
          </cell>
        </row>
        <row r="64">
          <cell r="A64" t="str">
            <v>CURVA HORIZ. 90º C/ LONG. 100x19 #18, TRAV.PERF. 38x19 #18 C/ L=1200mm</v>
          </cell>
        </row>
        <row r="66">
          <cell r="A66" t="str">
            <v>PESADO</v>
          </cell>
        </row>
        <row r="67">
          <cell r="A67" t="str">
            <v>CURVA HORIZ. 90º C/ LONG. 100x19 #18, TRAV.PERF. 38x38 #18 C/ L=400mm</v>
          </cell>
        </row>
        <row r="68">
          <cell r="A68" t="str">
            <v>CURVA HORIZ. 90º C/ LONG. 100x19 #18, TRAV.PERF. 38x38 #18 C/ L=500mm</v>
          </cell>
        </row>
        <row r="69">
          <cell r="A69" t="str">
            <v>CURVA HORIZ. 90º C/ LONG. 100x19 #18, TRAV.PERF. 38x38 #18 C/ L=600mm</v>
          </cell>
        </row>
        <row r="70">
          <cell r="A70" t="str">
            <v>CURVA HORIZ. 90º C/ LONG. 100x19 #18, TRAV.PERF. 38x38 #18 C/ L=700mm</v>
          </cell>
        </row>
        <row r="71">
          <cell r="A71" t="str">
            <v>CURVA HORIZ. 90º C/ LONG. 100x19 #18, TRAV.PERF. 38x38 #18 C/ L=800mm</v>
          </cell>
        </row>
        <row r="72">
          <cell r="A72" t="str">
            <v>CURVA HORIZ. 90º C/ LONG. 100x19 #18, TRAV.PERF. 38x38 #18 C/ L=900mm</v>
          </cell>
        </row>
        <row r="73">
          <cell r="A73" t="str">
            <v>CURVA HORIZ. 90º C/ LONG. 100x19 #18, TRAV.PERF. 38x38 #18 C/ L=1000mm</v>
          </cell>
        </row>
        <row r="74">
          <cell r="A74" t="str">
            <v>CURVA HORIZ. 90º C/ LONG. 100x19 #18, TRAV.PERF. 38x38 #18 C/ L=1200mm</v>
          </cell>
        </row>
        <row r="76">
          <cell r="A76" t="str">
            <v>LEVE</v>
          </cell>
        </row>
        <row r="77">
          <cell r="A77" t="str">
            <v>CURVA HORIZ. 45º C/ LONG. 75x19 #18, TRAV.PERF. 38x19 #18 C/ L=200mm</v>
          </cell>
        </row>
        <row r="78">
          <cell r="A78" t="str">
            <v>CURVA HORIZ. 45º C/ LONG. 75x19 #18, TRAV.PERF. 38x19 #18 C/ L=300mm</v>
          </cell>
        </row>
        <row r="79">
          <cell r="A79" t="str">
            <v>CURVA HORIZ. 45º C/ LONG. 75x19 #18, TRAV.PERF. 38x19 #18 C/ L=400mm</v>
          </cell>
        </row>
        <row r="80">
          <cell r="A80" t="str">
            <v>CURVA HORIZ. 45º C/ LONG. 75x19 #18, TRAV.PERF. 38x19 #18 C/ L=500mm</v>
          </cell>
        </row>
        <row r="81">
          <cell r="A81" t="str">
            <v>CURVA HORIZ. 45º C/ LONG. 75x19 #18, TRAV.PERF. 38x19 #18 C/ L=600mm</v>
          </cell>
        </row>
        <row r="83">
          <cell r="A83" t="str">
            <v>SEMI-PESADO</v>
          </cell>
        </row>
        <row r="84">
          <cell r="A84" t="str">
            <v>CURVA HORIZ. 45º C/ LONG. 100x19 #18, TRAV.PERF. 38x19 #18 C/ L=200mm</v>
          </cell>
        </row>
        <row r="85">
          <cell r="A85" t="str">
            <v>CURVA HORIZ. 45º C/ LONG. 100x19 #18, TRAV.PERF. 38x19 #18 C/ L=300mm</v>
          </cell>
        </row>
        <row r="86">
          <cell r="A86" t="str">
            <v>CURVA HORIZ. 45º C/ LONG. 100x19 #18, TRAV.PERF. 38x19 #18 C/ L=400mm</v>
          </cell>
        </row>
        <row r="87">
          <cell r="A87" t="str">
            <v>CURVA HORIZ. 45º C/ LONG. 100x19 #18, TRAV.PERF. 38x19 #18 C/ L=500mm</v>
          </cell>
        </row>
        <row r="88">
          <cell r="A88" t="str">
            <v>CURVA HORIZ. 45º C/ LONG. 100x19 #18, TRAV.PERF. 38x19 #18 C/ L=600mm</v>
          </cell>
        </row>
        <row r="89">
          <cell r="A89" t="str">
            <v>CURVA HORIZ. 45º C/ LONG. 100x19 #18, TRAV.PERF. 38x19 #18 C/ L=700mm</v>
          </cell>
        </row>
        <row r="90">
          <cell r="A90" t="str">
            <v>CURVA HORIZ. 45º C/ LONG. 100x19 #18, TRAV.PERF. 38x19 #18 C/ L=800mm</v>
          </cell>
        </row>
        <row r="91">
          <cell r="A91" t="str">
            <v>CURVA HORIZ. 45º C/ LONG. 100x19 #18, TRAV.PERF. 38x19 #18 C/ L=900mm</v>
          </cell>
        </row>
        <row r="92">
          <cell r="A92" t="str">
            <v>CURVA HORIZ. 45º C/ LONG. 100x19 #18, TRAV.PERF. 38x19 #18 C/ L=1000mm</v>
          </cell>
        </row>
        <row r="93">
          <cell r="A93" t="str">
            <v>CURVA HORIZ. 45º C/ LONG. 100x19 #18, TRAV.PERF. 38x19 #18 C/ L=1200mm</v>
          </cell>
        </row>
        <row r="95">
          <cell r="A95" t="str">
            <v>PESADO</v>
          </cell>
        </row>
        <row r="96">
          <cell r="A96" t="str">
            <v>CURVA HORIZ. 45º C/ LONG. 100x19 #18, TRAV.PERF. 38x38 #18 C/ L=400mm</v>
          </cell>
        </row>
        <row r="97">
          <cell r="A97" t="str">
            <v>CURVA HORIZ. 45º C/ LONG. 100x19 #18, TRAV.PERF. 38x38 #18 C/ L=500mm</v>
          </cell>
        </row>
        <row r="98">
          <cell r="A98" t="str">
            <v>CURVA HORIZ. 45º C/ LONG. 100x19 #18, TRAV.PERF. 38x38 #18 C/ L=600mm</v>
          </cell>
        </row>
        <row r="99">
          <cell r="A99" t="str">
            <v>CURVA HORIZ. 45º C/ LONG. 100x19 #18, TRAV.PERF. 38x38 #18 C/ L=700mm</v>
          </cell>
        </row>
        <row r="100">
          <cell r="A100" t="str">
            <v>CURVA HORIZ. 45º C/ LONG. 100x19 #18, TRAV.PERF. 38x38 #18 C/ L=800mm</v>
          </cell>
        </row>
        <row r="101">
          <cell r="A101" t="str">
            <v>CURVA HORIZ. 45º C/ LONG. 100x19 #18, TRAV.PERF. 38x38 #18 C/ L=900mm</v>
          </cell>
        </row>
        <row r="102">
          <cell r="A102" t="str">
            <v>CURVA HORIZ. 45º C/ LONG. 100x19 #18, TRAV.PERF. 38x38 #18 C/ L=1000mm</v>
          </cell>
        </row>
        <row r="103">
          <cell r="A103" t="str">
            <v>CURVA HORIZ. 45º C/ LONG. 100x19 #18, TRAV.PERF. 38x38 #18 C/ L=1200mm</v>
          </cell>
        </row>
        <row r="105">
          <cell r="A105" t="str">
            <v>LEVE</v>
          </cell>
        </row>
        <row r="106">
          <cell r="A106" t="str">
            <v>TÊ HORIZ. C/ LONG. 75x19 #18, TRAV.PERF. 38x19 #18 C/ L=200mm</v>
          </cell>
        </row>
        <row r="107">
          <cell r="A107" t="str">
            <v>TÊ HORIZ. C/ LONG. 75x19 #18, TRAV.PERF. 38x19 #18 C/ L=300mm</v>
          </cell>
        </row>
        <row r="108">
          <cell r="A108" t="str">
            <v>TÊ HORIZ. C/ LONG. 75x19 #18, TRAV.PERF. 38x19 #18 C/ L=400mm</v>
          </cell>
        </row>
        <row r="109">
          <cell r="A109" t="str">
            <v>TÊ HORIZ. C/ LONG. 75x19 #18, TRAV.PERF. 38x19 #18 C/ L=500mm</v>
          </cell>
        </row>
        <row r="110">
          <cell r="A110" t="str">
            <v>TÊ HORIZ. C/ LONG. 75x19 #18, TRAV.PERF. 38x19 #18 C/ L=600mm</v>
          </cell>
        </row>
        <row r="112">
          <cell r="A112" t="str">
            <v>SEMI-PESADO</v>
          </cell>
        </row>
        <row r="113">
          <cell r="A113" t="str">
            <v>TÊ HORIZ. C/ LONG. 100x19 #18, TRAV.PERF. 38x19 #18 C/ L=200mm</v>
          </cell>
        </row>
        <row r="114">
          <cell r="A114" t="str">
            <v>TÊ HORIZ. C/ LONG. 100x19 #18, TRAV.PERF. 38x19 #18 C/ L=300mm</v>
          </cell>
        </row>
        <row r="115">
          <cell r="A115" t="str">
            <v>TÊ HORIZ. C/ LONG. 100x19 #18, TRAV.PERF. 38x19 #18 C/ L=400mm</v>
          </cell>
        </row>
        <row r="116">
          <cell r="A116" t="str">
            <v>TÊ HORIZ. C/ LONG. 100x19 #18, TRAV.PERF. 38x19 #18 C/ L=500mm</v>
          </cell>
        </row>
        <row r="117">
          <cell r="A117" t="str">
            <v>TÊ HORIZ. C/ LONG. 100x19 #18, TRAV.PERF. 38x19 #18 C/ L=600mm</v>
          </cell>
        </row>
        <row r="118">
          <cell r="A118" t="str">
            <v>TÊ HORIZ. C/ LONG. 100x19 #18, TRAV.PERF. 38x19 #18 C/ L=700mm</v>
          </cell>
        </row>
        <row r="119">
          <cell r="A119" t="str">
            <v>TÊ HORIZ. C/ LONG. 100x19 #18, TRAV.PERF. 38x19 #18 C/ L=800mm</v>
          </cell>
        </row>
        <row r="120">
          <cell r="A120" t="str">
            <v>TÊ HORIZ. C/ LONG. 100x19 #18, TRAV.PERF. 38x19 #18 C/ L=900mm</v>
          </cell>
        </row>
        <row r="121">
          <cell r="A121" t="str">
            <v>TÊ HORIZ. C/ LONG. 100x19 #18, TRAV.PERF. 38x19 #18 C/ L=1000mm</v>
          </cell>
        </row>
        <row r="122">
          <cell r="A122" t="str">
            <v>TÊ HORIZ. C/ LONG. 100x19 #18, TRAV.PERF. 38x19 #18 C/ L=1200mm</v>
          </cell>
        </row>
        <row r="124">
          <cell r="A124" t="str">
            <v>PESADO</v>
          </cell>
        </row>
        <row r="125">
          <cell r="A125" t="str">
            <v>TÊ HORIZ. C/ LONG. 100x19 #18, TRAV.PERF. 38x38 #18 C/ L=400mm</v>
          </cell>
        </row>
        <row r="126">
          <cell r="A126" t="str">
            <v>TÊ HORIZ. C/ LONG. 100x19 #18, TRAV.PERF. 38x38 #18 C/ L=500mm</v>
          </cell>
        </row>
        <row r="127">
          <cell r="A127" t="str">
            <v>TÊ HORIZ. C/ LONG. 100x19 #18, TRAV.PERF. 38x38 #18 C/ L=600mm</v>
          </cell>
        </row>
        <row r="128">
          <cell r="A128" t="str">
            <v>TÊ HORIZ. C/ LONG. 100x19 #18, TRAV.PERF. 38x38 #18 C/ L=700mm</v>
          </cell>
        </row>
        <row r="129">
          <cell r="A129" t="str">
            <v>TÊ HORIZ. C/ LONG. 100x19 #18, TRAV.PERF. 38x38 #18 C/ L=800mm</v>
          </cell>
        </row>
        <row r="130">
          <cell r="A130" t="str">
            <v>TÊ HORIZ. C/ LONG. 100x19 #18, TRAV.PERF. 38x38 #18 C/ L=900mm</v>
          </cell>
        </row>
        <row r="131">
          <cell r="A131" t="str">
            <v>TÊ HORIZ. C/ LONG. 100x19 #18, TRAV.PERF. 38x38 #18 C/ L=1000mm</v>
          </cell>
        </row>
        <row r="132">
          <cell r="A132" t="str">
            <v>TÊ HORIZ. C/ LONG. 100x19 #18, TRAV.PERF. 38x38 #18 C/ L=1200mm</v>
          </cell>
        </row>
        <row r="134">
          <cell r="A134" t="str">
            <v>LEVE</v>
          </cell>
        </row>
        <row r="135">
          <cell r="A135" t="str">
            <v>JUNÇÃO 90º ESQ. C/ LONG. 75x19 #18, TRAV.PERF. 38x19 #18 C/ L=200mm</v>
          </cell>
        </row>
        <row r="136">
          <cell r="A136" t="str">
            <v>JUNÇÃO 90º ESQ. C/ LONG. 75x19 #18, TRAV.PERF. 38x19 #18 C/ L=300mm</v>
          </cell>
        </row>
        <row r="137">
          <cell r="A137" t="str">
            <v>JUNÇÃO 90º ESQ. C/ LONG. 75x19 #18, TRAV.PERF. 38x19 #18 C/ L=400mm</v>
          </cell>
        </row>
        <row r="138">
          <cell r="A138" t="str">
            <v>JUNÇÃO 90º ESQ. C/ LONG. 75x19 #18, TRAV.PERF. 38x19 #18 C/ L=500mm</v>
          </cell>
        </row>
        <row r="139">
          <cell r="A139" t="str">
            <v>JUNÇÃO 90º ESQ. C/ LONG. 75x19 #18, TRAV.PERF. 38x19 #18 C/ L=600mm</v>
          </cell>
        </row>
        <row r="141">
          <cell r="A141" t="str">
            <v>SEMI-PESADO</v>
          </cell>
        </row>
        <row r="142">
          <cell r="A142" t="str">
            <v>JUNÇÃO 90º ESQ. C/ LONG. 100x19 #18, TRAV.PERF. 38x19 #18 C/ L=200mm</v>
          </cell>
        </row>
        <row r="143">
          <cell r="A143" t="str">
            <v>JUNÇÃO 90º ESQ. C/ LONG. 100x19 #18, TRAV.PERF. 38x19 #18 C/ L=300mm</v>
          </cell>
        </row>
        <row r="144">
          <cell r="A144" t="str">
            <v>JUNÇÃO 90º ESQ. C/ LONG. 100x19 #18, TRAV.PERF. 38x19 #18 C/ L=400mm</v>
          </cell>
        </row>
        <row r="145">
          <cell r="A145" t="str">
            <v>JUNÇÃO 90º ESQ. C/ LONG. 100x19 #18, TRAV.PERF. 38x19 #18 C/ L=500mm</v>
          </cell>
        </row>
        <row r="146">
          <cell r="A146" t="str">
            <v>JUNÇÃO 90º ESQ. C/ LONG. 100x19 #18, TRAV.PERF. 38x19 #18 C/ L=600mm</v>
          </cell>
        </row>
        <row r="147">
          <cell r="A147" t="str">
            <v>JUNÇÃO 90º ESQ. C/ LONG. 100x19 #18, TRAV.PERF. 38x19 #18 C/ L=700mm</v>
          </cell>
        </row>
        <row r="148">
          <cell r="A148" t="str">
            <v>JUNÇÃO 90º ESQ. C/ LONG. 100x19 #18, TRAV.PERF. 38x19 #18 C/ L=800mm</v>
          </cell>
        </row>
        <row r="149">
          <cell r="A149" t="str">
            <v>JUNÇÃO 90º ESQ. C/ LONG. 100x19 #18, TRAV.PERF. 38x19 #18 C/ L=900mm</v>
          </cell>
        </row>
        <row r="150">
          <cell r="A150" t="str">
            <v>JUNÇÃO 90º ESQ. C/ LONG. 100x19 #18, TRAV.PERF. 38x19 #18 C/ L=1000mm</v>
          </cell>
        </row>
        <row r="151">
          <cell r="A151" t="str">
            <v>JUNÇÃO 90º ESQ. C/ LONG. 100x19 #18, TRAV.PERF. 38x19 #18 C/ L=1200mm</v>
          </cell>
        </row>
        <row r="153">
          <cell r="A153" t="str">
            <v>PESADO</v>
          </cell>
        </row>
        <row r="154">
          <cell r="A154" t="str">
            <v>JUNÇÃO 90º ESQ. C/ LONG. 100x19 #18, TRAV.PERF. 38x38 #18 C/ L=400mm</v>
          </cell>
        </row>
        <row r="155">
          <cell r="A155" t="str">
            <v>JUNÇÃO 90º ESQ. C/ LONG. 100x19 #18, TRAV.PERF. 38x38 #18 C/ L=500mm</v>
          </cell>
        </row>
        <row r="156">
          <cell r="A156" t="str">
            <v>JUNÇÃO 90º ESQ. C/ LONG. 100x19 #18, TRAV.PERF. 38x38 #18 C/ L=600mm</v>
          </cell>
        </row>
        <row r="157">
          <cell r="A157" t="str">
            <v>JUNÇÃO 90º ESQ. C/ LONG. 100x19 #18, TRAV.PERF. 38x38 #18 C/ L=700mm</v>
          </cell>
        </row>
        <row r="158">
          <cell r="A158" t="str">
            <v>JUNÇÃO 90º ESQ. C/ LONG. 100x19 #18, TRAV.PERF. 38x38 #18 C/ L=800mm</v>
          </cell>
        </row>
        <row r="159">
          <cell r="A159" t="str">
            <v>JUNÇÃO 90º ESQ. C/ LONG. 100x19 #18, TRAV.PERF. 38x38 #18 C/ L=900mm</v>
          </cell>
        </row>
        <row r="160">
          <cell r="A160" t="str">
            <v>JUNÇÃO 90º ESQ. C/ LONG. 100x19 #18, TRAV.PERF. 38x38 #18 C/ L=1000mm</v>
          </cell>
        </row>
        <row r="161">
          <cell r="A161" t="str">
            <v>JUNÇÃO 90º ESQ. C/ LONG. 100x19 #18, TRAV.PERF. 38x38 #18 C/ L=1200mm</v>
          </cell>
        </row>
        <row r="163">
          <cell r="A163" t="str">
            <v>LEVE</v>
          </cell>
        </row>
        <row r="164">
          <cell r="A164" t="str">
            <v>JUNÇÃO 45º ESQ. C/ LONG. 75x19 #18, TRAV.PERF. 38x19 #18 C/ L=200mm</v>
          </cell>
        </row>
        <row r="165">
          <cell r="A165" t="str">
            <v>JUNÇÃO 45º ESQ. C/ LONG. 75x19 #18, TRAV.PERF. 38x19 #18 C/ L=300mm</v>
          </cell>
        </row>
        <row r="166">
          <cell r="A166" t="str">
            <v>JUNÇÃO 45º ESQ. C/ LONG. 75x19 #18, TRAV.PERF. 38x19 #18 C/ L=400mm</v>
          </cell>
        </row>
        <row r="167">
          <cell r="A167" t="str">
            <v>JUNÇÃO 45º ESQ. C/ LONG. 75x19 #18, TRAV.PERF. 38x19 #18 C/ L=500mm</v>
          </cell>
        </row>
        <row r="168">
          <cell r="A168" t="str">
            <v>JUNÇÃO 45º ESQ. C/ LONG. 75x19 #18, TRAV.PERF. 38x19 #18 C/ L=600mm</v>
          </cell>
        </row>
        <row r="170">
          <cell r="A170" t="str">
            <v>SEMI-PESADO</v>
          </cell>
        </row>
        <row r="171">
          <cell r="A171" t="str">
            <v>JUNÇÃO 45º ESQ. C/ LONG. 100x19 #18, TRAV.PERF. 38x19 #18 C/ L=200mm</v>
          </cell>
        </row>
        <row r="172">
          <cell r="A172" t="str">
            <v>JUNÇÃO 45º ESQ. C/ LONG. 100x19 #18, TRAV.PERF. 38x19 #18 C/ L=300mm</v>
          </cell>
        </row>
        <row r="173">
          <cell r="A173" t="str">
            <v>JUNÇÃO 45º ESQ. C/ LONG. 100x19 #18, TRAV.PERF. 38x19 #18 C/ L=400mm</v>
          </cell>
        </row>
        <row r="174">
          <cell r="A174" t="str">
            <v>JUNÇÃO 45º ESQ. C/ LONG. 100x19 #18, TRAV.PERF. 38x19 #18 C/ L=500mm</v>
          </cell>
        </row>
        <row r="175">
          <cell r="A175" t="str">
            <v>JUNÇÃO 45º ESQ. C/ LONG. 100x19 #18, TRAV.PERF. 38x19 #18 C/ L=600mm</v>
          </cell>
        </row>
        <row r="176">
          <cell r="A176" t="str">
            <v>JUNÇÃO 45º ESQ. C/ LONG. 100x19 #18, TRAV.PERF. 38x19 #18 C/ L=700mm</v>
          </cell>
        </row>
        <row r="177">
          <cell r="A177" t="str">
            <v>JUNÇÃO 45º ESQ. C/ LONG. 100x19 #18, TRAV.PERF. 38x19 #18 C/ L=800mm</v>
          </cell>
        </row>
        <row r="178">
          <cell r="A178" t="str">
            <v>JUNÇÃO 45º ESQ. C/ LONG. 100x19 #18, TRAV.PERF. 38x19 #18 C/ L=900mm</v>
          </cell>
        </row>
        <row r="179">
          <cell r="A179" t="str">
            <v>JUNÇÃO 45º ESQ. C/ LONG. 100x19 #18, TRAV.PERF. 38x19 #18 C/ L=1000mm</v>
          </cell>
        </row>
        <row r="180">
          <cell r="A180" t="str">
            <v>JUNÇÃO 45º ESQ. C/ LONG. 100x19 #18, TRAV.PERF. 38x19 #18 C/ L=1200mm</v>
          </cell>
        </row>
        <row r="182">
          <cell r="A182" t="str">
            <v>PESADO</v>
          </cell>
        </row>
        <row r="183">
          <cell r="A183" t="str">
            <v>JUNÇÃO 45º ESQ. C/ LONG. 100x19 #18, TRAV.PERF. 38x38 #18 C/ L=400mm</v>
          </cell>
        </row>
        <row r="184">
          <cell r="A184" t="str">
            <v>JUNÇÃO 45º ESQ. C/ LONG. 100x19 #18, TRAV.PERF. 38x38 #18 C/ L=500mm</v>
          </cell>
        </row>
        <row r="185">
          <cell r="A185" t="str">
            <v>JUNÇÃO 45º ESQ. C/ LONG. 100x19 #18, TRAV.PERF. 38x38 #18 C/ L=600mm</v>
          </cell>
        </row>
        <row r="186">
          <cell r="A186" t="str">
            <v>JUNÇÃO 45º ESQ. C/ LONG. 100x19 #18, TRAV.PERF. 38x38 #18 C/ L=700mm</v>
          </cell>
        </row>
        <row r="187">
          <cell r="A187" t="str">
            <v>JUNÇÃO 45º ESQ. C/ LONG. 100x19 #18, TRAV.PERF. 38x38 #18 C/ L=800mm</v>
          </cell>
        </row>
        <row r="188">
          <cell r="A188" t="str">
            <v>JUNÇÃO 45º ESQ. C/ LONG. 100x19 #18, TRAV.PERF. 38x38 #18 C/ L=900mm</v>
          </cell>
        </row>
        <row r="189">
          <cell r="A189" t="str">
            <v>JUNÇÃO 45º ESQ. C/ LONG. 100x19 #18, TRAV.PERF. 38x38 #18 C/ L=1000mm</v>
          </cell>
        </row>
        <row r="190">
          <cell r="A190" t="str">
            <v>JUNÇÃO 45º ESQ. C/ LONG. 100x19 #18, TRAV.PERF. 38x38 #18 C/ L=1200mm</v>
          </cell>
        </row>
        <row r="192">
          <cell r="A192" t="str">
            <v>LEVE</v>
          </cell>
        </row>
        <row r="193">
          <cell r="A193" t="str">
            <v>JUNÇÃO 90º DIR. C/ LONG. 75x19 #18, TRAV.PERF. 38x19 #18 C/ L=200mm</v>
          </cell>
        </row>
        <row r="194">
          <cell r="A194" t="str">
            <v>JUNÇÃO 90º DIR. C/ LONG. 75x19 #18, TRAV.PERF. 38x19 #18 C/ L=300mm</v>
          </cell>
        </row>
        <row r="195">
          <cell r="A195" t="str">
            <v>JUNÇÃO 90º DIR. C/ LONG. 75x19 #18, TRAV.PERF. 38x19 #18 C/ L=400mm</v>
          </cell>
        </row>
        <row r="196">
          <cell r="A196" t="str">
            <v>JUNÇÃO 90º DIR. C/ LONG. 75x19 #18, TRAV.PERF. 38x19 #18 C/ L=500mm</v>
          </cell>
        </row>
        <row r="197">
          <cell r="A197" t="str">
            <v>JUNÇÃO 90º DIR. C/ LONG. 75x19 #18, TRAV.PERF. 38x19 #18 C/ L=600mm</v>
          </cell>
        </row>
        <row r="199">
          <cell r="A199" t="str">
            <v>SEMI-PESADO</v>
          </cell>
        </row>
        <row r="200">
          <cell r="A200" t="str">
            <v>JUNÇÃO 90º DIR. C/ LONG. 100x19 #18, TRAV.PERF. 38x19 #18 C/ L=200mm</v>
          </cell>
        </row>
        <row r="201">
          <cell r="A201" t="str">
            <v>JUNÇÃO 90º DIR. C/ LONG. 100x19 #18, TRAV.PERF. 38x19 #18 C/ L=300mm</v>
          </cell>
        </row>
        <row r="202">
          <cell r="A202" t="str">
            <v>JUNÇÃO 90º DIR. C/ LONG. 100x19 #18, TRAV.PERF. 38x19 #18 C/ L=400mm</v>
          </cell>
        </row>
        <row r="203">
          <cell r="A203" t="str">
            <v>JUNÇÃO 90º DIR. C/ LONG. 100x19 #18, TRAV.PERF. 38x19 #18 C/ L=500mm</v>
          </cell>
        </row>
        <row r="204">
          <cell r="A204" t="str">
            <v>JUNÇÃO 90º DIR. C/ LONG. 100x19 #18, TRAV.PERF. 38x19 #18 C/ L=600mm</v>
          </cell>
        </row>
        <row r="205">
          <cell r="A205" t="str">
            <v>JUNÇÃO 90º DIR. C/ LONG. 100x19 #18, TRAV.PERF. 38x19 #18 C/ L=700mm</v>
          </cell>
        </row>
        <row r="206">
          <cell r="A206" t="str">
            <v>JUNÇÃO 90º DIR. C/ LONG. 100x19 #18, TRAV.PERF. 38x19 #18 C/ L=800mm</v>
          </cell>
        </row>
        <row r="207">
          <cell r="A207" t="str">
            <v>JUNÇÃO 90º DIR. C/ LONG. 100x19 #18, TRAV.PERF. 38x19 #18 C/ L=900mm</v>
          </cell>
        </row>
        <row r="208">
          <cell r="A208" t="str">
            <v>JUNÇÃO 90º DIR. C/ LONG. 100x19 #18, TRAV.PERF. 38x19 #18 C/ L=1000mm</v>
          </cell>
        </row>
        <row r="209">
          <cell r="A209" t="str">
            <v>JUNÇÃO 90º DIR. C/ LONG. 100x19 #18, TRAV.PERF. 38x19 #18 C/ L=1200mm</v>
          </cell>
        </row>
        <row r="211">
          <cell r="A211" t="str">
            <v>PESADO</v>
          </cell>
        </row>
        <row r="212">
          <cell r="A212" t="str">
            <v>JUNÇÃO 90º DIR. C/ LONG. 100x19 #18, TRAV.PERF. 38x38 #18 C/ L=400mm</v>
          </cell>
        </row>
        <row r="213">
          <cell r="A213" t="str">
            <v>JUNÇÃO 90º DIR. C/ LONG. 100x19 #18, TRAV.PERF. 38x38 #18 C/ L=500mm</v>
          </cell>
        </row>
        <row r="214">
          <cell r="A214" t="str">
            <v>JUNÇÃO 90º DIR. C/ LONG. 100x19 #18, TRAV.PERF. 38x38 #18 C/ L=600mm</v>
          </cell>
        </row>
        <row r="215">
          <cell r="A215" t="str">
            <v>JUNÇÃO 90º DIR. C/ LONG. 100x19 #18, TRAV.PERF. 38x38 #18 C/ L=700mm</v>
          </cell>
        </row>
        <row r="216">
          <cell r="A216" t="str">
            <v>JUNÇÃO 90º DIR. C/ LONG. 100x19 #18, TRAV.PERF. 38x38 #18 C/ L=800mm</v>
          </cell>
        </row>
        <row r="217">
          <cell r="A217" t="str">
            <v>JUNÇÃO 90º DIR. C/ LONG. 100x19 #18, TRAV.PERF. 38x38 #18 C/ L=900mm</v>
          </cell>
        </row>
        <row r="218">
          <cell r="A218" t="str">
            <v>JUNÇÃO 90º DIR. C/ LONG. 100x19 #18, TRAV.PERF. 38x38 #18 C/ L=1000mm</v>
          </cell>
        </row>
        <row r="219">
          <cell r="A219" t="str">
            <v>JUNÇÃO 90º DIR. C/ LONG. 100x19 #18, TRAV.PERF. 38x38 #18 C/ L=1200mm</v>
          </cell>
        </row>
        <row r="221">
          <cell r="A221" t="str">
            <v>LEVE</v>
          </cell>
        </row>
        <row r="222">
          <cell r="A222" t="str">
            <v>JUNÇÃO 45º DIR. C/ LONG. 75x19 #18, TRAV.PERF. 38x19 #18 C/ L=200mm</v>
          </cell>
        </row>
        <row r="223">
          <cell r="A223" t="str">
            <v>JUNÇÃO 45º DIR. C/ LONG. 75x19 #18, TRAV.PERF. 38x19 #18 C/ L=300mm</v>
          </cell>
        </row>
        <row r="224">
          <cell r="A224" t="str">
            <v>JUNÇÃO 45º DIR. C/ LONG. 75x19 #18, TRAV.PERF. 38x19 #18 C/ L=400mm</v>
          </cell>
        </row>
        <row r="225">
          <cell r="A225" t="str">
            <v>JUNÇÃO 45º DIR. C/ LONG. 75x19 #18, TRAV.PERF. 38x19 #18 C/ L=500mm</v>
          </cell>
        </row>
        <row r="226">
          <cell r="A226" t="str">
            <v>JUNÇÃO 45º DIR. C/ LONG. 75x19 #18, TRAV.PERF. 38x19 #18 C/ L=600mm</v>
          </cell>
        </row>
        <row r="228">
          <cell r="A228" t="str">
            <v>SEMI-PESADO</v>
          </cell>
        </row>
        <row r="229">
          <cell r="A229" t="str">
            <v>JUNÇÃO 45º DIR. C/ LONG. 100x19 #18, TRAV.PERF. 38x19 #18 C/ L=200mm</v>
          </cell>
        </row>
        <row r="230">
          <cell r="A230" t="str">
            <v>JUNÇÃO 45º DIR. C/ LONG. 100x19 #18, TRAV.PERF. 38x19 #18 C/ L=300mm</v>
          </cell>
        </row>
        <row r="231">
          <cell r="A231" t="str">
            <v>JUNÇÃO 45º DIR. C/ LONG. 100x19 #18, TRAV.PERF. 38x19 #18 C/ L=400mm</v>
          </cell>
        </row>
        <row r="232">
          <cell r="A232" t="str">
            <v>JUNÇÃO 45º DIR. C/ LONG. 100x19 #18, TRAV.PERF. 38x19 #18 C/ L=500mm</v>
          </cell>
        </row>
        <row r="233">
          <cell r="A233" t="str">
            <v>JUNÇÃO 45º DIR. C/ LONG. 100x19 #18, TRAV.PERF. 38x19 #18 C/ L=600mm</v>
          </cell>
        </row>
        <row r="234">
          <cell r="A234" t="str">
            <v>JUNÇÃO 45º DIR. C/ LONG. 100x19 #18, TRAV.PERF. 38x19 #18 C/ L=700mm</v>
          </cell>
        </row>
        <row r="235">
          <cell r="A235" t="str">
            <v>JUNÇÃO 45º DIR. C/ LONG. 100x19 #18, TRAV.PERF. 38x19 #18 C/ L=800mm</v>
          </cell>
        </row>
        <row r="236">
          <cell r="A236" t="str">
            <v>JUNÇÃO 45º DIR. C/ LONG. 100x19 #18, TRAV.PERF. 38x19 #18 C/ L=900mm</v>
          </cell>
        </row>
        <row r="237">
          <cell r="A237" t="str">
            <v>JUNÇÃO 45º DIR. C/ LONG. 100x19 #18, TRAV.PERF. 38x19 #18 C/ L=1000mm</v>
          </cell>
        </row>
        <row r="238">
          <cell r="A238" t="str">
            <v>JUNÇÃO 45º DIR. C/ LONG. 100x19 #18, TRAV.PERF. 38x19 #18 C/ L=1200mm</v>
          </cell>
        </row>
        <row r="240">
          <cell r="A240" t="str">
            <v>PESADO</v>
          </cell>
        </row>
        <row r="241">
          <cell r="A241" t="str">
            <v>JUNÇÃO 45º DIR. C/ LONG. 100x19 #18, TRAV.PERF. 38x38 #18 C/ L=400mm</v>
          </cell>
        </row>
        <row r="242">
          <cell r="A242" t="str">
            <v>JUNÇÃO 45º DIR. C/ LONG. 100x19 #18, TRAV.PERF. 38x38 #18 C/ L=500mm</v>
          </cell>
        </row>
        <row r="243">
          <cell r="A243" t="str">
            <v>JUNÇÃO 45º DIR. C/ LONG. 100x19 #18, TRAV.PERF. 38x38 #18 C/ L=600mm</v>
          </cell>
        </row>
        <row r="244">
          <cell r="A244" t="str">
            <v>JUNÇÃO 45º DIR. C/ LONG. 100x19 #18, TRAV.PERF. 38x38 #18 C/ L=700mm</v>
          </cell>
        </row>
        <row r="245">
          <cell r="A245" t="str">
            <v>JUNÇÃO 45º DIR. C/ LONG. 100x19 #18, TRAV.PERF. 38x38 #18 C/ L=800mm</v>
          </cell>
        </row>
        <row r="246">
          <cell r="A246" t="str">
            <v>JUNÇÃO 45º DIR. C/ LONG. 100x19 #18, TRAV.PERF. 38x38 #18 C/ L=900mm</v>
          </cell>
        </row>
        <row r="247">
          <cell r="A247" t="str">
            <v>JUNÇÃO 45º DIR. C/ LONG. 100x19 #18, TRAV.PERF. 38x38 #18 C/ L=1000mm</v>
          </cell>
        </row>
        <row r="248">
          <cell r="A248" t="str">
            <v>JUNÇÃO 45º DIR. C/ LONG. 100x19 #18, TRAV.PERF. 38x38 #18 C/ L=1200mm</v>
          </cell>
        </row>
        <row r="250">
          <cell r="A250" t="str">
            <v>LEVE</v>
          </cell>
        </row>
        <row r="251">
          <cell r="A251" t="str">
            <v>CRUZETA 90º C/ LONG. 75x19 #18, TRAV.PERF. 38x19 #18 C/ L=200mm</v>
          </cell>
        </row>
        <row r="252">
          <cell r="A252" t="str">
            <v>CRUZETA 90º C/ LONG. 75x19 #18, TRAV.PERF. 38x19 #18 C/ L=300mm</v>
          </cell>
        </row>
        <row r="253">
          <cell r="A253" t="str">
            <v>CRUZETA 90º C/ LONG. 75x19 #18, TRAV.PERF. 38x19 #18 C/ L=400mm</v>
          </cell>
        </row>
        <row r="254">
          <cell r="A254" t="str">
            <v>CRUZETA 90º C/ LONG. 75x19 #18, TRAV.PERF. 38x19 #18 C/ L=500mm</v>
          </cell>
        </row>
        <row r="255">
          <cell r="A255" t="str">
            <v>CRUZETA 90º C/ LONG. 75x19 #18, TRAV.PERF. 38x19 #18 C/ L=600mm</v>
          </cell>
        </row>
        <row r="257">
          <cell r="A257" t="str">
            <v>SEMI-PESADO</v>
          </cell>
        </row>
        <row r="258">
          <cell r="A258" t="str">
            <v>CRUZETA 90º C/ LONG. 100x19 #18, TRAV.PERF. 38x19 #18 C/ L=200mm</v>
          </cell>
        </row>
        <row r="259">
          <cell r="A259" t="str">
            <v>CRUZETA 90º C/ LONG. 100x19 #18, TRAV.PERF. 38x19 #18 C/ L=300mm</v>
          </cell>
        </row>
        <row r="260">
          <cell r="A260" t="str">
            <v>CRUZETA 90º C/ LONG. 100x19 #18, TRAV.PERF. 38x19 #18 C/ L=400mm</v>
          </cell>
        </row>
        <row r="261">
          <cell r="A261" t="str">
            <v>CRUZETA 90º C/ LONG. 100x19 #18, TRAV.PERF. 38x19 #18 C/ L=500mm</v>
          </cell>
        </row>
        <row r="262">
          <cell r="A262" t="str">
            <v>CRUZETA 90º C/ LONG. 100x19 #18, TRAV.PERF. 38x19 #18 C/ L=600mm</v>
          </cell>
        </row>
        <row r="263">
          <cell r="A263" t="str">
            <v>CRUZETA 90º C/ LONG. 100x19 #18, TRAV.PERF. 38x19 #18 C/ L=700mm</v>
          </cell>
        </row>
        <row r="264">
          <cell r="A264" t="str">
            <v>CRUZETA 90º C/ LONG. 100x19 #18, TRAV.PERF. 38x19 #18 C/ L=800mm</v>
          </cell>
        </row>
        <row r="265">
          <cell r="A265" t="str">
            <v>CRUZETA 90º C/ LONG. 100x19 #18, TRAV.PERF. 38x19 #18 C/ L=900mm</v>
          </cell>
        </row>
        <row r="266">
          <cell r="A266" t="str">
            <v>CRUZETA 90º C/ LONG. 100x19 #18, TRAV.PERF. 38x19 #18 C/ L=1000mm</v>
          </cell>
        </row>
        <row r="267">
          <cell r="A267" t="str">
            <v>CRUZETA 90º C/ LONG. 100x19 #18, TRAV.PERF. 38x19 #18 C/ L=1200mm</v>
          </cell>
        </row>
        <row r="269">
          <cell r="A269" t="str">
            <v>PESADO</v>
          </cell>
        </row>
        <row r="270">
          <cell r="A270" t="str">
            <v>CRUZETA 90º C/ LONG. 100x19 #18, TRAV.PERF. 38x38 #18 C/ L=400mm</v>
          </cell>
        </row>
        <row r="271">
          <cell r="A271" t="str">
            <v>CRUZETA 90º C/ LONG. 100x19 #18, TRAV.PERF. 38x38 #18 C/ L=500mm</v>
          </cell>
        </row>
        <row r="272">
          <cell r="A272" t="str">
            <v>CRUZETA 90º C/ LONG. 100x19 #18, TRAV.PERF. 38x38 #18 C/ L=600mm</v>
          </cell>
        </row>
        <row r="273">
          <cell r="A273" t="str">
            <v>CRUZETA 90º C/ LONG. 100x19 #18, TRAV.PERF. 38x38 #18 C/ L=700mm</v>
          </cell>
        </row>
        <row r="274">
          <cell r="A274" t="str">
            <v>CRUZETA 90º C/ LONG. 100x19 #18, TRAV.PERF. 38x38 #18 C/ L=800mm</v>
          </cell>
        </row>
        <row r="275">
          <cell r="A275" t="str">
            <v>CRUZETA 90º C/ LONG. 100x19 #18, TRAV.PERF. 38x38 #18 C/ L=900mm</v>
          </cell>
        </row>
        <row r="276">
          <cell r="A276" t="str">
            <v>CRUZETA 90º C/ LONG. 100x19 #18, TRAV.PERF. 38x38 #18 C/ L=1000mm</v>
          </cell>
        </row>
        <row r="277">
          <cell r="A277" t="str">
            <v>CRUZETA 90º C/ LONG. 100x19 #18, TRAV.PERF. 38x38 #18 C/ L=1200mm</v>
          </cell>
        </row>
        <row r="279">
          <cell r="A279" t="str">
            <v>LEVE</v>
          </cell>
        </row>
        <row r="280">
          <cell r="A280" t="str">
            <v>COTOVELO RETO 90º C/ LONG. 75x19 #18, TRAV.PERF. 38x19 #18 C/ L=200mm</v>
          </cell>
        </row>
        <row r="281">
          <cell r="A281" t="str">
            <v>COTOVELO RETO 90º C/ LONG. 75x19 #18, TRAV.PERF. 38x19 #18 C/ L=300mm</v>
          </cell>
        </row>
        <row r="282">
          <cell r="A282" t="str">
            <v>COTOVELO RETO 90º C/ LONG. 75x19 #18, TRAV.PERF. 38x19 #18 C/ L=400mm</v>
          </cell>
        </row>
        <row r="283">
          <cell r="A283" t="str">
            <v>COTOVELO RETO 90º C/ LONG. 75x19 #18, TRAV.PERF. 38x19 #18 C/ L=500mm</v>
          </cell>
        </row>
        <row r="284">
          <cell r="A284" t="str">
            <v>COTOVELO RETO 90º C/ LONG. 75x19 #18, TRAV.PERF. 38x19 #18 C/ L=600mm</v>
          </cell>
        </row>
        <row r="286">
          <cell r="A286" t="str">
            <v>SEMI-PESADO</v>
          </cell>
        </row>
        <row r="287">
          <cell r="A287" t="str">
            <v>COTOVELO RETO 90º C/ LONG. 100x19 #18, TRAV.PERF. 38x19 #18 C/ L=200mm</v>
          </cell>
        </row>
        <row r="288">
          <cell r="A288" t="str">
            <v>COTOVELO RETO 90º C/ LONG. 100x19 #18, TRAV.PERF. 38x19 #18 C/ L=300mm</v>
          </cell>
        </row>
        <row r="289">
          <cell r="A289" t="str">
            <v>COTOVELO RETO 90º C/ LONG. 100x19 #18, TRAV.PERF. 38x19 #18 C/ L=400mm</v>
          </cell>
        </row>
        <row r="290">
          <cell r="A290" t="str">
            <v>COTOVELO RETO 90º C/ LONG. 100x19 #18, TRAV.PERF. 38x19 #18 C/ L=500mm</v>
          </cell>
        </row>
        <row r="291">
          <cell r="A291" t="str">
            <v>COTOVELO RETO 90º C/ LONG. 100x19 #18, TRAV.PERF. 38x19 #18 C/ L=600mm</v>
          </cell>
        </row>
        <row r="292">
          <cell r="A292" t="str">
            <v>COTOVELO RETO 90º C/ LONG. 100x19 #18, TRAV.PERF. 38x19 #18 C/ L=700mm</v>
          </cell>
        </row>
        <row r="293">
          <cell r="A293" t="str">
            <v>COTOVELO RETO 90º C/ LONG. 100x19 #18, TRAV.PERF. 38x19 #18 C/ L=800mm</v>
          </cell>
        </row>
        <row r="294">
          <cell r="A294" t="str">
            <v>COTOVELO RETO 90º C/ LONG. 100x19 #18, TRAV.PERF. 38x19 #18 C/ L=900mm</v>
          </cell>
        </row>
        <row r="295">
          <cell r="A295" t="str">
            <v>COTOVELO RETO 90º C/ LONG. 100x19 #18, TRAV.PERF. 38x19 #18 C/ L=1000mm</v>
          </cell>
        </row>
        <row r="296">
          <cell r="A296" t="str">
            <v>COTOVELO RETO 90º C/ LONG. 100x19 #18, TRAV.PERF. 38x19 #18 C/ L=1200mm</v>
          </cell>
        </row>
        <row r="298">
          <cell r="A298" t="str">
            <v>PESADO</v>
          </cell>
        </row>
        <row r="299">
          <cell r="A299" t="str">
            <v>COTOVELO RETO 90º C/ LONG. 100x19 #18, TRAV.PERF. 38x38 #18 C/ L=400mm</v>
          </cell>
        </row>
        <row r="300">
          <cell r="A300" t="str">
            <v>COTOVELO RETO 90º C/ LONG. 100x19 #18, TRAV.PERF. 38x38 #18 C/ L=500mm</v>
          </cell>
        </row>
        <row r="301">
          <cell r="A301" t="str">
            <v>COTOVELO RETO 90º C/ LONG. 100x19 #18, TRAV.PERF. 38x38 #18 C/ L=600mm</v>
          </cell>
        </row>
        <row r="302">
          <cell r="A302" t="str">
            <v>COTOVELO RETO 90º C/ LONG. 100x19 #18, TRAV.PERF. 38x38 #18 C/ L=700mm</v>
          </cell>
        </row>
        <row r="303">
          <cell r="A303" t="str">
            <v>COTOVELO RETO 90º C/ LONG. 100x19 #18, TRAV.PERF. 38x38 #18 C/ L=800mm</v>
          </cell>
        </row>
        <row r="304">
          <cell r="A304" t="str">
            <v>COTOVELO RETO 90º C/ LONG. 100x19 #18, TRAV.PERF. 38x38 #18 C/ L=900mm</v>
          </cell>
        </row>
        <row r="305">
          <cell r="A305" t="str">
            <v>COTOVELO RETO 90º C/ LONG. 100x19 #18, TRAV.PERF. 38x38 #18 C/ L=1000mm</v>
          </cell>
        </row>
        <row r="306">
          <cell r="A306" t="str">
            <v>COTOVELO RETO 90º C/ LONG. 100x19 #18, TRAV.PERF. 38x38 #18 C/ L=1200mm</v>
          </cell>
        </row>
        <row r="308">
          <cell r="A308" t="str">
            <v>LEVE</v>
          </cell>
        </row>
        <row r="309">
          <cell r="A309" t="str">
            <v>TÊ RETO 90º C/ LONG. 75x19 #18, TRAV.PERF. 38x19 #18 C/ L=200mm</v>
          </cell>
        </row>
        <row r="310">
          <cell r="A310" t="str">
            <v>TÊ RETO 90º C/ LONG. 75x19 #18, TRAV.PERF. 38x19 #18 C/ L=300mm</v>
          </cell>
        </row>
        <row r="311">
          <cell r="A311" t="str">
            <v>TÊ RETO 90º C/ LONG. 75x19 #18, TRAV.PERF. 38x19 #18 C/ L=400mm</v>
          </cell>
        </row>
        <row r="312">
          <cell r="A312" t="str">
            <v>TÊ RETO 90º C/ LONG. 75x19 #18, TRAV.PERF. 38x19 #18 C/ L=500mm</v>
          </cell>
        </row>
        <row r="313">
          <cell r="A313" t="str">
            <v>TÊ RETO 90º C/ LONG. 75x19 #18, TRAV.PERF. 38x19 #18 C/ L=600mm</v>
          </cell>
        </row>
        <row r="315">
          <cell r="A315" t="str">
            <v>SEMI-PESADO</v>
          </cell>
        </row>
        <row r="316">
          <cell r="A316" t="str">
            <v>TÊ RETO 90º C/ LONG. 100x19 #18, TRAV.PERF. 38x19 #18 C/ L=200mm</v>
          </cell>
        </row>
        <row r="317">
          <cell r="A317" t="str">
            <v>TÊ RETO 90º C/ LONG. 100x19 #18, TRAV.PERF. 38x19 #18 C/ L=300mm</v>
          </cell>
        </row>
        <row r="318">
          <cell r="A318" t="str">
            <v>TÊ RETO 90º C/ LONG. 100x19 #18, TRAV.PERF. 38x19 #18 C/ L=400mm</v>
          </cell>
        </row>
        <row r="319">
          <cell r="A319" t="str">
            <v>TÊ RETO 90º C/ LONG. 100x19 #18, TRAV.PERF. 38x19 #18 C/ L=500mm</v>
          </cell>
        </row>
        <row r="320">
          <cell r="A320" t="str">
            <v>TÊ RETO 90º C/ LONG. 100x19 #18, TRAV.PERF. 38x19 #18 C/ L=600mm</v>
          </cell>
        </row>
        <row r="321">
          <cell r="A321" t="str">
            <v>TÊ RETO 90º C/ LONG. 100x19 #18, TRAV.PERF. 38x19 #18 C/ L=700mm</v>
          </cell>
        </row>
        <row r="322">
          <cell r="A322" t="str">
            <v>TÊ RETO 90º C/ LONG. 100x19 #18, TRAV.PERF. 38x19 #18 C/ L=800mm</v>
          </cell>
        </row>
        <row r="323">
          <cell r="A323" t="str">
            <v>TÊ RETO 90º C/ LONG. 100x19 #18, TRAV.PERF. 38x19 #18 C/ L=900mm</v>
          </cell>
        </row>
        <row r="324">
          <cell r="A324" t="str">
            <v>TÊ RETO 90º C/ LONG. 100x19 #18, TRAV.PERF. 38x19 #18 C/ L=1000mm</v>
          </cell>
        </row>
        <row r="325">
          <cell r="A325" t="str">
            <v>TÊ RETO 90º C/ LONG. 100x19 #18, TRAV.PERF. 38x19 #18 C/ L=1200mm</v>
          </cell>
        </row>
        <row r="327">
          <cell r="A327" t="str">
            <v>PESADO</v>
          </cell>
        </row>
        <row r="328">
          <cell r="A328" t="str">
            <v>TÊ RETO 90º C/ LONG. 100x19 #18, TRAV.PERF. 38x38 #18 C/ L=400mm</v>
          </cell>
        </row>
        <row r="329">
          <cell r="A329" t="str">
            <v>TÊ RETO 90º C/ LONG. 100x19 #18, TRAV.PERF. 38x38 #18 C/ L=500mm</v>
          </cell>
        </row>
        <row r="330">
          <cell r="A330" t="str">
            <v>TÊ RETO 90º C/ LONG. 100x19 #18, TRAV.PERF. 38x38 #18 C/ L=600mm</v>
          </cell>
        </row>
        <row r="331">
          <cell r="A331" t="str">
            <v>TÊ RETO 90º C/ LONG. 100x19 #18, TRAV.PERF. 38x38 #18 C/ L=700mm</v>
          </cell>
        </row>
        <row r="332">
          <cell r="A332" t="str">
            <v>TÊ RETO 90º C/ LONG. 100x19 #18, TRAV.PERF. 38x38 #18 C/ L=800mm</v>
          </cell>
        </row>
        <row r="333">
          <cell r="A333" t="str">
            <v>TÊ RETO 90º C/ LONG. 100x19 #18, TRAV.PERF. 38x38 #18 C/ L=900mm</v>
          </cell>
        </row>
        <row r="334">
          <cell r="A334" t="str">
            <v>TÊ RETO 90º C/ LONG. 100x19 #18, TRAV.PERF. 38x38 #18 C/ L=1000mm</v>
          </cell>
        </row>
        <row r="335">
          <cell r="A335" t="str">
            <v>TÊ RETO 90º C/ LONG. 100x19 #18, TRAV.PERF. 38x38 #18 C/ L=1200mm</v>
          </cell>
        </row>
        <row r="337">
          <cell r="A337" t="str">
            <v>LEVE</v>
          </cell>
        </row>
        <row r="338">
          <cell r="A338" t="str">
            <v>CRUZETA RETA 90º C/ LONG. 75x19 #18, TRAV.PERF. 38x19 #18 C/ L=200mm</v>
          </cell>
        </row>
        <row r="339">
          <cell r="A339" t="str">
            <v>CRUZETA RETA 90º C/ LONG. 75x19 #18, TRAV.PERF. 38x19 #18 C/ L=300mm</v>
          </cell>
        </row>
        <row r="340">
          <cell r="A340" t="str">
            <v>CRUZETA RETA 90º C/ LONG. 75x19 #18, TRAV.PERF. 38x19 #18 C/ L=400mm</v>
          </cell>
        </row>
        <row r="341">
          <cell r="A341" t="str">
            <v>CRUZETA RETA 90º C/ LONG. 75x19 #18, TRAV.PERF. 38x19 #18 C/ L=500mm</v>
          </cell>
        </row>
        <row r="342">
          <cell r="A342" t="str">
            <v>CRUZETA RETA 90º C/ LONG. 75x19 #18, TRAV.PERF. 38x19 #18 C/ L=600mm</v>
          </cell>
        </row>
        <row r="344">
          <cell r="A344" t="str">
            <v>SEMI-PESADO</v>
          </cell>
        </row>
        <row r="345">
          <cell r="A345" t="str">
            <v>CRUZETA RETA 90º C/ LONG. 100x19 #18, TRAV.PERF. 38x19 #18 C/ L=200mm</v>
          </cell>
        </row>
        <row r="346">
          <cell r="A346" t="str">
            <v>CRUZETA RETA 90º C/ LONG. 100x19 #18, TRAV.PERF. 38x19 #18 C/ L=300mm</v>
          </cell>
        </row>
        <row r="347">
          <cell r="A347" t="str">
            <v>CRUZETA RETA 90º C/ LONG. 100x19 #18, TRAV.PERF. 38x19 #18 C/ L=400mm</v>
          </cell>
        </row>
        <row r="348">
          <cell r="A348" t="str">
            <v>CRUZETA RETA 90º C/ LONG. 100x19 #18, TRAV.PERF. 38x19 #18 C/ L=500mm</v>
          </cell>
        </row>
        <row r="349">
          <cell r="A349" t="str">
            <v>CRUZETA RETA 90º C/ LONG. 100x19 #18, TRAV.PERF. 38x19 #18 C/ L=600mm</v>
          </cell>
        </row>
        <row r="350">
          <cell r="A350" t="str">
            <v>CRUZETA RETA 90º C/ LONG. 100x19 #18, TRAV.PERF. 38x19 #18 C/ L=700mm</v>
          </cell>
        </row>
        <row r="351">
          <cell r="A351" t="str">
            <v>CRUZETA RETA 90º C/ LONG. 100x19 #18, TRAV.PERF. 38x19 #18 C/ L=800mm</v>
          </cell>
        </row>
        <row r="352">
          <cell r="A352" t="str">
            <v>CRUZETA RETA 90º C/ LONG. 100x19 #18, TRAV.PERF. 38x19 #18 C/ L=900mm</v>
          </cell>
        </row>
        <row r="353">
          <cell r="A353" t="str">
            <v>CRUZETA RETA 90º C/ LONG. 100x19 #18, TRAV.PERF. 38x19 #18 C/ L=1000mm</v>
          </cell>
        </row>
        <row r="354">
          <cell r="A354" t="str">
            <v>CRUZETA RETA 90º C/ LONG. 100x19 #18, TRAV.PERF. 38x19 #18 C/ L=1200mm</v>
          </cell>
        </row>
        <row r="356">
          <cell r="A356" t="str">
            <v>PESADO</v>
          </cell>
        </row>
        <row r="357">
          <cell r="A357" t="str">
            <v>CRUZETA RETA 90º C/ LONG. 100x19 #18, TRAV.PERF. 38x38 #18 C/ L=400mm</v>
          </cell>
        </row>
        <row r="358">
          <cell r="A358" t="str">
            <v>CRUZETA RETA 90º C/ LONG. 100x19 #18, TRAV.PERF. 38x38 #18 C/ L=500mm</v>
          </cell>
        </row>
        <row r="359">
          <cell r="A359" t="str">
            <v>CRUZETA RETA 90º C/ LONG. 100x19 #18, TRAV.PERF. 38x38 #18 C/ L=600mm</v>
          </cell>
        </row>
        <row r="360">
          <cell r="A360" t="str">
            <v>CRUZETA RETA 90º C/ LONG. 100x19 #18, TRAV.PERF. 38x38 #18 C/ L=700mm</v>
          </cell>
        </row>
        <row r="361">
          <cell r="A361" t="str">
            <v>CRUZETA RETA 90º C/ LONG. 100x19 #18, TRAV.PERF. 38x38 #18 C/ L=800mm</v>
          </cell>
        </row>
        <row r="362">
          <cell r="A362" t="str">
            <v>CRUZETA RETA 90º C/ LONG. 100x19 #18, TRAV.PERF. 38x38 #18 C/ L=900mm</v>
          </cell>
        </row>
        <row r="363">
          <cell r="A363" t="str">
            <v>CRUZETA RETA 90º C/ LONG. 100x19 #18, TRAV.PERF. 38x38 #18 C/ L=1000mm</v>
          </cell>
        </row>
        <row r="364">
          <cell r="A364" t="str">
            <v>CRUZETA RETA 90º C/ LONG. 100x19 #18, TRAV.PERF. 38x38 #18 C/ L=1200mm</v>
          </cell>
        </row>
        <row r="366">
          <cell r="A366" t="str">
            <v>LEVE</v>
          </cell>
        </row>
        <row r="367">
          <cell r="A367" t="str">
            <v xml:space="preserve">RED. CONC. 90º C/ LONG. 600x500x75x19 #18, TRAV.PERF. 38x19 #18 </v>
          </cell>
        </row>
        <row r="368">
          <cell r="A368" t="str">
            <v xml:space="preserve">RED. CONC. 90º C/ LONG. 600x400x75x19 #18, TRAV.PERF. 38x19 #18 </v>
          </cell>
        </row>
        <row r="369">
          <cell r="A369" t="str">
            <v xml:space="preserve">RED. CONC. 90º C/ LONG. 600x300x75x19 #18, TRAV.PERF. 38x19 #18 </v>
          </cell>
        </row>
        <row r="370">
          <cell r="A370" t="str">
            <v xml:space="preserve">RED. CONC. 90º C/ LONG. 600x200x75x19 #18, TRAV.PERF. 38x19 #18 </v>
          </cell>
        </row>
        <row r="371">
          <cell r="A371" t="str">
            <v xml:space="preserve">RED. CONC. 90º C/ LONG. 500x400x75x19 #18, TRAV.PERF. 38x19 #18 </v>
          </cell>
        </row>
        <row r="372">
          <cell r="A372" t="str">
            <v xml:space="preserve">RED. CONC. 90º C/ LONG. 500x300x75x19 #18, TRAV.PERF. 38x19 #18 </v>
          </cell>
        </row>
        <row r="373">
          <cell r="A373" t="str">
            <v xml:space="preserve">RED. CONC. 90º C/ LONG. 500x200x75x19 #18, TRAV.PERF. 38x19 #18 </v>
          </cell>
        </row>
        <row r="374">
          <cell r="A374" t="str">
            <v xml:space="preserve">RED. CONC. 90º C/ LONG. 400x300x75x19 #18, TRAV.PERF. 38x19 #18 </v>
          </cell>
        </row>
        <row r="375">
          <cell r="A375" t="str">
            <v xml:space="preserve">RED. CONC. 90º C/ LONG. 400x200x75x19 #18, TRAV.PERF. 38x19 #18 </v>
          </cell>
        </row>
        <row r="376">
          <cell r="A376" t="str">
            <v xml:space="preserve">RED. CONC. 90º C/ LONG. 300x200x75x19 #18, TRAV.PERF. 38x19 #18 </v>
          </cell>
        </row>
        <row r="378">
          <cell r="A378" t="str">
            <v>SEMI-PESADO</v>
          </cell>
        </row>
        <row r="379">
          <cell r="A379" t="str">
            <v xml:space="preserve">RED. CONC. 90º C/ LONG. 1200x1000x100x19 #18, TRAV.PERF. 38x19 #18 </v>
          </cell>
        </row>
        <row r="380">
          <cell r="A380" t="str">
            <v xml:space="preserve">RED. CONC. 90º C/ LONG. 1200x900x100x19 #18, TRAV.PERF. 38x19 #18 </v>
          </cell>
        </row>
        <row r="381">
          <cell r="A381" t="str">
            <v xml:space="preserve">RED. CONC. 90º C/ LONG. 1200x800x100x19 #18, TRAV.PERF. 38x19 #18 </v>
          </cell>
        </row>
        <row r="382">
          <cell r="A382" t="str">
            <v xml:space="preserve">RED. CONC. 90º C/ LONG. 1200x700x100x19 #18, TRAV.PERF. 38x19 #18 </v>
          </cell>
        </row>
        <row r="383">
          <cell r="A383" t="str">
            <v xml:space="preserve">RED. CONC. 90º C/ LONG. 1200x600x100x19 #18, TRAV.PERF. 38x19 #18 </v>
          </cell>
        </row>
        <row r="384">
          <cell r="A384" t="str">
            <v xml:space="preserve">RED. CONC. 90º C/ LONG. 1200x500x100x19 #18, TRAV.PERF. 38x19 #18 </v>
          </cell>
        </row>
        <row r="385">
          <cell r="A385" t="str">
            <v xml:space="preserve">RED. CONC. 90º C/ LONG. 1200x400x100x19 #18, TRAV.PERF. 38x19 #18 </v>
          </cell>
        </row>
        <row r="386">
          <cell r="A386" t="str">
            <v xml:space="preserve">RED. CONC. 90º C/ LONG. 1200x300x100x19 #18, TRAV.PERF. 38x19 #18 </v>
          </cell>
        </row>
        <row r="387">
          <cell r="A387" t="str">
            <v xml:space="preserve">RED. CONC. 90º C/ LONG. 1200x200x100x19 #18, TRAV.PERF. 38x19 #18 </v>
          </cell>
        </row>
        <row r="388">
          <cell r="A388" t="str">
            <v xml:space="preserve">RED. CONC. 90º C/ LONG. 1000x900x100x19 #18, TRAV.PERF. 38x19 #18 </v>
          </cell>
        </row>
        <row r="389">
          <cell r="A389" t="str">
            <v xml:space="preserve">RED. CONC. 90º C/ LONG. 1000x800x100x19 #18, TRAV.PERF. 38x19 #18 </v>
          </cell>
        </row>
        <row r="390">
          <cell r="A390" t="str">
            <v xml:space="preserve">RED. CONC. 90º C/ LONG. 1000x700x100x19 #18, TRAV.PERF. 38x19 #18 </v>
          </cell>
        </row>
        <row r="391">
          <cell r="A391" t="str">
            <v xml:space="preserve">RED. CONC. 90º C/ LONG. 1000x600x100x19 #18, TRAV.PERF. 38x19 #18 </v>
          </cell>
        </row>
        <row r="392">
          <cell r="A392" t="str">
            <v xml:space="preserve">RED. CONC. 90º C/ LONG. 1000x500x100x19 #18, TRAV.PERF. 38x19 #18 </v>
          </cell>
        </row>
        <row r="393">
          <cell r="A393" t="str">
            <v xml:space="preserve">RED. CONC. 90º C/ LONG. 1000x400x100x19 #18, TRAV.PERF. 38x19 #18 </v>
          </cell>
        </row>
        <row r="394">
          <cell r="A394" t="str">
            <v xml:space="preserve">RED. CONC. 90º C/ LONG. 1000x300x100x19 #18, TRAV.PERF. 38x19 #18 </v>
          </cell>
        </row>
        <row r="395">
          <cell r="A395" t="str">
            <v xml:space="preserve">RED. CONC. 90º C/ LONG. 1000x200x100x19 #18, TRAV.PERF. 38x19 #18 </v>
          </cell>
        </row>
        <row r="396">
          <cell r="A396" t="str">
            <v xml:space="preserve">RED. CONC. 90º C/ LONG. 900x800x100x19 #18, TRAV.PERF. 38x19 #18 </v>
          </cell>
        </row>
        <row r="397">
          <cell r="A397" t="str">
            <v xml:space="preserve">RED. CONC. 90º C/ LONG. 900x700x100x19 #18, TRAV.PERF. 38x19 #18 </v>
          </cell>
        </row>
        <row r="398">
          <cell r="A398" t="str">
            <v xml:space="preserve">RED. CONC. 90º C/ LONG. 900x600x100x19 #18, TRAV.PERF. 38x19 #18 </v>
          </cell>
        </row>
        <row r="399">
          <cell r="A399" t="str">
            <v xml:space="preserve">RED. CONC. 90º C/ LONG. 900x500x100x19 #18, TRAV.PERF. 38x19 #18 </v>
          </cell>
        </row>
        <row r="400">
          <cell r="A400" t="str">
            <v xml:space="preserve">RED. CONC. 90º C/ LONG. 900x400x100x19 #18, TRAV.PERF. 38x19 #18 </v>
          </cell>
        </row>
        <row r="401">
          <cell r="A401" t="str">
            <v xml:space="preserve">RED. CONC. 90º C/ LONG. 900x300x100x19 #18, TRAV.PERF. 38x19 #18 </v>
          </cell>
        </row>
        <row r="402">
          <cell r="A402" t="str">
            <v xml:space="preserve">RED. CONC. 90º C/ LONG. 900x200x100x19 #18, TRAV.PERF. 38x19 #18 </v>
          </cell>
        </row>
        <row r="403">
          <cell r="A403" t="str">
            <v xml:space="preserve">RED. CONC. 90º C/ LONG. 800x700x100x19 #18, TRAV.PERF. 38x19 #18 </v>
          </cell>
        </row>
        <row r="404">
          <cell r="A404" t="str">
            <v xml:space="preserve">RED. CONC. 90º C/ LONG. 800x600x100x19 #18, TRAV.PERF. 38x19 #18 </v>
          </cell>
        </row>
        <row r="405">
          <cell r="A405" t="str">
            <v xml:space="preserve">RED. CONC. 90º C/ LONG. 800x500x100x19 #18, TRAV.PERF. 38x19 #18 </v>
          </cell>
        </row>
        <row r="406">
          <cell r="A406" t="str">
            <v xml:space="preserve">RED. CONC. 90º C/ LONG. 800x400x100x19 #18, TRAV.PERF. 38x19 #18 </v>
          </cell>
        </row>
        <row r="407">
          <cell r="A407" t="str">
            <v xml:space="preserve">RED. CONC. 90º C/ LONG. 800x300x100x19 #18, TRAV.PERF. 38x19 #18 </v>
          </cell>
        </row>
        <row r="408">
          <cell r="A408" t="str">
            <v xml:space="preserve">RED. CONC. 90º C/ LONG. 800x200x100x19 #18, TRAV.PERF. 38x19 #18 </v>
          </cell>
        </row>
        <row r="409">
          <cell r="A409" t="str">
            <v xml:space="preserve">RED. CONC. 90º C/ LONG. 700x600x100x19 #18, TRAV.PERF. 38x19 #18 </v>
          </cell>
        </row>
        <row r="410">
          <cell r="A410" t="str">
            <v xml:space="preserve">RED. CONC. 90º C/ LONG. 700x500x100x19 #18, TRAV.PERF. 38x19 #18 </v>
          </cell>
        </row>
        <row r="411">
          <cell r="A411" t="str">
            <v xml:space="preserve">RED. CONC. 90º C/ LONG. 700x400x100x19 #18, TRAV.PERF. 38x19 #18 </v>
          </cell>
        </row>
        <row r="412">
          <cell r="A412" t="str">
            <v xml:space="preserve">RED. CONC. 90º C/ LONG. 700x300x100x19 #18, TRAV.PERF. 38x19 #18 </v>
          </cell>
        </row>
        <row r="413">
          <cell r="A413" t="str">
            <v xml:space="preserve">RED. CONC. 90º C/ LONG. 700x200x100x19 #18, TRAV.PERF. 38x19 #18 </v>
          </cell>
        </row>
        <row r="414">
          <cell r="A414" t="str">
            <v xml:space="preserve">RED. CONC. 90º C/ LONG. 600x500x100x19 #18, TRAV.PERF. 38x19 #18 </v>
          </cell>
        </row>
        <row r="415">
          <cell r="A415" t="str">
            <v xml:space="preserve">RED. CONC. 90º C/ LONG. 600x400x100x19 #18, TRAV.PERF. 38x19 #18 </v>
          </cell>
        </row>
        <row r="416">
          <cell r="A416" t="str">
            <v xml:space="preserve">RED. CONC. 90º C/ LONG. 600x300x100x19 #18, TRAV.PERF. 38x19 #18 </v>
          </cell>
        </row>
        <row r="417">
          <cell r="A417" t="str">
            <v xml:space="preserve">RED. CONC. 90º C/ LONG. 600x200x100x19 #18, TRAV.PERF. 38x19 #18 </v>
          </cell>
        </row>
        <row r="418">
          <cell r="A418" t="str">
            <v xml:space="preserve">RED. CONC. 90º C/ LONG. 500x400x100x19 #18, TRAV.PERF. 38x19 #18 </v>
          </cell>
        </row>
        <row r="419">
          <cell r="A419" t="str">
            <v xml:space="preserve">RED. CONC. 90º C/ LONG. 500x300x100x19 #18, TRAV.PERF. 38x19 #18 </v>
          </cell>
        </row>
        <row r="420">
          <cell r="A420" t="str">
            <v xml:space="preserve">RED. CONC. 90º C/ LONG. 500x200x100x19 #18, TRAV.PERF. 38x19 #18 </v>
          </cell>
        </row>
        <row r="421">
          <cell r="A421" t="str">
            <v xml:space="preserve">RED. CONC. 90º C/ LONG. 400x300x100x19 #18, TRAV.PERF. 38x19 #18 </v>
          </cell>
        </row>
        <row r="422">
          <cell r="A422" t="str">
            <v xml:space="preserve">RED. CONC. 90º C/ LONG. 400x200x100x19 #18, TRAV.PERF. 38x19 #18 </v>
          </cell>
        </row>
        <row r="423">
          <cell r="A423" t="str">
            <v xml:space="preserve">RED. CONC. 90º C/ LONG. 300x200x100x19 #18, TRAV.PERF. 38x19 #18 </v>
          </cell>
        </row>
        <row r="425">
          <cell r="A425" t="str">
            <v>PESADO</v>
          </cell>
        </row>
        <row r="426">
          <cell r="A426" t="str">
            <v xml:space="preserve">RED. CONC. 90º C/ LONG. 1200x1000x100x19 #18, TRAV.PERF. 38x38 #18 </v>
          </cell>
        </row>
        <row r="427">
          <cell r="A427" t="str">
            <v xml:space="preserve">RED. CONC. 90º C/ LONG. 1200x900x100x19 #18, TRAV.PERF. 38x38 #18 </v>
          </cell>
        </row>
        <row r="428">
          <cell r="A428" t="str">
            <v xml:space="preserve">RED. CONC. 90º C/ LONG. 1200x800x100x19 #18, TRAV.PERF. 38x38 #18 </v>
          </cell>
        </row>
        <row r="429">
          <cell r="A429" t="str">
            <v xml:space="preserve">RED. CONC. 90º C/ LONG. 1200x700x100x19 #18, TRAV.PERF. 38x38 #18 </v>
          </cell>
        </row>
        <row r="430">
          <cell r="A430" t="str">
            <v xml:space="preserve">RED. CONC. 90º C/ LONG. 1200x600x100x19 #18, TRAV.PERF. 38x38 #18 </v>
          </cell>
        </row>
        <row r="431">
          <cell r="A431" t="str">
            <v xml:space="preserve">RED. CONC. 90º C/ LONG. 1200x500x100x19 #18, TRAV.PERF. 38x38 #18 </v>
          </cell>
        </row>
        <row r="432">
          <cell r="A432" t="str">
            <v xml:space="preserve">RED. CONC. 90º C/ LONG. 1200x400x100x19 #18, TRAV.PERF. 38x38 #18 </v>
          </cell>
        </row>
        <row r="433">
          <cell r="A433" t="str">
            <v xml:space="preserve">RED. CONC. 90º C/ LONG. 1000x900x100x19 #18, TRAV.PERF. 38x38 #18 </v>
          </cell>
        </row>
        <row r="434">
          <cell r="A434" t="str">
            <v xml:space="preserve">RED. CONC. 90º C/ LONG. 1000x800x100x19 #18, TRAV.PERF. 38x38 #18 </v>
          </cell>
        </row>
        <row r="435">
          <cell r="A435" t="str">
            <v xml:space="preserve">RED. CONC. 90º C/ LONG. 1000x700x100x19 #18, TRAV.PERF. 38x38 #18 </v>
          </cell>
        </row>
        <row r="436">
          <cell r="A436" t="str">
            <v xml:space="preserve">RED. CONC. 90º C/ LONG. 1000x600x100x19 #18, TRAV.PERF. 38x38 #18 </v>
          </cell>
        </row>
        <row r="437">
          <cell r="A437" t="str">
            <v xml:space="preserve">RED. CONC. 90º C/ LONG. 1000x500x100x19 #18, TRAV.PERF. 38x38 #18 </v>
          </cell>
        </row>
        <row r="438">
          <cell r="A438" t="str">
            <v xml:space="preserve">RED. CONC. 90º C/ LONG. 1000x400x100x19 #18, TRAV.PERF. 38x38 #18 </v>
          </cell>
        </row>
        <row r="439">
          <cell r="A439" t="str">
            <v xml:space="preserve">RED. CONC. 90º C/ LONG. 900x800x100x19 #18, TRAV.PERF. 38x38 #18 </v>
          </cell>
        </row>
        <row r="440">
          <cell r="A440" t="str">
            <v xml:space="preserve">RED. CONC. 90º C/ LONG. 900x700x100x19 #18, TRAV.PERF. 38x38 #18 </v>
          </cell>
        </row>
        <row r="441">
          <cell r="A441" t="str">
            <v xml:space="preserve">RED. CONC. 90º C/ LONG. 900x600x100x19 #18, TRAV.PERF. 38x38 #18 </v>
          </cell>
        </row>
        <row r="442">
          <cell r="A442" t="str">
            <v xml:space="preserve">RED. CONC. 90º C/ LONG. 900x500x100x19 #18, TRAV.PERF. 38x38 #18 </v>
          </cell>
        </row>
        <row r="443">
          <cell r="A443" t="str">
            <v xml:space="preserve">RED. CONC. 90º C/ LONG. 900x400x100x19 #18, TRAV.PERF. 38x38 #18 </v>
          </cell>
        </row>
        <row r="444">
          <cell r="A444" t="str">
            <v xml:space="preserve">RED. CONC. 90º C/ LONG. 800x700x100x19 #18, TRAV.PERF. 38x38 #18 </v>
          </cell>
        </row>
        <row r="445">
          <cell r="A445" t="str">
            <v xml:space="preserve">RED. CONC. 90º C/ LONG. 800x600x100x19 #18, TRAV.PERF. 38x38 #18 </v>
          </cell>
        </row>
        <row r="446">
          <cell r="A446" t="str">
            <v xml:space="preserve">RED. CONC. 90º C/ LONG. 800x500x100x19 #18, TRAV.PERF. 38x38 #18 </v>
          </cell>
        </row>
        <row r="447">
          <cell r="A447" t="str">
            <v xml:space="preserve">RED. CONC. 90º C/ LONG. 800x400x100x19 #18, TRAV.PERF. 38x38 #18 </v>
          </cell>
        </row>
        <row r="448">
          <cell r="A448" t="str">
            <v xml:space="preserve">RED. CONC. 90º C/ LONG. 700x600x100x19 #18, TRAV.PERF. 38x38 #18 </v>
          </cell>
        </row>
        <row r="449">
          <cell r="A449" t="str">
            <v xml:space="preserve">RED. CONC. 90º C/ LONG. 700x500x100x19 #18, TRAV.PERF. 38x38 #18 </v>
          </cell>
        </row>
        <row r="450">
          <cell r="A450" t="str">
            <v xml:space="preserve">RED. CONC. 90º C/ LONG. 700x400x100x19 #18, TRAV.PERF. 38x38 #18 </v>
          </cell>
        </row>
        <row r="451">
          <cell r="A451" t="str">
            <v xml:space="preserve">RED. CONC. 90º C/ LONG. 600x500x100x19 #18, TRAV.PERF. 38x38 #18 </v>
          </cell>
        </row>
        <row r="452">
          <cell r="A452" t="str">
            <v xml:space="preserve">RED. CONC. 90º C/ LONG. 600x400x100x19 #18, TRAV.PERF. 38x38 #18 </v>
          </cell>
        </row>
        <row r="453">
          <cell r="A453" t="str">
            <v xml:space="preserve">RED. CONC. 90º C/ LONG. 500x400x100x19 #18, TRAV.PERF. 38x38 #18 </v>
          </cell>
        </row>
        <row r="455">
          <cell r="A455" t="str">
            <v>LEVE</v>
          </cell>
        </row>
        <row r="456">
          <cell r="A456" t="str">
            <v xml:space="preserve">RED. À DIR. 90º C/ LONG. 600x500x75x19 #18, TRAV.PERF. 38x19 #18 </v>
          </cell>
        </row>
        <row r="457">
          <cell r="A457" t="str">
            <v xml:space="preserve">RED. À DIR. 90º C/ LONG. 600x400x75x19 #18, TRAV.PERF. 38x19 #18 </v>
          </cell>
        </row>
        <row r="458">
          <cell r="A458" t="str">
            <v xml:space="preserve">RED. À DIR. 90º C/ LONG. 600x300x75x19 #18, TRAV.PERF. 38x19 #18 </v>
          </cell>
        </row>
        <row r="459">
          <cell r="A459" t="str">
            <v xml:space="preserve">RED. À DIR. 90º C/ LONG. 600x200x75x19 #18, TRAV.PERF. 38x19 #18 </v>
          </cell>
        </row>
        <row r="460">
          <cell r="A460" t="str">
            <v xml:space="preserve">RED. À DIR. 90º C/ LONG. 500x400x75x19 #18, TRAV.PERF. 38x19 #18 </v>
          </cell>
        </row>
        <row r="461">
          <cell r="A461" t="str">
            <v xml:space="preserve">RED. À DIR. 90º C/ LONG. 500x300x75x19 #18, TRAV.PERF. 38x19 #18 </v>
          </cell>
        </row>
        <row r="462">
          <cell r="A462" t="str">
            <v xml:space="preserve">RED. À DIR. 90º C/ LONG. 500x200x75x19 #18, TRAV.PERF. 38x19 #18 </v>
          </cell>
        </row>
        <row r="463">
          <cell r="A463" t="str">
            <v xml:space="preserve">RED. À DIR. 90º C/ LONG. 400x300x75x19 #18, TRAV.PERF. 38x19 #18 </v>
          </cell>
        </row>
        <row r="464">
          <cell r="A464" t="str">
            <v xml:space="preserve">RED. À DIR. 90º C/ LONG. 400x200x75x19 #18, TRAV.PERF. 38x19 #18 </v>
          </cell>
        </row>
        <row r="465">
          <cell r="A465" t="str">
            <v xml:space="preserve">RED. À DIR. 90º C/ LONG. 300x200x75x19 #18, TRAV.PERF. 38x19 #18 </v>
          </cell>
        </row>
        <row r="467">
          <cell r="A467" t="str">
            <v>SEMI-PESADO</v>
          </cell>
        </row>
        <row r="468">
          <cell r="A468" t="str">
            <v xml:space="preserve">RED. À DIR. 90º C/ LONG. 1200x1000x100x19 #18, TRAV.PERF. 38x19 #18 </v>
          </cell>
        </row>
        <row r="469">
          <cell r="A469" t="str">
            <v xml:space="preserve">RED. À DIR. 90º C/ LONG. 1200x900x100x19 #18, TRAV.PERF. 38x19 #18 </v>
          </cell>
        </row>
        <row r="470">
          <cell r="A470" t="str">
            <v xml:space="preserve">RED. À DIR. 90º C/ LONG. 1200x800x100x19 #18, TRAV.PERF. 38x19 #18 </v>
          </cell>
        </row>
        <row r="471">
          <cell r="A471" t="str">
            <v xml:space="preserve">RED. À DIR. 90º C/ LONG. 1200x700x100x19 #18, TRAV.PERF. 38x19 #18 </v>
          </cell>
        </row>
        <row r="472">
          <cell r="A472" t="str">
            <v xml:space="preserve">RED. À DIR. 90º C/ LONG. 1200x600x100x19 #18, TRAV.PERF. 38x19 #18 </v>
          </cell>
        </row>
        <row r="473">
          <cell r="A473" t="str">
            <v xml:space="preserve">RED. À DIR. 90º C/ LONG. 1200x500x100x19 #18, TRAV.PERF. 38x19 #18 </v>
          </cell>
        </row>
        <row r="474">
          <cell r="A474" t="str">
            <v xml:space="preserve">RED. À DIR. 90º C/ LONG. 1200x400x100x19 #18, TRAV.PERF. 38x19 #18 </v>
          </cell>
        </row>
        <row r="475">
          <cell r="A475" t="str">
            <v xml:space="preserve">RED. À DIR. 90º C/ LONG. 1200x300x100x19 #18, TRAV.PERF. 38x19 #18 </v>
          </cell>
        </row>
        <row r="476">
          <cell r="A476" t="str">
            <v xml:space="preserve">RED. À DIR. 90º C/ LONG. 1200x200x100x19 #18, TRAV.PERF. 38x19 #18 </v>
          </cell>
        </row>
        <row r="477">
          <cell r="A477" t="str">
            <v xml:space="preserve">RED. À DIR. 90º C/ LONG. 1000x900x100x19 #18, TRAV.PERF. 38x19 #18 </v>
          </cell>
        </row>
        <row r="478">
          <cell r="A478" t="str">
            <v xml:space="preserve">RED. À DIR. 90º C/ LONG. 1000x800x100x19 #18, TRAV.PERF. 38x19 #18 </v>
          </cell>
        </row>
        <row r="479">
          <cell r="A479" t="str">
            <v xml:space="preserve">RED. À DIR. 90º C/ LONG. 1000x700x100x19 #18, TRAV.PERF. 38x19 #18 </v>
          </cell>
        </row>
        <row r="480">
          <cell r="A480" t="str">
            <v xml:space="preserve">RED. À DIR. 90º C/ LONG. 1000x600x100x19 #18, TRAV.PERF. 38x19 #18 </v>
          </cell>
        </row>
        <row r="481">
          <cell r="A481" t="str">
            <v xml:space="preserve">RED. À DIR. 90º C/ LONG. 1000x500x100x19 #18, TRAV.PERF. 38x19 #18 </v>
          </cell>
        </row>
        <row r="482">
          <cell r="A482" t="str">
            <v xml:space="preserve">RED. À DIR. 90º C/ LONG. 1000x400x100x19 #18, TRAV.PERF. 38x19 #18 </v>
          </cell>
        </row>
        <row r="483">
          <cell r="A483" t="str">
            <v xml:space="preserve">RED. À DIR. 90º C/ LONG. 1000x300x100x19 #18, TRAV.PERF. 38x19 #18 </v>
          </cell>
        </row>
        <row r="484">
          <cell r="A484" t="str">
            <v xml:space="preserve">RED. À DIR. 90º C/ LONG. 1000x200x100x19 #18, TRAV.PERF. 38x19 #18 </v>
          </cell>
        </row>
        <row r="485">
          <cell r="A485" t="str">
            <v xml:space="preserve">RED. À DIR. 90º C/ LONG. 900x800x100x19 #18, TRAV.PERF. 38x19 #18 </v>
          </cell>
        </row>
        <row r="486">
          <cell r="A486" t="str">
            <v xml:space="preserve">RED. À DIR. 90º C/ LONG. 900x700x100x19 #18, TRAV.PERF. 38x19 #18 </v>
          </cell>
        </row>
        <row r="487">
          <cell r="A487" t="str">
            <v xml:space="preserve">RED. À DIR. 90º C/ LONG. 900x600x100x19 #18, TRAV.PERF. 38x19 #18 </v>
          </cell>
        </row>
        <row r="488">
          <cell r="A488" t="str">
            <v xml:space="preserve">RED. À DIR. 90º C/ LONG. 900x500x100x19 #18, TRAV.PERF. 38x19 #18 </v>
          </cell>
        </row>
        <row r="489">
          <cell r="A489" t="str">
            <v xml:space="preserve">RED. À DIR. 90º C/ LONG. 900x400x100x19 #18, TRAV.PERF. 38x19 #18 </v>
          </cell>
        </row>
        <row r="490">
          <cell r="A490" t="str">
            <v xml:space="preserve">RED. À DIR. 90º C/ LONG. 900x300x100x19 #18, TRAV.PERF. 38x19 #18 </v>
          </cell>
        </row>
        <row r="491">
          <cell r="A491" t="str">
            <v xml:space="preserve">RED. À DIR. 90º C/ LONG. 900x200x100x19 #18, TRAV.PERF. 38x19 #18 </v>
          </cell>
        </row>
        <row r="492">
          <cell r="A492" t="str">
            <v xml:space="preserve">RED. À DIR. 90º C/ LONG. 800x700x100x19 #18, TRAV.PERF. 38x19 #18 </v>
          </cell>
        </row>
        <row r="493">
          <cell r="A493" t="str">
            <v xml:space="preserve">RED. À DIR. 90º C/ LONG. 800x600x100x19 #18, TRAV.PERF. 38x19 #18 </v>
          </cell>
        </row>
        <row r="494">
          <cell r="A494" t="str">
            <v xml:space="preserve">RED. À DIR. 90º C/ LONG. 800x500x100x19 #18, TRAV.PERF. 38x19 #18 </v>
          </cell>
        </row>
        <row r="495">
          <cell r="A495" t="str">
            <v xml:space="preserve">RED. À DIR. 90º C/ LONG. 800x400x100x19 #18, TRAV.PERF. 38x19 #18 </v>
          </cell>
        </row>
        <row r="496">
          <cell r="A496" t="str">
            <v xml:space="preserve">RED. À DIR. 90º C/ LONG. 800x300x100x19 #18, TRAV.PERF. 38x19 #18 </v>
          </cell>
        </row>
        <row r="497">
          <cell r="A497" t="str">
            <v xml:space="preserve">RED. À DIR. 90º C/ LONG. 800x200x100x19 #18, TRAV.PERF. 38x19 #18 </v>
          </cell>
        </row>
        <row r="498">
          <cell r="A498" t="str">
            <v xml:space="preserve">RED. À DIR. 90º C/ LONG. 700x600x100x19 #18, TRAV.PERF. 38x19 #18 </v>
          </cell>
        </row>
        <row r="499">
          <cell r="A499" t="str">
            <v xml:space="preserve">RED. À DIR. 90º C/ LONG. 700x500x100x19 #18, TRAV.PERF. 38x19 #18 </v>
          </cell>
        </row>
        <row r="500">
          <cell r="A500" t="str">
            <v xml:space="preserve">RED. À DIR. 90º C/ LONG. 700x400x100x19 #18, TRAV.PERF. 38x19 #18 </v>
          </cell>
        </row>
        <row r="501">
          <cell r="A501" t="str">
            <v xml:space="preserve">RED. À DIR. 90º C/ LONG. 700x300x100x19 #18, TRAV.PERF. 38x19 #18 </v>
          </cell>
        </row>
        <row r="502">
          <cell r="A502" t="str">
            <v xml:space="preserve">RED. À DIR. 90º C/ LONG. 700x200x100x19 #18, TRAV.PERF. 38x19 #18 </v>
          </cell>
        </row>
        <row r="503">
          <cell r="A503" t="str">
            <v xml:space="preserve">RED. À DIR. 90º C/ LONG. 600x500x100x19 #18, TRAV.PERF. 38x19 #18 </v>
          </cell>
        </row>
        <row r="504">
          <cell r="A504" t="str">
            <v xml:space="preserve">RED. À DIR. 90º C/ LONG. 600x400x100x19 #18, TRAV.PERF. 38x19 #18 </v>
          </cell>
        </row>
        <row r="505">
          <cell r="A505" t="str">
            <v xml:space="preserve">RED. À DIR. 90º C/ LONG. 600x300x100x19 #18, TRAV.PERF. 38x19 #18 </v>
          </cell>
        </row>
        <row r="506">
          <cell r="A506" t="str">
            <v xml:space="preserve">RED. À DIR. 90º C/ LONG. 600x200x100x19 #18, TRAV.PERF. 38x19 #18 </v>
          </cell>
        </row>
        <row r="507">
          <cell r="A507" t="str">
            <v xml:space="preserve">RED. À DIR. 90º C/ LONG. 500x400x100x19 #18, TRAV.PERF. 38x19 #18 </v>
          </cell>
        </row>
        <row r="508">
          <cell r="A508" t="str">
            <v xml:space="preserve">RED. À DIR. 90º C/ LONG. 500x300x100x19 #18, TRAV.PERF. 38x19 #18 </v>
          </cell>
        </row>
        <row r="509">
          <cell r="A509" t="str">
            <v xml:space="preserve">RED. À DIR. 90º C/ LONG. 500x200x100x19 #18, TRAV.PERF. 38x19 #18 </v>
          </cell>
        </row>
        <row r="510">
          <cell r="A510" t="str">
            <v xml:space="preserve">RED. À DIR. 90º C/ LONG. 400x300x100x19 #18, TRAV.PERF. 38x19 #18 </v>
          </cell>
        </row>
        <row r="511">
          <cell r="A511" t="str">
            <v xml:space="preserve">RED. À DIR. 90º C/ LONG. 400x200x100x19 #18, TRAV.PERF. 38x19 #18 </v>
          </cell>
        </row>
        <row r="512">
          <cell r="A512" t="str">
            <v xml:space="preserve">RED. À DIR. 90º C/ LONG. 300x200x100x19 #18, TRAV.PERF. 38x19 #18 </v>
          </cell>
        </row>
        <row r="514">
          <cell r="A514" t="str">
            <v>PESADO</v>
          </cell>
        </row>
        <row r="515">
          <cell r="A515" t="str">
            <v xml:space="preserve">RED. À DIR. 90º C/ LONG. 1200x1000x100x19 #18, TRAV.PERF. 38x38 #18 </v>
          </cell>
        </row>
        <row r="516">
          <cell r="A516" t="str">
            <v xml:space="preserve">RED. À DIR. 90º C/ LONG. 1200x900x100x19 #18, TRAV.PERF. 38x38 #18 </v>
          </cell>
        </row>
        <row r="517">
          <cell r="A517" t="str">
            <v xml:space="preserve">RED. À DIR. 90º C/ LONG. 1200x800x100x19 #18, TRAV.PERF. 38x38 #18 </v>
          </cell>
        </row>
        <row r="518">
          <cell r="A518" t="str">
            <v xml:space="preserve">RED. À DIR. 90º C/ LONG. 1200x700x100x19 #18, TRAV.PERF. 38x38 #18 </v>
          </cell>
        </row>
        <row r="519">
          <cell r="A519" t="str">
            <v xml:space="preserve">RED. À DIR. 90º C/ LONG. 1200x600x100x19 #18, TRAV.PERF. 38x38 #18 </v>
          </cell>
        </row>
        <row r="520">
          <cell r="A520" t="str">
            <v xml:space="preserve">RED. À DIR. 90º C/ LONG. 1200x500x100x19 #18, TRAV.PERF. 38x38 #18 </v>
          </cell>
        </row>
        <row r="521">
          <cell r="A521" t="str">
            <v xml:space="preserve">RED. À DIR. 90º C/ LONG. 1200x400x100x19 #18, TRAV.PERF. 38x38 #18 </v>
          </cell>
        </row>
        <row r="522">
          <cell r="A522" t="str">
            <v xml:space="preserve">RED. À DIR. 90º C/ LONG. 1000x900x100x19 #18, TRAV.PERF. 38x38 #18 </v>
          </cell>
        </row>
        <row r="523">
          <cell r="A523" t="str">
            <v xml:space="preserve">RED. À DIR. 90º C/ LONG. 1000x800x100x19 #18, TRAV.PERF. 38x38 #18 </v>
          </cell>
        </row>
        <row r="524">
          <cell r="A524" t="str">
            <v xml:space="preserve">RED. À DIR. 90º C/ LONG. 1000x700x100x19 #18, TRAV.PERF. 38x38 #18 </v>
          </cell>
        </row>
        <row r="525">
          <cell r="A525" t="str">
            <v xml:space="preserve">RED. À DIR. 90º C/ LONG. 1000x600x100x19 #18, TRAV.PERF. 38x38 #18 </v>
          </cell>
        </row>
        <row r="526">
          <cell r="A526" t="str">
            <v xml:space="preserve">RED. À DIR. 90º C/ LONG. 1000x500x100x19 #18, TRAV.PERF. 38x38 #18 </v>
          </cell>
        </row>
        <row r="527">
          <cell r="A527" t="str">
            <v xml:space="preserve">RED. À DIR. 90º C/ LONG. 1000x400x100x19 #18, TRAV.PERF. 38x38 #18 </v>
          </cell>
        </row>
        <row r="528">
          <cell r="A528" t="str">
            <v xml:space="preserve">RED. À DIR. 90º C/ LONG. 900x800x100x19 #18, TRAV.PERF. 38x38 #18 </v>
          </cell>
        </row>
        <row r="529">
          <cell r="A529" t="str">
            <v xml:space="preserve">RED. À DIR. 90º C/ LONG. 900x700x100x19 #18, TRAV.PERF. 38x38 #18 </v>
          </cell>
        </row>
        <row r="530">
          <cell r="A530" t="str">
            <v xml:space="preserve">RED. À DIR. 90º C/ LONG. 900x600x100x19 #18, TRAV.PERF. 38x38 #18 </v>
          </cell>
        </row>
        <row r="531">
          <cell r="A531" t="str">
            <v xml:space="preserve">RED. À DIR. 90º C/ LONG. 900x500x100x19 #18, TRAV.PERF. 38x38 #18 </v>
          </cell>
        </row>
        <row r="532">
          <cell r="A532" t="str">
            <v xml:space="preserve">RED. À DIR. 90º C/ LONG. 900x400x100x19 #18, TRAV.PERF. 38x38 #18 </v>
          </cell>
        </row>
        <row r="533">
          <cell r="A533" t="str">
            <v xml:space="preserve">RED. À DIR. 90º C/ LONG. 800x700x100x19 #18, TRAV.PERF. 38x38 #18 </v>
          </cell>
        </row>
        <row r="534">
          <cell r="A534" t="str">
            <v xml:space="preserve">RED. À DIR. 90º C/ LONG. 800x600x100x19 #18, TRAV.PERF. 38x38 #18 </v>
          </cell>
        </row>
        <row r="535">
          <cell r="A535" t="str">
            <v xml:space="preserve">RED. À DIR. 90º C/ LONG. 800x500x100x19 #18, TRAV.PERF. 38x38 #18 </v>
          </cell>
        </row>
        <row r="536">
          <cell r="A536" t="str">
            <v xml:space="preserve">RED. À DIR. 90º C/ LONG. 800x400x100x19 #18, TRAV.PERF. 38x38 #18 </v>
          </cell>
        </row>
        <row r="537">
          <cell r="A537" t="str">
            <v xml:space="preserve">RED. À DIR. 90º C/ LONG. 700x600x100x19 #18, TRAV.PERF. 38x38 #18 </v>
          </cell>
        </row>
        <row r="538">
          <cell r="A538" t="str">
            <v xml:space="preserve">RED. À DIR. 90º C/ LONG. 700x500x100x19 #18, TRAV.PERF. 38x38 #18 </v>
          </cell>
        </row>
        <row r="539">
          <cell r="A539" t="str">
            <v xml:space="preserve">RED. À DIR. 90º C/ LONG. 700x400x100x19 #18, TRAV.PERF. 38x38 #18 </v>
          </cell>
        </row>
        <row r="540">
          <cell r="A540" t="str">
            <v xml:space="preserve">RED. À DIR. 90º C/ LONG. 600x500x100x19 #18, TRAV.PERF. 38x38 #18 </v>
          </cell>
        </row>
        <row r="541">
          <cell r="A541" t="str">
            <v xml:space="preserve">RED. À DIR. 90º C/ LONG. 600x400x100x19 #18, TRAV.PERF. 38x38 #18 </v>
          </cell>
        </row>
        <row r="542">
          <cell r="A542" t="str">
            <v xml:space="preserve">RED. À DIR. 90º C/ LONG. 500x400x100x19 #18, TRAV.PERF. 38x38 #18 </v>
          </cell>
        </row>
        <row r="544">
          <cell r="A544" t="str">
            <v>LEVE</v>
          </cell>
        </row>
        <row r="545">
          <cell r="A545" t="str">
            <v xml:space="preserve">RED. À ESQ. 90º C/ LONG. 600x500x75x19 #18, TRAV.PERF. 38x19 #18 </v>
          </cell>
        </row>
        <row r="546">
          <cell r="A546" t="str">
            <v xml:space="preserve">RED. À ESQ. 90º C/ LONG. 600x400x75x19 #18, TRAV.PERF. 38x19 #18 </v>
          </cell>
        </row>
        <row r="547">
          <cell r="A547" t="str">
            <v xml:space="preserve">RED. À ESQ. 90º C/ LONG. 600x300x75x19 #18, TRAV.PERF. 38x19 #18 </v>
          </cell>
        </row>
        <row r="548">
          <cell r="A548" t="str">
            <v xml:space="preserve">RED. À ESQ. 90º C/ LONG. 600x200x75x19 #18, TRAV.PERF. 38x19 #18 </v>
          </cell>
        </row>
        <row r="549">
          <cell r="A549" t="str">
            <v xml:space="preserve">RED. À ESQ. 90º C/ LONG. 500x400x75x19 #18, TRAV.PERF. 38x19 #18 </v>
          </cell>
        </row>
        <row r="550">
          <cell r="A550" t="str">
            <v xml:space="preserve">RED. À ESQ. 90º C/ LONG. 500x300x75x19 #18, TRAV.PERF. 38x19 #18 </v>
          </cell>
        </row>
        <row r="551">
          <cell r="A551" t="str">
            <v xml:space="preserve">RED. À ESQ. 90º C/ LONG. 500x200x75x19 #18, TRAV.PERF. 38x19 #18 </v>
          </cell>
        </row>
        <row r="552">
          <cell r="A552" t="str">
            <v xml:space="preserve">RED. À ESQ. 90º C/ LONG. 400x300x75x19 #18, TRAV.PERF. 38x19 #18 </v>
          </cell>
        </row>
        <row r="553">
          <cell r="A553" t="str">
            <v xml:space="preserve">RED. À ESQ. 90º C/ LONG. 400x200x75x19 #18, TRAV.PERF. 38x19 #18 </v>
          </cell>
        </row>
        <row r="554">
          <cell r="A554" t="str">
            <v xml:space="preserve">RED. À ESQ. 90º C/ LONG. 300x200x75x19 #18, TRAV.PERF. 38x19 #18 </v>
          </cell>
        </row>
        <row r="556">
          <cell r="A556" t="str">
            <v>SEMI-PESADO</v>
          </cell>
        </row>
        <row r="557">
          <cell r="A557" t="str">
            <v xml:space="preserve">RED. À ESQ. 90º C/ LONG. 1200x1000x100x19 #18, TRAV.PERF. 38x19 #18 </v>
          </cell>
        </row>
        <row r="558">
          <cell r="A558" t="str">
            <v xml:space="preserve">RED. À ESQ. 90º C/ LONG. 1200x900x100x19 #18, TRAV.PERF. 38x19 #18 </v>
          </cell>
        </row>
        <row r="559">
          <cell r="A559" t="str">
            <v xml:space="preserve">RED. À ESQ. 90º C/ LONG. 1200x800x100x19 #18, TRAV.PERF. 38x19 #18 </v>
          </cell>
        </row>
        <row r="560">
          <cell r="A560" t="str">
            <v xml:space="preserve">RED. À ESQ. 90º C/ LONG. 1200x700x100x19 #18, TRAV.PERF. 38x19 #18 </v>
          </cell>
        </row>
        <row r="561">
          <cell r="A561" t="str">
            <v xml:space="preserve">RED. À ESQ. 90º C/ LONG. 1200x600x100x19 #18, TRAV.PERF. 38x19 #18 </v>
          </cell>
        </row>
        <row r="562">
          <cell r="A562" t="str">
            <v xml:space="preserve">RED. À ESQ. 90º C/ LONG. 1200x500x100x19 #18, TRAV.PERF. 38x19 #18 </v>
          </cell>
        </row>
        <row r="563">
          <cell r="A563" t="str">
            <v xml:space="preserve">RED. À ESQ. 90º C/ LONG. 1200x400x100x19 #18, TRAV.PERF. 38x19 #18 </v>
          </cell>
        </row>
        <row r="564">
          <cell r="A564" t="str">
            <v xml:space="preserve">RED. À ESQ. 90º C/ LONG. 1200x300x100x19 #18, TRAV.PERF. 38x19 #18 </v>
          </cell>
        </row>
        <row r="565">
          <cell r="A565" t="str">
            <v xml:space="preserve">RED. À ESQ. 90º C/ LONG. 1200x200x100x19 #18, TRAV.PERF. 38x19 #18 </v>
          </cell>
        </row>
        <row r="566">
          <cell r="A566" t="str">
            <v xml:space="preserve">RED. À ESQ. 90º C/ LONG. 1000x900x100x19 #18, TRAV.PERF. 38x19 #18 </v>
          </cell>
        </row>
        <row r="567">
          <cell r="A567" t="str">
            <v xml:space="preserve">RED. À ESQ. 90º C/ LONG. 1000x800x100x19 #18, TRAV.PERF. 38x19 #18 </v>
          </cell>
        </row>
        <row r="568">
          <cell r="A568" t="str">
            <v xml:space="preserve">RED. À ESQ. 90º C/ LONG. 1000x700x100x19 #18, TRAV.PERF. 38x19 #18 </v>
          </cell>
        </row>
        <row r="569">
          <cell r="A569" t="str">
            <v xml:space="preserve">RED. À ESQ. 90º C/ LONG. 1000x600x100x19 #18, TRAV.PERF. 38x19 #18 </v>
          </cell>
        </row>
        <row r="570">
          <cell r="A570" t="str">
            <v xml:space="preserve">RED. À ESQ. 90º C/ LONG. 1000x500x100x19 #18, TRAV.PERF. 38x19 #18 </v>
          </cell>
        </row>
        <row r="571">
          <cell r="A571" t="str">
            <v xml:space="preserve">RED. À ESQ. 90º C/ LONG. 1000x400x100x19 #18, TRAV.PERF. 38x19 #18 </v>
          </cell>
        </row>
        <row r="572">
          <cell r="A572" t="str">
            <v xml:space="preserve">RED. À ESQ. 90º C/ LONG. 1000x300x100x19 #18, TRAV.PERF. 38x19 #18 </v>
          </cell>
        </row>
        <row r="573">
          <cell r="A573" t="str">
            <v xml:space="preserve">RED. À ESQ. 90º C/ LONG. 1000x200x100x19 #18, TRAV.PERF. 38x19 #18 </v>
          </cell>
        </row>
        <row r="574">
          <cell r="A574" t="str">
            <v xml:space="preserve">RED. À ESQ. 90º C/ LONG. 900x800x100x19 #18, TRAV.PERF. 38x19 #18 </v>
          </cell>
        </row>
        <row r="575">
          <cell r="A575" t="str">
            <v xml:space="preserve">RED. À ESQ. 90º C/ LONG. 900x700x100x19 #18, TRAV.PERF. 38x19 #18 </v>
          </cell>
        </row>
        <row r="576">
          <cell r="A576" t="str">
            <v xml:space="preserve">RED. À ESQ. 90º C/ LONG. 900x600x100x19 #18, TRAV.PERF. 38x19 #18 </v>
          </cell>
        </row>
        <row r="577">
          <cell r="A577" t="str">
            <v xml:space="preserve">RED. À ESQ. 90º C/ LONG. 900x500x100x19 #18, TRAV.PERF. 38x19 #18 </v>
          </cell>
        </row>
        <row r="578">
          <cell r="A578" t="str">
            <v xml:space="preserve">RED. À ESQ. 90º C/ LONG. 900x400x100x19 #18, TRAV.PERF. 38x19 #18 </v>
          </cell>
        </row>
        <row r="579">
          <cell r="A579" t="str">
            <v xml:space="preserve">RED. À ESQ. 90º C/ LONG. 900x300x100x19 #18, TRAV.PERF. 38x19 #18 </v>
          </cell>
        </row>
        <row r="580">
          <cell r="A580" t="str">
            <v xml:space="preserve">RED. À ESQ. 90º C/ LONG. 900x200x100x19 #18, TRAV.PERF. 38x19 #18 </v>
          </cell>
        </row>
        <row r="581">
          <cell r="A581" t="str">
            <v xml:space="preserve">RED. À ESQ. 90º C/ LONG. 800x700x100x19 #18, TRAV.PERF. 38x19 #18 </v>
          </cell>
        </row>
        <row r="582">
          <cell r="A582" t="str">
            <v xml:space="preserve">RED. À ESQ. 90º C/ LONG. 800x600x100x19 #18, TRAV.PERF. 38x19 #18 </v>
          </cell>
        </row>
        <row r="583">
          <cell r="A583" t="str">
            <v xml:space="preserve">RED. À ESQ. 90º C/ LONG. 800x500x100x19 #18, TRAV.PERF. 38x19 #18 </v>
          </cell>
        </row>
        <row r="584">
          <cell r="A584" t="str">
            <v xml:space="preserve">RED. À ESQ. 90º C/ LONG. 800x400x100x19 #18, TRAV.PERF. 38x19 #18 </v>
          </cell>
        </row>
        <row r="585">
          <cell r="A585" t="str">
            <v xml:space="preserve">RED. À ESQ. 90º C/ LONG. 800x300x100x19 #18, TRAV.PERF. 38x19 #18 </v>
          </cell>
        </row>
        <row r="586">
          <cell r="A586" t="str">
            <v xml:space="preserve">RED. À ESQ. 90º C/ LONG. 800x200x100x19 #18, TRAV.PERF. 38x19 #18 </v>
          </cell>
        </row>
        <row r="587">
          <cell r="A587" t="str">
            <v xml:space="preserve">RED. À ESQ. 90º C/ LONG. 700x600x100x19 #18, TRAV.PERF. 38x19 #18 </v>
          </cell>
        </row>
        <row r="588">
          <cell r="A588" t="str">
            <v xml:space="preserve">RED. À ESQ. 90º C/ LONG. 700x500x100x19 #18, TRAV.PERF. 38x19 #18 </v>
          </cell>
        </row>
        <row r="589">
          <cell r="A589" t="str">
            <v xml:space="preserve">RED. À ESQ. 90º C/ LONG. 700x400x100x19 #18, TRAV.PERF. 38x19 #18 </v>
          </cell>
        </row>
        <row r="590">
          <cell r="A590" t="str">
            <v xml:space="preserve">RED. À ESQ. 90º C/ LONG. 700x300x100x19 #18, TRAV.PERF. 38x19 #18 </v>
          </cell>
        </row>
        <row r="591">
          <cell r="A591" t="str">
            <v xml:space="preserve">RED. À ESQ. 90º C/ LONG. 700x200x100x19 #18, TRAV.PERF. 38x19 #18 </v>
          </cell>
        </row>
        <row r="592">
          <cell r="A592" t="str">
            <v xml:space="preserve">RED. À ESQ. 90º C/ LONG. 600x500x100x19 #18, TRAV.PERF. 38x19 #18 </v>
          </cell>
        </row>
        <row r="593">
          <cell r="A593" t="str">
            <v xml:space="preserve">RED. À ESQ. 90º C/ LONG. 600x400x100x19 #18, TRAV.PERF. 38x19 #18 </v>
          </cell>
        </row>
        <row r="594">
          <cell r="A594" t="str">
            <v xml:space="preserve">RED. À ESQ. 90º C/ LONG. 600x300x100x19 #18, TRAV.PERF. 38x19 #18 </v>
          </cell>
        </row>
        <row r="595">
          <cell r="A595" t="str">
            <v xml:space="preserve">RED. À ESQ. 90º C/ LONG. 600x200x100x19 #18, TRAV.PERF. 38x19 #18 </v>
          </cell>
        </row>
        <row r="596">
          <cell r="A596" t="str">
            <v xml:space="preserve">RED. À ESQ. 90º C/ LONG. 500x400x100x19 #18, TRAV.PERF. 38x19 #18 </v>
          </cell>
        </row>
        <row r="597">
          <cell r="A597" t="str">
            <v xml:space="preserve">RED. À ESQ. 90º C/ LONG. 500x300x100x19 #18, TRAV.PERF. 38x19 #18 </v>
          </cell>
        </row>
        <row r="598">
          <cell r="A598" t="str">
            <v xml:space="preserve">RED. À ESQ. 90º C/ LONG. 500x200x100x19 #18, TRAV.PERF. 38x19 #18 </v>
          </cell>
        </row>
        <row r="599">
          <cell r="A599" t="str">
            <v xml:space="preserve">RED. À ESQ. 90º C/ LONG. 400x300x100x19 #18, TRAV.PERF. 38x19 #18 </v>
          </cell>
        </row>
        <row r="600">
          <cell r="A600" t="str">
            <v xml:space="preserve">RED. À ESQ. 90º C/ LONG. 400x200x100x19 #18, TRAV.PERF. 38x19 #18 </v>
          </cell>
        </row>
        <row r="601">
          <cell r="A601" t="str">
            <v xml:space="preserve">RED. À ESQ. 90º C/ LONG. 300x200x100x19 #18, TRAV.PERF. 38x19 #18 </v>
          </cell>
        </row>
        <row r="603">
          <cell r="A603" t="str">
            <v>PESADO</v>
          </cell>
        </row>
        <row r="604">
          <cell r="A604" t="str">
            <v xml:space="preserve">RED. À ESQ. 90º C/ LONG. 1200x1000x100x19 #18, TRAV.PERF. 38x38 #18 </v>
          </cell>
        </row>
        <row r="605">
          <cell r="A605" t="str">
            <v xml:space="preserve">RED. À ESQ. 90º C/ LONG. 1200x900x100x19 #18, TRAV.PERF. 38x38 #18 </v>
          </cell>
        </row>
        <row r="606">
          <cell r="A606" t="str">
            <v xml:space="preserve">RED. À ESQ. 90º C/ LONG. 1200x800x100x19 #18, TRAV.PERF. 38x38 #18 </v>
          </cell>
        </row>
        <row r="607">
          <cell r="A607" t="str">
            <v xml:space="preserve">RED. À ESQ. 90º C/ LONG. 1200x700x100x19 #18, TRAV.PERF. 38x38 #18 </v>
          </cell>
        </row>
        <row r="608">
          <cell r="A608" t="str">
            <v xml:space="preserve">RED. À ESQ. 90º C/ LONG. 1200x600x100x19 #18, TRAV.PERF. 38x38 #18 </v>
          </cell>
        </row>
        <row r="609">
          <cell r="A609" t="str">
            <v xml:space="preserve">RED. À ESQ. 90º C/ LONG. 1200x500x100x19 #18, TRAV.PERF. 38x38 #18 </v>
          </cell>
        </row>
        <row r="610">
          <cell r="A610" t="str">
            <v xml:space="preserve">RED. À ESQ. 90º C/ LONG. 1200x400x100x19 #18, TRAV.PERF. 38x38 #18 </v>
          </cell>
        </row>
        <row r="611">
          <cell r="A611" t="str">
            <v xml:space="preserve">RED. À ESQ. 90º C/ LONG. 1000x900x100x19 #18, TRAV.PERF. 38x38 #18 </v>
          </cell>
        </row>
        <row r="612">
          <cell r="A612" t="str">
            <v xml:space="preserve">RED. À ESQ. 90º C/ LONG. 1000x800x100x19 #18, TRAV.PERF. 38x38 #18 </v>
          </cell>
        </row>
        <row r="613">
          <cell r="A613" t="str">
            <v xml:space="preserve">RED. À ESQ. 90º C/ LONG. 1000x700x100x19 #18, TRAV.PERF. 38x38 #18 </v>
          </cell>
        </row>
        <row r="614">
          <cell r="A614" t="str">
            <v xml:space="preserve">RED. À ESQ. 90º C/ LONG. 1000x600x100x19 #18, TRAV.PERF. 38x38 #18 </v>
          </cell>
        </row>
        <row r="615">
          <cell r="A615" t="str">
            <v xml:space="preserve">RED. À ESQ. 90º C/ LONG. 1000x500x100x19 #18, TRAV.PERF. 38x38 #18 </v>
          </cell>
        </row>
        <row r="616">
          <cell r="A616" t="str">
            <v xml:space="preserve">RED. À ESQ. 90º C/ LONG. 1000x400x100x19 #18, TRAV.PERF. 38x38 #18 </v>
          </cell>
        </row>
        <row r="617">
          <cell r="A617" t="str">
            <v xml:space="preserve">RED. À ESQ. 90º C/ LONG. 900x800x100x19 #18, TRAV.PERF. 38x38 #18 </v>
          </cell>
        </row>
        <row r="618">
          <cell r="A618" t="str">
            <v xml:space="preserve">RED. À ESQ. 90º C/ LONG. 900x700x100x19 #18, TRAV.PERF. 38x38 #18 </v>
          </cell>
        </row>
        <row r="619">
          <cell r="A619" t="str">
            <v xml:space="preserve">RED. À ESQ. 90º C/ LONG. 900x600x100x19 #18, TRAV.PERF. 38x38 #18 </v>
          </cell>
        </row>
        <row r="620">
          <cell r="A620" t="str">
            <v xml:space="preserve">RED. À ESQ. 90º C/ LONG. 900x500x100x19 #18, TRAV.PERF. 38x38 #18 </v>
          </cell>
        </row>
        <row r="621">
          <cell r="A621" t="str">
            <v xml:space="preserve">RED. À ESQ. 90º C/ LONG. 900x400x100x19 #18, TRAV.PERF. 38x38 #18 </v>
          </cell>
        </row>
        <row r="622">
          <cell r="A622" t="str">
            <v xml:space="preserve">RED. À ESQ. 90º C/ LONG. 800x700x100x19 #18, TRAV.PERF. 38x38 #18 </v>
          </cell>
        </row>
        <row r="623">
          <cell r="A623" t="str">
            <v xml:space="preserve">RED. À ESQ. 90º C/ LONG. 800x600x100x19 #18, TRAV.PERF. 38x38 #18 </v>
          </cell>
        </row>
        <row r="624">
          <cell r="A624" t="str">
            <v xml:space="preserve">RED. À ESQ. 90º C/ LONG. 800x500x100x19 #18, TRAV.PERF. 38x38 #18 </v>
          </cell>
        </row>
        <row r="625">
          <cell r="A625" t="str">
            <v xml:space="preserve">RED. À ESQ. 90º C/ LONG. 800x400x100x19 #18, TRAV.PERF. 38x38 #18 </v>
          </cell>
        </row>
        <row r="626">
          <cell r="A626" t="str">
            <v xml:space="preserve">RED. À ESQ. 90º C/ LONG. 700x600x100x19 #18, TRAV.PERF. 38x38 #18 </v>
          </cell>
        </row>
        <row r="627">
          <cell r="A627" t="str">
            <v xml:space="preserve">RED. À ESQ. 90º C/ LONG. 700x500x100x19 #18, TRAV.PERF. 38x38 #18 </v>
          </cell>
        </row>
        <row r="628">
          <cell r="A628" t="str">
            <v xml:space="preserve">RED. À ESQ. 90º C/ LONG. 700x400x100x19 #18, TRAV.PERF. 38x38 #18 </v>
          </cell>
        </row>
        <row r="629">
          <cell r="A629" t="str">
            <v xml:space="preserve">RED. À ESQ. 90º C/ LONG. 600x500x100x19 #18, TRAV.PERF. 38x38 #18 </v>
          </cell>
        </row>
        <row r="630">
          <cell r="A630" t="str">
            <v xml:space="preserve">RED. À ESQ. 90º C/ LONG. 600x400x100x19 #18, TRAV.PERF. 38x38 #18 </v>
          </cell>
        </row>
        <row r="631">
          <cell r="A631" t="str">
            <v xml:space="preserve">RED. À ESQ. 90º C/ LONG. 500x400x100x19 #18, TRAV.PERF. 38x38 #18 </v>
          </cell>
        </row>
        <row r="633">
          <cell r="A633" t="str">
            <v>LEVE</v>
          </cell>
        </row>
        <row r="634">
          <cell r="A634" t="str">
            <v>SEGMENTO DE MONT. C/ LONG. 75x19 #18, TRAV.PERF. 38x19 #18 C/ L=200mm</v>
          </cell>
        </row>
        <row r="635">
          <cell r="A635" t="str">
            <v>SEGMENTO DE MONT. C/ LONG. 75x19 #18, TRAV.PERF. 38x19 #18 C/ L=300mm</v>
          </cell>
        </row>
        <row r="636">
          <cell r="A636" t="str">
            <v>SEGMENTO DE MONT. C/ LONG. 75x19 #18, TRAV.PERF. 38x19 #18 C/ L=400mm</v>
          </cell>
        </row>
        <row r="637">
          <cell r="A637" t="str">
            <v>SEGMENTO DE MONT. C/ LONG. 75x19 #18, TRAV.PERF. 38x19 #18 C/ L=500mm</v>
          </cell>
        </row>
        <row r="638">
          <cell r="A638" t="str">
            <v>SEGMENTO DE MONT. C/ LONG. 75x19 #18, TRAV.PERF. 38x19 #18 C/ L=600mm</v>
          </cell>
        </row>
        <row r="640">
          <cell r="A640" t="str">
            <v>SEMI-PESADO</v>
          </cell>
        </row>
        <row r="641">
          <cell r="A641" t="str">
            <v>SEGMENTO DE MONT. C/ LONG. 100x19 #18, TRAV.PERF. 38x19 #18 C/ L=200mm</v>
          </cell>
        </row>
        <row r="642">
          <cell r="A642" t="str">
            <v>SEGMENTO DE MONT. C/ LONG. 100x19 #18, TRAV.PERF. 38x19 #18 C/ L=300mm</v>
          </cell>
        </row>
        <row r="643">
          <cell r="A643" t="str">
            <v>SEGMENTO DE MONT. C/ LONG. 100x19 #18, TRAV.PERF. 38x19 #18 C/ L=400mm</v>
          </cell>
        </row>
        <row r="644">
          <cell r="A644" t="str">
            <v>SEGMENTO DE MONT. C/ LONG. 100x19 #18, TRAV.PERF. 38x19 #18 C/ L=500mm</v>
          </cell>
        </row>
        <row r="645">
          <cell r="A645" t="str">
            <v>SEGMENTO DE MONT. C/ LONG. 100x19 #18, TRAV.PERF. 38x19 #18 C/ L=600mm</v>
          </cell>
        </row>
        <row r="646">
          <cell r="A646" t="str">
            <v>SEGMENTO DE MONT. C/ LONG. 100x19 #18, TRAV.PERF. 38x19 #18 C/ L=700mm</v>
          </cell>
        </row>
        <row r="647">
          <cell r="A647" t="str">
            <v>SEGMENTO DE MONT. C/ LONG. 100x19 #18, TRAV.PERF. 38x19 #18 C/ L=800mm</v>
          </cell>
        </row>
        <row r="648">
          <cell r="A648" t="str">
            <v>SEGMENTO DE MONT. C/ LONG. 100x19 #18, TRAV.PERF. 38x19 #18 C/ L=900mm</v>
          </cell>
        </row>
        <row r="649">
          <cell r="A649" t="str">
            <v>SEGMENTO DE MONT. C/ LONG. 100x19 #18, TRAV.PERF. 38x19 #18 C/ L=1000mm</v>
          </cell>
        </row>
        <row r="650">
          <cell r="A650" t="str">
            <v>SEGMENTO DE MONT. C/ LONG. 100x19 #18, TRAV.PERF. 38x19 #18 C/ L=1200mm</v>
          </cell>
        </row>
        <row r="652">
          <cell r="A652" t="str">
            <v>PESADO</v>
          </cell>
        </row>
        <row r="653">
          <cell r="A653" t="str">
            <v>SEGMENTO DE MONT. C/ LONG. 100x19 #18, TRAV.PERF. 38x38 #18 C/ L=400mm</v>
          </cell>
        </row>
        <row r="654">
          <cell r="A654" t="str">
            <v>SEGMENTO DE MONT. C/ LONG. 100x19 #18, TRAV.PERF. 38x38 #18 C/ L=500mm</v>
          </cell>
        </row>
        <row r="655">
          <cell r="A655" t="str">
            <v>SEGMENTO DE MONT. C/ LONG. 100x19 #18, TRAV.PERF. 38x38 #18 C/ L=600mm</v>
          </cell>
        </row>
        <row r="656">
          <cell r="A656" t="str">
            <v>SEGMENTO DE MONT. C/ LONG. 100x19 #18, TRAV.PERF. 38x38 #18 C/ L=700mm</v>
          </cell>
        </row>
        <row r="657">
          <cell r="A657" t="str">
            <v>SEGMENTO DE MONT. C/ LONG. 100x19 #18, TRAV.PERF. 38x38 #18 C/ L=800mm</v>
          </cell>
        </row>
        <row r="658">
          <cell r="A658" t="str">
            <v>SEGMENTO DE MONT. C/ LONG. 100x19 #18, TRAV.PERF. 38x38 #18 C/ L=900mm</v>
          </cell>
        </row>
        <row r="659">
          <cell r="A659" t="str">
            <v>SEGMENTO DE MONT. C/ LONG. 100x19 #18, TRAV.PERF. 38x38 #18 C/ L=1000mm</v>
          </cell>
        </row>
        <row r="660">
          <cell r="A660" t="str">
            <v>SEGMENTO DE MONT. C/ LONG. 100x19 #18, TRAV.PERF. 38x38 #18 C/ L=1200mm</v>
          </cell>
        </row>
        <row r="662">
          <cell r="A662" t="str">
            <v>LEVE</v>
          </cell>
        </row>
        <row r="663">
          <cell r="A663" t="str">
            <v>CJTO. P/ CURVA VERT. C/ LONG. 75x19 #18, TRAV.PERF. 38x19 #18 C/ L=200mm</v>
          </cell>
        </row>
        <row r="664">
          <cell r="A664" t="str">
            <v>CJTO. P/ CURVA VERT. C/ LONG. 75x19 #18, TRAV.PERF. 38x19 #18 C/ L=300mm</v>
          </cell>
        </row>
        <row r="665">
          <cell r="A665" t="str">
            <v>CJTO. P/ CURVA VERT. C/ LONG. 75x19 #18, TRAV.PERF. 38x19 #18 C/ L=400mm</v>
          </cell>
        </row>
        <row r="666">
          <cell r="A666" t="str">
            <v>CJTO. P/ CURVA VERT. C/ LONG. 75x19 #18, TRAV.PERF. 38x19 #18 C/ L=500mm</v>
          </cell>
        </row>
        <row r="667">
          <cell r="A667" t="str">
            <v>CJTO. P/ CURVA VERT. C/ LONG. 75x19 #18, TRAV.PERF. 38x19 #18 C/ L=600mm</v>
          </cell>
        </row>
        <row r="669">
          <cell r="A669" t="str">
            <v>SEMI-PESADO</v>
          </cell>
        </row>
        <row r="670">
          <cell r="A670" t="str">
            <v>CJTO. P/ CURVA VERT. C/ LONG. 100x19 #18, TRAV.PERF. 38x19 #18 C/ L=200mm</v>
          </cell>
        </row>
        <row r="671">
          <cell r="A671" t="str">
            <v>CJTO. P/ CURVA VERT. C/ LONG. 100x19 #18, TRAV.PERF. 38x19 #18 C/ L=300mm</v>
          </cell>
        </row>
        <row r="672">
          <cell r="A672" t="str">
            <v>CJTO. P/ CURVA VERT. C/ LONG. 100x19 #18, TRAV.PERF. 38x19 #18 C/ L=400mm</v>
          </cell>
        </row>
        <row r="673">
          <cell r="A673" t="str">
            <v>CJTO. P/ CURVA VERT. C/ LONG. 100x19 #18, TRAV.PERF. 38x19 #18 C/ L=500mm</v>
          </cell>
        </row>
        <row r="674">
          <cell r="A674" t="str">
            <v>CJTO. P/ CURVA VERT. C/ LONG. 100x19 #18, TRAV.PERF. 38x19 #18 C/ L=600mm</v>
          </cell>
        </row>
        <row r="675">
          <cell r="A675" t="str">
            <v>CJTO. P/ CURVA VERT. C/ LONG. 100x19 #18, TRAV.PERF. 38x19 #18 C/ L=700mm</v>
          </cell>
        </row>
        <row r="676">
          <cell r="A676" t="str">
            <v>CJTO. P/ CURVA VERT. C/ LONG. 100x19 #18, TRAV.PERF. 38x19 #18 C/ L=800mm</v>
          </cell>
        </row>
        <row r="677">
          <cell r="A677" t="str">
            <v>CJTO. P/ CURVA VERT. C/ LONG. 100x19 #18, TRAV.PERF. 38x19 #18 C/ L=900mm</v>
          </cell>
        </row>
        <row r="678">
          <cell r="A678" t="str">
            <v>CJTO. P/ CURVA VERT. C/ LONG. 100x19 #18, TRAV.PERF. 38x19 #18 C/ L=1000mm</v>
          </cell>
        </row>
        <row r="679">
          <cell r="A679" t="str">
            <v>CJTO. P/ CURVA VERT. C/ LONG. 100x19 #18, TRAV.PERF. 38x19 #18 C/ L=1200mm</v>
          </cell>
        </row>
        <row r="681">
          <cell r="A681" t="str">
            <v>PESADO</v>
          </cell>
        </row>
        <row r="682">
          <cell r="A682" t="str">
            <v>CJTO. P/ CURVA VERT. C/ LONG. 100x19 #18, TRAV.PERF. 38x38 #18 C/ L=400mm</v>
          </cell>
        </row>
        <row r="683">
          <cell r="A683" t="str">
            <v>CJTO. P/ CURVA VERT. C/ LONG. 100x19 #18, TRAV.PERF. 38x38 #18 C/ L=500mm</v>
          </cell>
        </row>
        <row r="684">
          <cell r="A684" t="str">
            <v>CJTO. P/ CURVA VERT. C/ LONG. 100x19 #18, TRAV.PERF. 38x38 #18 C/ L=600mm</v>
          </cell>
        </row>
        <row r="685">
          <cell r="A685" t="str">
            <v>CJTO. P/ CURVA VERT. C/ LONG. 100x19 #18, TRAV.PERF. 38x38 #18 C/ L=700mm</v>
          </cell>
        </row>
        <row r="686">
          <cell r="A686" t="str">
            <v>CJTO. P/ CURVA VERT. C/ LONG. 100x19 #18, TRAV.PERF. 38x38 #18 C/ L=800mm</v>
          </cell>
        </row>
        <row r="687">
          <cell r="A687" t="str">
            <v>CJTO. P/ CURVA VERT. C/ LONG. 100x19 #18, TRAV.PERF. 38x38 #18 C/ L=900mm</v>
          </cell>
        </row>
        <row r="688">
          <cell r="A688" t="str">
            <v>CJTO. P/ CURVA VERT. C/ LONG. 100x19 #18, TRAV.PERF. 38x38 #18 C/ L=1000mm</v>
          </cell>
        </row>
        <row r="689">
          <cell r="A689" t="str">
            <v>CJTO. P/ CURVA VERT. C/ LONG. 100x19 #18, TRAV.PERF. 38x38 #18 C/ L=1200mm</v>
          </cell>
        </row>
        <row r="691">
          <cell r="A691" t="str">
            <v>LEVE</v>
          </cell>
        </row>
        <row r="692">
          <cell r="A692" t="str">
            <v>CJTO. P/ TÊ VERT. C/ LONG. 75x19 #18, TRAV.PERF. 38x19 #18 C/ L=200mm</v>
          </cell>
        </row>
        <row r="693">
          <cell r="A693" t="str">
            <v>CJTO. P/ TÊ VERT. C/ LONG. 75x19 #18, TRAV.PERF. 38x19 #18 C/ L=300mm</v>
          </cell>
        </row>
        <row r="694">
          <cell r="A694" t="str">
            <v>CJTO. P/ TÊ VERT. C/ LONG. 75x19 #18, TRAV.PERF. 38x19 #18 C/ L=400mm</v>
          </cell>
        </row>
        <row r="695">
          <cell r="A695" t="str">
            <v>CJTO. P/ TÊ VERT. C/ LONG. 75x19 #18, TRAV.PERF. 38x19 #18 C/ L=500mm</v>
          </cell>
        </row>
        <row r="696">
          <cell r="A696" t="str">
            <v>CJTO. P/ TÊ VERT. C/ LONG. 75x19 #18, TRAV.PERF. 38x19 #18 C/ L=600mm</v>
          </cell>
        </row>
        <row r="698">
          <cell r="A698" t="str">
            <v>SEMI-PESADO</v>
          </cell>
        </row>
        <row r="699">
          <cell r="A699" t="str">
            <v>CJTO. P/ TÊ VERT. C/ LONG. 100x19 #18, TRAV.PERF. 38x19 #18 C/ L=200mm</v>
          </cell>
        </row>
        <row r="700">
          <cell r="A700" t="str">
            <v>CJTO. P/ TÊ VERT. C/ LONG. 100x19 #18, TRAV.PERF. 38x19 #18 C/ L=300mm</v>
          </cell>
        </row>
        <row r="701">
          <cell r="A701" t="str">
            <v>CJTO. P/ TÊ VERT. C/ LONG. 100x19 #18, TRAV.PERF. 38x19 #18 C/ L=400mm</v>
          </cell>
        </row>
        <row r="702">
          <cell r="A702" t="str">
            <v>CJTO. P/ TÊ VERT. C/ LONG. 100x19 #18, TRAV.PERF. 38x19 #18 C/ L=500mm</v>
          </cell>
        </row>
        <row r="703">
          <cell r="A703" t="str">
            <v>CJTO. P/ TÊ VERT. C/ LONG. 100x19 #18, TRAV.PERF. 38x19 #18 C/ L=600mm</v>
          </cell>
        </row>
        <row r="704">
          <cell r="A704" t="str">
            <v>CJTO. P/ TÊ VERT. C/ LONG. 100x19 #18, TRAV.PERF. 38x19 #18 C/ L=700mm</v>
          </cell>
        </row>
        <row r="705">
          <cell r="A705" t="str">
            <v>CJTO. P/ TÊ VERT. C/ LONG. 100x19 #18, TRAV.PERF. 38x19 #18 C/ L=800mm</v>
          </cell>
        </row>
        <row r="706">
          <cell r="A706" t="str">
            <v>CJTO. P/ TÊ VERT. C/ LONG. 100x19 #18, TRAV.PERF. 38x19 #18 C/ L=900mm</v>
          </cell>
        </row>
        <row r="707">
          <cell r="A707" t="str">
            <v>CJTO. P/ TÊ VERT. C/ LONG. 100x19 #18, TRAV.PERF. 38x19 #18 C/ L=1000mm</v>
          </cell>
        </row>
        <row r="708">
          <cell r="A708" t="str">
            <v>CJTO. P/ TÊ VERT. C/ LONG. 100x19 #18, TRAV.PERF. 38x19 #18 C/ L=1200mm</v>
          </cell>
        </row>
        <row r="710">
          <cell r="A710" t="str">
            <v>PESADO</v>
          </cell>
        </row>
        <row r="711">
          <cell r="A711" t="str">
            <v>CJTO. P/ TÊ VERT. C/ LONG. 100x19 #18, TRAV.PERF. 38x38 #18 C/ L=400mm</v>
          </cell>
        </row>
        <row r="712">
          <cell r="A712" t="str">
            <v>CJTO. P/ TÊ VERT. C/ LONG. 100x19 #18, TRAV.PERF. 38x38 #18 C/ L=500mm</v>
          </cell>
        </row>
        <row r="713">
          <cell r="A713" t="str">
            <v>CJTO. P/ TÊ VERT. C/ LONG. 100x19 #18, TRAV.PERF. 38x38 #18 C/ L=600mm</v>
          </cell>
        </row>
        <row r="714">
          <cell r="A714" t="str">
            <v>CJTO. P/ TÊ VERT. C/ LONG. 100x19 #18, TRAV.PERF. 38x38 #18 C/ L=700mm</v>
          </cell>
        </row>
        <row r="715">
          <cell r="A715" t="str">
            <v>CJTO. P/ TÊ VERT. C/ LONG. 100x19 #18, TRAV.PERF. 38x38 #18 C/ L=800mm</v>
          </cell>
        </row>
        <row r="716">
          <cell r="A716" t="str">
            <v>CJTO. P/ TÊ VERT. C/ LONG. 100x19 #18, TRAV.PERF. 38x38 #18 C/ L=900mm</v>
          </cell>
        </row>
        <row r="717">
          <cell r="A717" t="str">
            <v>CJTO. P/ TÊ VERT. C/ LONG. 100x19 #18, TRAV.PERF. 38x38 #18 C/ L=1000mm</v>
          </cell>
        </row>
        <row r="718">
          <cell r="A718" t="str">
            <v>CJTO. P/ TÊ VERT. C/ LONG. 100x19 #18, TRAV.PERF. 38x38 #18 C/ L=1200mm</v>
          </cell>
        </row>
        <row r="721">
          <cell r="A721" t="str">
            <v>SUPORTE DE SUSPENSÃO h=50mm</v>
          </cell>
        </row>
        <row r="722">
          <cell r="A722" t="str">
            <v>SUPORTE DE SUSPENSÃO h=75mm</v>
          </cell>
        </row>
        <row r="725">
          <cell r="A725" t="str">
            <v>GRAPA P/ LEITOFORT</v>
          </cell>
        </row>
        <row r="726">
          <cell r="A726" t="str">
            <v>PRESILHA GUIA P/ LEITOFORT</v>
          </cell>
        </row>
        <row r="728">
          <cell r="A728" t="str">
            <v>TERMINAL PARA FECHAMENTO P/ LEITOFORT 200x75mm</v>
          </cell>
        </row>
        <row r="729">
          <cell r="A729" t="str">
            <v>TERMINAL PARA FECHAMENTO P/ LEITOFORT 300x75mm</v>
          </cell>
        </row>
        <row r="730">
          <cell r="A730" t="str">
            <v>TERMINAL PARA FECHAMENTO P/ LEITOFORT 400x75mm</v>
          </cell>
        </row>
        <row r="731">
          <cell r="A731" t="str">
            <v>TERMINAL PARA FECHAMENTO P/ LEITOFORT 500x75mm</v>
          </cell>
        </row>
        <row r="732">
          <cell r="A732" t="str">
            <v>TERMINAL PARA FECHAMENTO P/ LEITOFORT 600x75mm</v>
          </cell>
        </row>
        <row r="733">
          <cell r="A733" t="str">
            <v>TERMINAL PARA FECHAMENTO P/ LEITOFORT 200x100mm</v>
          </cell>
        </row>
        <row r="734">
          <cell r="A734" t="str">
            <v>TERMINAL PARA FECHAMENTO P/ LEITOFORT 300x100mm</v>
          </cell>
        </row>
        <row r="735">
          <cell r="A735" t="str">
            <v>TERMINAL PARA FECHAMENTO P/ LEITOFORT 400x100mm</v>
          </cell>
        </row>
        <row r="736">
          <cell r="A736" t="str">
            <v>TERMINAL PARA FECHAMENTO P/ LEITOFORT 500x100mm</v>
          </cell>
        </row>
        <row r="737">
          <cell r="A737" t="str">
            <v>TERMINAL PARA FECHAMENTO P/ LEITOFORT 600x100mm</v>
          </cell>
        </row>
        <row r="738">
          <cell r="A738" t="str">
            <v>TERMINAL PARA FECHAMENTO P/ LEITOFORT 700x100mm</v>
          </cell>
        </row>
        <row r="739">
          <cell r="A739" t="str">
            <v>TERMINAL PARA FECHAMENTO P/ LEITOFORT 800x100mm</v>
          </cell>
        </row>
        <row r="740">
          <cell r="A740" t="str">
            <v>TERMINAL PARA FECHAMENTO P/ LEITOFORT 900x100mm</v>
          </cell>
        </row>
        <row r="741">
          <cell r="A741" t="str">
            <v>TERMINAL PARA FECHAMENTO P/ LEITOFORT 1000x100mm</v>
          </cell>
        </row>
        <row r="742">
          <cell r="A742" t="str">
            <v>TERMINAL PARA FECHAMENTO P/ LEITOFORT 1200x100mm</v>
          </cell>
        </row>
        <row r="744">
          <cell r="A744" t="str">
            <v>PROTEÇÃO PARA PANEL P/ LEITOFORT 200x75mm</v>
          </cell>
        </row>
        <row r="745">
          <cell r="A745" t="str">
            <v>PROTEÇÃO PARA PANEL P/ LEITOFORT 300x75mm</v>
          </cell>
        </row>
        <row r="746">
          <cell r="A746" t="str">
            <v>PROTEÇÃO PARA PANEL P/ LEITOFORT 400x75mm</v>
          </cell>
        </row>
        <row r="747">
          <cell r="A747" t="str">
            <v>PROTEÇÃO PARA PANEL P/ LEITOFORT 500x75mm</v>
          </cell>
        </row>
        <row r="748">
          <cell r="A748" t="str">
            <v>PROTEÇÃO PARA PANEL P/ LEITOFORT 600x75mm</v>
          </cell>
        </row>
        <row r="749">
          <cell r="A749" t="str">
            <v>PROTEÇÃO PARA PANEL P/ LEITOFORT 200x100mm</v>
          </cell>
        </row>
        <row r="750">
          <cell r="A750" t="str">
            <v>PROTEÇÃO PARA PANEL P/ LEITOFORT 300x100mm</v>
          </cell>
        </row>
        <row r="751">
          <cell r="A751" t="str">
            <v>PROTEÇÃO PARA PANEL P/ LEITOFORT 400x100mm</v>
          </cell>
        </row>
        <row r="752">
          <cell r="A752" t="str">
            <v>PROTEÇÃO PARA PANEL P/ LEITOFORT 500x100mm</v>
          </cell>
        </row>
        <row r="753">
          <cell r="A753" t="str">
            <v>PROTEÇÃO PARA PANEL P/ LEITOFORT 600x100mm</v>
          </cell>
        </row>
        <row r="754">
          <cell r="A754" t="str">
            <v>PROTEÇÃO PARA PANEL P/ LEITOFORT 700x100mm</v>
          </cell>
        </row>
        <row r="755">
          <cell r="A755" t="str">
            <v>PROTEÇÃO PARA PANEL P/ LEITOFORT 800x100mm</v>
          </cell>
        </row>
        <row r="756">
          <cell r="A756" t="str">
            <v>PROTEÇÃO PARA PANEL P/ LEITOFORT 900x100mm</v>
          </cell>
        </row>
        <row r="757">
          <cell r="A757" t="str">
            <v>PROTEÇÃO PARA PANEL P/ LEITOFORT 1000x100mm</v>
          </cell>
        </row>
        <row r="758">
          <cell r="A758" t="str">
            <v>PROTEÇÃO PARA PANEL P/ LEITOFORT 1200x100mm</v>
          </cell>
        </row>
        <row r="761">
          <cell r="A761" t="str">
            <v>SAÍDA HORIZONTAL PARA PERFILADO P/ LEITOFORT</v>
          </cell>
        </row>
        <row r="762">
          <cell r="A762" t="str">
            <v>SAÍDA HORIZONTAL PARA ELETRODUTO ø 1/2" - P/ LEITOFORT</v>
          </cell>
        </row>
        <row r="763">
          <cell r="A763" t="str">
            <v>SAÍDA HORIZONTAL PARA ELETRODUTO ø 3/4" - P/ LEITOFORT</v>
          </cell>
        </row>
        <row r="764">
          <cell r="A764" t="str">
            <v>SAÍDA HORIZONTAL PARA ELETRODUTO ø 1" - P/ LEITOFORT</v>
          </cell>
        </row>
        <row r="765">
          <cell r="A765" t="str">
            <v>SAÍDA HORIZONTAL PARA ELETRODUTO ø 1 1/4" - P/ LEITOFORT</v>
          </cell>
        </row>
        <row r="766">
          <cell r="A766" t="str">
            <v>SAÍDA HORIZONTAL PARA ELETRODUTO ø 1 1/2" - P/ LEITOFORT</v>
          </cell>
        </row>
        <row r="767">
          <cell r="A767" t="str">
            <v>SAÍDA HORIZONTAL PARA ELETRODUTO ø 2" - P/ LEITOFORT</v>
          </cell>
        </row>
        <row r="768">
          <cell r="A768" t="str">
            <v>SAÍDA HORIZONTAL PARA ELETRODUTO ø 2 1/2" - P/ LEITOFORT</v>
          </cell>
        </row>
        <row r="769">
          <cell r="A769" t="str">
            <v>SAÍDA HORIZONTAL PARA ELETRODUTO ø 3" - P/ LEITOFORT</v>
          </cell>
        </row>
        <row r="770">
          <cell r="A770" t="str">
            <v>SAÍDA HORIZONTAL PARA ELETRODUTO ø 3 1/2" - P/ LEITOFORT</v>
          </cell>
        </row>
        <row r="771">
          <cell r="A771" t="str">
            <v>SAÍDA HORIZONTAL PARA ELETRODUTO ø 4" - P/ LEITOFORT</v>
          </cell>
        </row>
        <row r="774">
          <cell r="A774" t="str">
            <v>SAÍDA HORIZONTAL PARA ELETRODUTO ø 1" GALV. À FOGO</v>
          </cell>
        </row>
        <row r="777">
          <cell r="A777" t="str">
            <v>SAÍDA VERTICAL PARA PERFILADO P/ LEITOFORT</v>
          </cell>
        </row>
        <row r="778">
          <cell r="A778" t="str">
            <v>SAÍDA VERTICAL PARA ELETRODUTO ø 1/2" - P/ LEITOFORT</v>
          </cell>
        </row>
        <row r="779">
          <cell r="A779" t="str">
            <v>SAÍDA VERTICAL PARA ELETRODUTO ø 3/4" - P/ LEITOFORT</v>
          </cell>
        </row>
        <row r="780">
          <cell r="A780" t="str">
            <v>SAÍDA VERTICAL PARA ELETRODUTO ø 1" - P/ LEITOFORT</v>
          </cell>
        </row>
        <row r="781">
          <cell r="A781" t="str">
            <v>SAÍDA VERTICAL PARA ELETRODUTO ø 1 1/4" - P/ LEITOFORT</v>
          </cell>
        </row>
        <row r="782">
          <cell r="A782" t="str">
            <v>SAÍDA VERTICAL PARA ELETRODUTO ø 1 1/2" - P/ LEITOFORT</v>
          </cell>
        </row>
        <row r="783">
          <cell r="A783" t="str">
            <v>SAÍDA VERTICAL PARA ELETRODUTO ø 2" - P/ LEITOFORT</v>
          </cell>
        </row>
        <row r="784">
          <cell r="A784" t="str">
            <v>SAÍDA VERTICAL PARA ELETRODUTO ø 2 1/2" - P/ LEITOFORT</v>
          </cell>
        </row>
        <row r="785">
          <cell r="A785" t="str">
            <v>SAÍDA VERTICAL PARA ELETRODUTO ø 3" - P/ LEITOFORT</v>
          </cell>
        </row>
        <row r="786">
          <cell r="A786" t="str">
            <v>SAÍDA VERTICAL PARA ELETRODUTO ø 3 1/2" - P/ LEITOFORT</v>
          </cell>
        </row>
        <row r="787">
          <cell r="A787" t="str">
            <v>SAÍDA VERTICAL PARA ELETRODUTO ø 4" - P/ LEITOFORT</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PASSIVOS"/>
    </sheetNames>
    <sheetDataSet>
      <sheetData sheetId="0" refreshError="1">
        <row r="2">
          <cell r="A2">
            <v>14300045</v>
          </cell>
        </row>
        <row r="3">
          <cell r="A3" t="str">
            <v>008LBHNTATJRNN</v>
          </cell>
        </row>
        <row r="4">
          <cell r="A4" t="str">
            <v>008LBS1LABNRJB</v>
          </cell>
        </row>
        <row r="5">
          <cell r="A5" t="str">
            <v>1375014-1</v>
          </cell>
        </row>
        <row r="6">
          <cell r="A6" t="str">
            <v>1375014-1</v>
          </cell>
        </row>
        <row r="7">
          <cell r="A7" t="str">
            <v>1375055-1</v>
          </cell>
        </row>
        <row r="8">
          <cell r="A8" t="str">
            <v>1375055-2</v>
          </cell>
        </row>
        <row r="9">
          <cell r="A9" t="str">
            <v>1375191-2</v>
          </cell>
        </row>
        <row r="10">
          <cell r="A10" t="str">
            <v>14300031</v>
          </cell>
        </row>
        <row r="11">
          <cell r="A11" t="str">
            <v>1479002-1</v>
          </cell>
        </row>
        <row r="12">
          <cell r="A12" t="str">
            <v>1479003-1</v>
          </cell>
        </row>
        <row r="13">
          <cell r="A13" t="str">
            <v>1479154-1</v>
          </cell>
        </row>
        <row r="14">
          <cell r="A14" t="str">
            <v>2-1206114</v>
          </cell>
        </row>
        <row r="15">
          <cell r="A15" t="str">
            <v>2-1206114</v>
          </cell>
        </row>
        <row r="16">
          <cell r="A16" t="str">
            <v>2-1206138</v>
          </cell>
        </row>
        <row r="17">
          <cell r="A17" t="str">
            <v>219242-5</v>
          </cell>
        </row>
        <row r="18">
          <cell r="A18" t="str">
            <v>219242-5</v>
          </cell>
        </row>
        <row r="19">
          <cell r="A19" t="str">
            <v>219242-7</v>
          </cell>
        </row>
        <row r="20">
          <cell r="A20" t="str">
            <v>219242-8</v>
          </cell>
        </row>
        <row r="21">
          <cell r="A21" t="str">
            <v>219242-8</v>
          </cell>
        </row>
        <row r="22">
          <cell r="A22" t="str">
            <v>219538-6</v>
          </cell>
        </row>
        <row r="23">
          <cell r="A23" t="str">
            <v>219560-6</v>
          </cell>
        </row>
        <row r="24">
          <cell r="A24" t="str">
            <v>219560-6</v>
          </cell>
        </row>
        <row r="25">
          <cell r="A25" t="str">
            <v>219886-5</v>
          </cell>
        </row>
        <row r="26">
          <cell r="A26" t="str">
            <v>219886-5</v>
          </cell>
        </row>
        <row r="27">
          <cell r="A27" t="str">
            <v>219886-7</v>
          </cell>
        </row>
        <row r="28">
          <cell r="A28" t="str">
            <v>219886-8</v>
          </cell>
        </row>
        <row r="29">
          <cell r="A29" t="str">
            <v>219886-8</v>
          </cell>
        </row>
        <row r="30">
          <cell r="A30" t="str">
            <v>23200070</v>
          </cell>
        </row>
        <row r="31">
          <cell r="A31" t="str">
            <v>23400006</v>
          </cell>
        </row>
        <row r="32">
          <cell r="A32" t="str">
            <v>24300044</v>
          </cell>
        </row>
        <row r="33">
          <cell r="A33" t="str">
            <v>24300068</v>
          </cell>
        </row>
        <row r="34">
          <cell r="A34" t="str">
            <v>35050040</v>
          </cell>
        </row>
        <row r="35">
          <cell r="A35" t="str">
            <v>35050300</v>
          </cell>
        </row>
        <row r="36">
          <cell r="A36" t="str">
            <v>35050421</v>
          </cell>
        </row>
        <row r="37">
          <cell r="A37" t="str">
            <v>35050710</v>
          </cell>
        </row>
        <row r="38">
          <cell r="A38" t="str">
            <v>35050726</v>
          </cell>
        </row>
        <row r="39">
          <cell r="A39" t="str">
            <v>35100057</v>
          </cell>
        </row>
        <row r="40">
          <cell r="A40" t="str">
            <v>3C16965</v>
          </cell>
        </row>
        <row r="41">
          <cell r="A41" t="str">
            <v>3C16970</v>
          </cell>
        </row>
        <row r="42">
          <cell r="A42" t="str">
            <v>3C16971</v>
          </cell>
        </row>
        <row r="43">
          <cell r="A43" t="str">
            <v>3C16980A</v>
          </cell>
        </row>
        <row r="44">
          <cell r="A44" t="str">
            <v>406330-1</v>
          </cell>
        </row>
        <row r="45">
          <cell r="A45" t="str">
            <v>406330-1</v>
          </cell>
        </row>
        <row r="46">
          <cell r="A46" t="str">
            <v>406372-1</v>
          </cell>
        </row>
        <row r="47">
          <cell r="A47" t="str">
            <v>406372-2</v>
          </cell>
        </row>
        <row r="48">
          <cell r="A48" t="str">
            <v>406375-2</v>
          </cell>
        </row>
        <row r="49">
          <cell r="A49" t="str">
            <v>492168-1</v>
          </cell>
        </row>
        <row r="50">
          <cell r="A50" t="str">
            <v>492642-1</v>
          </cell>
        </row>
        <row r="51">
          <cell r="A51" t="str">
            <v>4MA304SNIOT34</v>
          </cell>
        </row>
        <row r="52">
          <cell r="A52" t="str">
            <v>501381-1</v>
          </cell>
        </row>
        <row r="53">
          <cell r="A53" t="str">
            <v>504034-1</v>
          </cell>
        </row>
        <row r="54">
          <cell r="A54" t="str">
            <v>504958-2</v>
          </cell>
        </row>
        <row r="55">
          <cell r="A55" t="str">
            <v>504958-3</v>
          </cell>
        </row>
        <row r="56">
          <cell r="A56" t="str">
            <v>504958-3</v>
          </cell>
        </row>
        <row r="57">
          <cell r="A57" t="str">
            <v>504971-2</v>
          </cell>
        </row>
        <row r="58">
          <cell r="A58" t="str">
            <v>504971-3</v>
          </cell>
        </row>
        <row r="59">
          <cell r="A59" t="str">
            <v>558402-1</v>
          </cell>
        </row>
        <row r="60">
          <cell r="A60" t="str">
            <v>558635-1</v>
          </cell>
        </row>
        <row r="61">
          <cell r="A61" t="str">
            <v>558637-1</v>
          </cell>
        </row>
        <row r="62">
          <cell r="A62" t="str">
            <v>5909.1.063.05</v>
          </cell>
        </row>
        <row r="63">
          <cell r="A63" t="str">
            <v>5909.1.063.05</v>
          </cell>
        </row>
        <row r="64">
          <cell r="A64" t="str">
            <v>6089.1.120.02</v>
          </cell>
        </row>
        <row r="65">
          <cell r="A65" t="str">
            <v>6089.1.120.02</v>
          </cell>
        </row>
        <row r="66">
          <cell r="A66" t="str">
            <v>6089.1.120.02</v>
          </cell>
        </row>
        <row r="67">
          <cell r="A67" t="str">
            <v>6089.1.121.02</v>
          </cell>
        </row>
        <row r="68">
          <cell r="A68" t="str">
            <v>6-219507-6</v>
          </cell>
        </row>
        <row r="69">
          <cell r="A69" t="str">
            <v>6-219507-6</v>
          </cell>
        </row>
        <row r="70">
          <cell r="A70" t="str">
            <v>6619.3.302.50</v>
          </cell>
        </row>
        <row r="71">
          <cell r="A71" t="str">
            <v>6619.3.305.00</v>
          </cell>
        </row>
        <row r="72">
          <cell r="A72" t="str">
            <v>6619.3.307.50</v>
          </cell>
        </row>
        <row r="73">
          <cell r="A73" t="str">
            <v>6619.3.310.00</v>
          </cell>
        </row>
        <row r="74">
          <cell r="A74" t="str">
            <v>6870.1.012.00</v>
          </cell>
        </row>
        <row r="75">
          <cell r="A75" t="str">
            <v>6870.1.012.00</v>
          </cell>
        </row>
        <row r="76">
          <cell r="A76" t="str">
            <v>6871.1.002.00</v>
          </cell>
        </row>
        <row r="77">
          <cell r="A77" t="str">
            <v>6871.1.002.04</v>
          </cell>
        </row>
        <row r="78">
          <cell r="A78" t="str">
            <v>6871.1.002.06</v>
          </cell>
        </row>
        <row r="79">
          <cell r="A79" t="str">
            <v>6871.3.022.03</v>
          </cell>
        </row>
        <row r="80">
          <cell r="A80" t="str">
            <v>6871.3.022.03</v>
          </cell>
        </row>
        <row r="81">
          <cell r="A81" t="str">
            <v>6871.3.022.03</v>
          </cell>
        </row>
        <row r="82">
          <cell r="A82" t="str">
            <v>6871.3.022.10</v>
          </cell>
        </row>
        <row r="83">
          <cell r="A83" t="str">
            <v>6871.3.030.10</v>
          </cell>
        </row>
        <row r="84">
          <cell r="A84" t="str">
            <v>6871.3.030.10</v>
          </cell>
        </row>
        <row r="85">
          <cell r="A85" t="str">
            <v>6871.3.065.10</v>
          </cell>
        </row>
        <row r="86">
          <cell r="A86" t="str">
            <v>CABO 6 FO INT/EXT MM</v>
          </cell>
        </row>
        <row r="87">
          <cell r="A87" t="str">
            <v>CABO CCI-50 1P</v>
          </cell>
        </row>
        <row r="88">
          <cell r="A88" t="str">
            <v>CABO CI-50 100P</v>
          </cell>
        </row>
        <row r="89">
          <cell r="A89" t="str">
            <v>CABO CI-50 25P</v>
          </cell>
        </row>
        <row r="90">
          <cell r="A90" t="str">
            <v>CABO CI-50 30P</v>
          </cell>
        </row>
        <row r="91">
          <cell r="A91" t="str">
            <v>CABO CI-50 50P</v>
          </cell>
        </row>
        <row r="92">
          <cell r="A92" t="str">
            <v>CABO CI-50 50P</v>
          </cell>
        </row>
        <row r="93">
          <cell r="A93" t="str">
            <v>CX SOBR 50X50X13</v>
          </cell>
        </row>
        <row r="94">
          <cell r="A94" t="str">
            <v>DIO 19" 24FO</v>
          </cell>
        </row>
        <row r="95">
          <cell r="A95" t="str">
            <v>DIO PAREDE 8FO</v>
          </cell>
        </row>
        <row r="96">
          <cell r="A96" t="str">
            <v>ESPELHO 4X2 4XRJ45</v>
          </cell>
        </row>
        <row r="97">
          <cell r="A97" t="str">
            <v>ÍCONE TOMADA</v>
          </cell>
        </row>
        <row r="98">
          <cell r="A98" t="str">
            <v>MOLDURA TOMADA</v>
          </cell>
        </row>
        <row r="99">
          <cell r="A99" t="str">
            <v>ORGANIZADOR CAB</v>
          </cell>
        </row>
        <row r="100">
          <cell r="A100" t="str">
            <v>PARAF PORCA GAIO</v>
          </cell>
        </row>
        <row r="101">
          <cell r="A101" t="str">
            <v>PC RJ45/110 1P</v>
          </cell>
        </row>
        <row r="102">
          <cell r="A102" t="str">
            <v>RACK 19" 40U 570 MM</v>
          </cell>
        </row>
        <row r="103">
          <cell r="A103" t="str">
            <v>RACK 19" 44U 570 MM</v>
          </cell>
        </row>
        <row r="104">
          <cell r="A104" t="str">
            <v>RACK 19" 44U 770 MM</v>
          </cell>
        </row>
        <row r="105">
          <cell r="A105" t="str">
            <v>RÉGUA 19" 8 TOM</v>
          </cell>
        </row>
        <row r="106">
          <cell r="A106" t="str">
            <v>WML-311-292</v>
          </cell>
        </row>
        <row r="107">
          <cell r="A107" t="str">
            <v>WML-511-292</v>
          </cell>
        </row>
      </sheetData>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CAPA"/>
      <sheetName val="Planilha de Preço_CONSULTORIA"/>
      <sheetName val="Serviços gráficos"/>
      <sheetName val="CRONOGRAMA"/>
      <sheetName val="DESPESAS FISCAIS"/>
      <sheetName val="ENCARGOS SOCIAIS"/>
    </sheetNames>
    <sheetDataSet>
      <sheetData sheetId="0"/>
      <sheetData sheetId="1">
        <row r="51">
          <cell r="K51">
            <v>664246.12000000011</v>
          </cell>
        </row>
      </sheetData>
      <sheetData sheetId="2"/>
      <sheetData sheetId="3"/>
      <sheetData sheetId="4"/>
      <sheetData sheetId="5"/>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CAPA"/>
      <sheetName val="Planilha de Preço_CONSULTORIA"/>
      <sheetName val="Serviços gráficos"/>
      <sheetName val="CRONOGRAMA"/>
      <sheetName val="DESPESAS FISCAIS"/>
      <sheetName val="ENCARGOS SOCIAIS"/>
    </sheetNames>
    <sheetDataSet>
      <sheetData sheetId="0"/>
      <sheetData sheetId="1">
        <row r="50">
          <cell r="J50">
            <v>979954.71000000008</v>
          </cell>
        </row>
      </sheetData>
      <sheetData sheetId="2"/>
      <sheetData sheetId="3"/>
      <sheetData sheetId="4"/>
      <sheetData sheetId="5"/>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CAPA"/>
      <sheetName val="Planilha de Preço_CONSULTORIA"/>
      <sheetName val="Serviços gráficos"/>
      <sheetName val="CRONOGRAMA"/>
      <sheetName val="DESPESAS FISCAIS"/>
      <sheetName val="ENCARGOS SOCIAIS"/>
    </sheetNames>
    <sheetDataSet>
      <sheetData sheetId="0"/>
      <sheetData sheetId="1">
        <row r="49">
          <cell r="K49">
            <v>556213.44000000006</v>
          </cell>
        </row>
      </sheetData>
      <sheetData sheetId="2"/>
      <sheetData sheetId="3"/>
      <sheetData sheetId="4"/>
      <sheetData sheetId="5"/>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CAPA"/>
      <sheetName val="Planilha de Preço_CONSULTORIA"/>
      <sheetName val="Serviços gráficos"/>
      <sheetName val="CRONOGRAMA"/>
      <sheetName val="DESPESAS FISCAIS"/>
      <sheetName val="ENCARGOS SOCIAIS"/>
    </sheetNames>
    <sheetDataSet>
      <sheetData sheetId="0"/>
      <sheetData sheetId="1">
        <row r="50">
          <cell r="K50">
            <v>548982.19000000006</v>
          </cell>
        </row>
      </sheetData>
      <sheetData sheetId="2"/>
      <sheetData sheetId="3"/>
      <sheetData sheetId="4"/>
      <sheetData sheetId="5"/>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CAPA"/>
      <sheetName val="Planilha de Preço_CONSULTORIA"/>
      <sheetName val="Serviços gráficos"/>
      <sheetName val="CRONOGRAMA"/>
      <sheetName val="DESPESAS FISCAIS"/>
      <sheetName val="ENCARGOS SOCIAIS"/>
    </sheetNames>
    <sheetDataSet>
      <sheetData sheetId="0"/>
      <sheetData sheetId="1">
        <row r="50">
          <cell r="K50">
            <v>636379.84</v>
          </cell>
        </row>
      </sheetData>
      <sheetData sheetId="2"/>
      <sheetData sheetId="3"/>
      <sheetData sheetId="4"/>
      <sheetData sheetId="5"/>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CAPA"/>
      <sheetName val="Planilha de Preço_CONSULTORIA"/>
      <sheetName val="Serviços gráficos"/>
      <sheetName val="CRONOGRAMA"/>
      <sheetName val="DESPESAS FISCAIS"/>
      <sheetName val="ENCARGOS SOCIAIS"/>
    </sheetNames>
    <sheetDataSet>
      <sheetData sheetId="0"/>
      <sheetData sheetId="1">
        <row r="52">
          <cell r="J52">
            <v>501651.52999999997</v>
          </cell>
        </row>
      </sheetData>
      <sheetData sheetId="2"/>
      <sheetData sheetId="3"/>
      <sheetData sheetId="4"/>
      <sheetData sheetId="5"/>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CAPA"/>
      <sheetName val="Planilha de Preço_CONSULTORIA"/>
      <sheetName val="Serviços gráficos"/>
      <sheetName val="CRONOGRAMA"/>
      <sheetName val="DESPESAS FISCAIS"/>
      <sheetName val="ENCARGOS SOCIAIS"/>
    </sheetNames>
    <sheetDataSet>
      <sheetData sheetId="0"/>
      <sheetData sheetId="1">
        <row r="50">
          <cell r="K50">
            <v>53108.740000000005</v>
          </cell>
        </row>
      </sheetData>
      <sheetData sheetId="2"/>
      <sheetData sheetId="3"/>
      <sheetData sheetId="4"/>
      <sheetData sheetId="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EMERGÊNCIA"/>
      <sheetName val="CAPA"/>
      <sheetName val="Controle"/>
      <sheetName val="LOJAS"/>
      <sheetName val="CONDOMINOS"/>
      <sheetName val="QUADROS DE DISTRIBUIÇÃO"/>
      <sheetName val="BARRAMENTO BLINDADO"/>
      <sheetName val="TRANSFORMADORES"/>
      <sheetName val="GERAL ORIGINAL"/>
      <sheetName val="GERAL POR ITENS"/>
      <sheetName val="MOTORES"/>
      <sheetName val="ANTIGO COND"/>
      <sheetName val="ANTIGO GERAL"/>
      <sheetName val="H_MOT"/>
      <sheetName val="C_MOT"/>
    </sheetNames>
    <sheetDataSet>
      <sheetData sheetId="0" refreshError="1">
        <row r="2">
          <cell r="A2" t="str">
            <v>TABELA DE CARGAS – POR TRANSFORMADOR/PBT EM EMERGÊNCIA</v>
          </cell>
        </row>
        <row r="4">
          <cell r="A4" t="str">
            <v>TRANSFORMADOR 1.1 – PBT-1.1 EM EMERGÊNCIA</v>
          </cell>
        </row>
        <row r="6">
          <cell r="A6" t="str">
            <v>FINALIDADE</v>
          </cell>
          <cell r="B6" t="str">
            <v>POT. UNIT. (kW)</v>
          </cell>
          <cell r="C6" t="str">
            <v>POT. UNIT. (CV)</v>
          </cell>
          <cell r="D6" t="str">
            <v>T I P O</v>
          </cell>
          <cell r="E6" t="str">
            <v>POT-M (KW)</v>
          </cell>
          <cell r="F6" t="str">
            <v>FP- M</v>
          </cell>
          <cell r="G6" t="str">
            <v>QTDE.</v>
          </cell>
          <cell r="H6" t="str">
            <v>PÓLOS</v>
          </cell>
          <cell r="I6" t="str">
            <v>F.D.</v>
          </cell>
          <cell r="J6" t="str">
            <v>F.P.</v>
          </cell>
          <cell r="K6" t="str">
            <v>POT. INSTALADA (kW)</v>
          </cell>
          <cell r="L6" t="str">
            <v>POT. INSTALADA (kVA)</v>
          </cell>
          <cell r="M6" t="str">
            <v>POT. DEMANDADA (kW)</v>
          </cell>
          <cell r="N6" t="str">
            <v>POT. DEMANDADA (kVA)</v>
          </cell>
        </row>
        <row r="7">
          <cell r="A7" t="str">
            <v>BARRAMENTO BLINDADO BB1.1/1.3 – ILUMINAÇÃO HALL</v>
          </cell>
          <cell r="B7">
            <v>123.78</v>
          </cell>
          <cell r="E7" t="e">
            <v>#N/A</v>
          </cell>
          <cell r="F7" t="e">
            <v>#N/A</v>
          </cell>
          <cell r="G7">
            <v>1</v>
          </cell>
          <cell r="I7">
            <v>0.71596423332687886</v>
          </cell>
          <cell r="J7">
            <v>0.97999999999999976</v>
          </cell>
          <cell r="K7">
            <v>123.78</v>
          </cell>
          <cell r="L7">
            <v>126.30612244897962</v>
          </cell>
          <cell r="M7">
            <v>88.622052801201065</v>
          </cell>
          <cell r="N7">
            <v>90.430666123674584</v>
          </cell>
        </row>
        <row r="8">
          <cell r="A8" t="str">
            <v>QD-B1-3S</v>
          </cell>
          <cell r="B8">
            <v>140.32509426511928</v>
          </cell>
          <cell r="E8" t="e">
            <v>#N/A</v>
          </cell>
          <cell r="F8" t="e">
            <v>#N/A</v>
          </cell>
          <cell r="G8">
            <v>1</v>
          </cell>
          <cell r="I8">
            <v>1</v>
          </cell>
          <cell r="J8">
            <v>0.77296462798671983</v>
          </cell>
          <cell r="K8">
            <v>140.32509426511928</v>
          </cell>
          <cell r="L8">
            <v>181.54141752982022</v>
          </cell>
          <cell r="M8">
            <v>140.32509426511928</v>
          </cell>
          <cell r="N8">
            <v>181.54141752982022</v>
          </cell>
        </row>
        <row r="9">
          <cell r="A9" t="str">
            <v>NO BREAK</v>
          </cell>
          <cell r="B9">
            <v>30</v>
          </cell>
          <cell r="G9">
            <v>2</v>
          </cell>
          <cell r="I9">
            <v>0.5</v>
          </cell>
          <cell r="J9">
            <v>1</v>
          </cell>
          <cell r="K9">
            <v>60</v>
          </cell>
          <cell r="L9">
            <v>60</v>
          </cell>
          <cell r="M9">
            <v>30</v>
          </cell>
          <cell r="N9">
            <v>30</v>
          </cell>
        </row>
        <row r="10">
          <cell r="A10" t="str">
            <v>TOTAL</v>
          </cell>
          <cell r="I10">
            <v>0.79896043489677604</v>
          </cell>
          <cell r="J10">
            <v>0.85752015197356957</v>
          </cell>
          <cell r="K10">
            <v>324.10509426511931</v>
          </cell>
          <cell r="L10">
            <v>367.84753997879983</v>
          </cell>
          <cell r="M10">
            <v>258.94714706632033</v>
          </cell>
          <cell r="N10">
            <v>301.97208365349479</v>
          </cell>
        </row>
        <row r="12">
          <cell r="A12" t="str">
            <v>RESUMO GERAL:</v>
          </cell>
          <cell r="B12" t="str">
            <v>kW</v>
          </cell>
          <cell r="C12" t="str">
            <v>kVA</v>
          </cell>
        </row>
        <row r="13">
          <cell r="A13" t="str">
            <v>DEMANDAS</v>
          </cell>
          <cell r="B13">
            <v>258.94714706632033</v>
          </cell>
          <cell r="C13">
            <v>301.97208365349479</v>
          </cell>
        </row>
        <row r="14">
          <cell r="A14" t="str">
            <v>RESERVA     (%)</v>
          </cell>
          <cell r="B14">
            <v>0.2</v>
          </cell>
        </row>
        <row r="15">
          <cell r="A15" t="str">
            <v>FATOR DE SIMULTANEIDADE</v>
          </cell>
          <cell r="B15">
            <v>1</v>
          </cell>
        </row>
        <row r="17">
          <cell r="A17" t="str">
            <v xml:space="preserve">DEMANDA FINAL </v>
          </cell>
          <cell r="B17">
            <v>310.73657647958436</v>
          </cell>
          <cell r="C17">
            <v>362.36650038419373</v>
          </cell>
        </row>
        <row r="19">
          <cell r="A19" t="str">
            <v>TENSÃO (V)</v>
          </cell>
          <cell r="B19">
            <v>380</v>
          </cell>
          <cell r="C19" t="str">
            <v>V</v>
          </cell>
        </row>
        <row r="20">
          <cell r="A20" t="str">
            <v>CORRENTE (A)</v>
          </cell>
          <cell r="B20">
            <v>550.55893826872864</v>
          </cell>
          <cell r="C20" t="str">
            <v>A</v>
          </cell>
        </row>
        <row r="21">
          <cell r="A21" t="str">
            <v>DISJUNTOR GERAL</v>
          </cell>
          <cell r="B21">
            <v>2500</v>
          </cell>
          <cell r="C21" t="str">
            <v>A</v>
          </cell>
        </row>
        <row r="23">
          <cell r="A23" t="str">
            <v>TRANSFORMADOR DE 1500KVA</v>
          </cell>
        </row>
        <row r="27">
          <cell r="A27" t="str">
            <v>TRANSFORMADOR 1.2 – PBT-1.2 EM EMERGÊNCIA</v>
          </cell>
        </row>
        <row r="29">
          <cell r="A29" t="str">
            <v>FINALIDADE</v>
          </cell>
          <cell r="B29" t="str">
            <v>POT. UNIT. (kW)</v>
          </cell>
          <cell r="C29" t="str">
            <v>POT. UNIT. (CV)</v>
          </cell>
          <cell r="D29" t="str">
            <v>T I P O</v>
          </cell>
          <cell r="E29" t="str">
            <v>POT-M (KW)</v>
          </cell>
          <cell r="F29" t="str">
            <v>FP- M</v>
          </cell>
          <cell r="G29" t="str">
            <v>QTDE.</v>
          </cell>
          <cell r="H29" t="str">
            <v>PÓLOS</v>
          </cell>
          <cell r="I29" t="str">
            <v>F.D.</v>
          </cell>
          <cell r="J29" t="str">
            <v>F.P.</v>
          </cell>
          <cell r="K29" t="str">
            <v>POT. INSTALADA (kW)</v>
          </cell>
          <cell r="L29" t="str">
            <v>POT. INSTALADA (kVA)</v>
          </cell>
          <cell r="M29" t="str">
            <v>POT. DEMANDADA (kW)</v>
          </cell>
          <cell r="N29" t="str">
            <v>POT. DEMANDADA (kVA)</v>
          </cell>
        </row>
        <row r="30">
          <cell r="A30" t="str">
            <v>ELEVADORES SUBSOLO</v>
          </cell>
          <cell r="B30">
            <v>20</v>
          </cell>
          <cell r="E30" t="e">
            <v>#N/A</v>
          </cell>
          <cell r="F30" t="e">
            <v>#N/A</v>
          </cell>
          <cell r="G30">
            <v>2</v>
          </cell>
          <cell r="I30">
            <v>0</v>
          </cell>
          <cell r="J30">
            <v>0.8</v>
          </cell>
          <cell r="K30">
            <v>40</v>
          </cell>
          <cell r="L30">
            <v>50</v>
          </cell>
          <cell r="M30">
            <v>0</v>
          </cell>
          <cell r="N30">
            <v>0</v>
          </cell>
        </row>
        <row r="31">
          <cell r="A31" t="str">
            <v>ILUMINAÇÃO E COMANDO ELEVADORES SUBSOLO</v>
          </cell>
          <cell r="B31">
            <v>1.3</v>
          </cell>
          <cell r="E31" t="e">
            <v>#N/A</v>
          </cell>
          <cell r="F31" t="e">
            <v>#N/A</v>
          </cell>
          <cell r="G31">
            <v>1</v>
          </cell>
          <cell r="I31">
            <v>0.74</v>
          </cell>
          <cell r="J31">
            <v>0.8</v>
          </cell>
          <cell r="K31">
            <v>1.3</v>
          </cell>
          <cell r="L31">
            <v>1.625</v>
          </cell>
          <cell r="M31">
            <v>0.96199999999999997</v>
          </cell>
          <cell r="N31">
            <v>1.2024999999999999</v>
          </cell>
        </row>
        <row r="32">
          <cell r="A32" t="str">
            <v>ELEVADORES GARAGEM</v>
          </cell>
          <cell r="B32">
            <v>20</v>
          </cell>
          <cell r="E32" t="e">
            <v>#N/A</v>
          </cell>
          <cell r="F32" t="e">
            <v>#N/A</v>
          </cell>
          <cell r="G32">
            <v>2</v>
          </cell>
          <cell r="I32">
            <v>0.74</v>
          </cell>
          <cell r="J32">
            <v>0.8</v>
          </cell>
          <cell r="K32">
            <v>40</v>
          </cell>
          <cell r="L32">
            <v>50</v>
          </cell>
          <cell r="M32">
            <v>29.6</v>
          </cell>
          <cell r="N32">
            <v>37</v>
          </cell>
        </row>
        <row r="33">
          <cell r="A33" t="str">
            <v>ILUMINAÇÃO E COMANDO ELEVADORES GARAGEM</v>
          </cell>
          <cell r="B33">
            <v>1.3</v>
          </cell>
          <cell r="E33" t="e">
            <v>#N/A</v>
          </cell>
          <cell r="F33" t="e">
            <v>#N/A</v>
          </cell>
          <cell r="G33">
            <v>1</v>
          </cell>
          <cell r="I33">
            <v>0</v>
          </cell>
          <cell r="J33">
            <v>0.8</v>
          </cell>
          <cell r="K33">
            <v>1.3</v>
          </cell>
          <cell r="L33">
            <v>1.625</v>
          </cell>
          <cell r="M33">
            <v>0</v>
          </cell>
          <cell r="N33">
            <v>0</v>
          </cell>
        </row>
        <row r="34">
          <cell r="A34" t="str">
            <v>ELEVADORES ZONA BAIXA</v>
          </cell>
          <cell r="B34">
            <v>50</v>
          </cell>
          <cell r="E34" t="e">
            <v>#N/A</v>
          </cell>
          <cell r="F34" t="e">
            <v>#N/A</v>
          </cell>
          <cell r="G34">
            <v>8</v>
          </cell>
          <cell r="I34">
            <v>0.125</v>
          </cell>
          <cell r="J34">
            <v>0.8</v>
          </cell>
          <cell r="K34">
            <v>400</v>
          </cell>
          <cell r="L34">
            <v>500</v>
          </cell>
          <cell r="M34">
            <v>50</v>
          </cell>
          <cell r="N34">
            <v>62.5</v>
          </cell>
        </row>
        <row r="35">
          <cell r="A35" t="str">
            <v>ILUMINAÇÃO E COMANDO ELEVADORES ZONA BAIXA</v>
          </cell>
          <cell r="B35">
            <v>3</v>
          </cell>
          <cell r="E35" t="e">
            <v>#N/A</v>
          </cell>
          <cell r="F35" t="e">
            <v>#N/A</v>
          </cell>
          <cell r="G35">
            <v>1</v>
          </cell>
          <cell r="I35">
            <v>0.1</v>
          </cell>
          <cell r="J35">
            <v>0.8</v>
          </cell>
          <cell r="K35">
            <v>3</v>
          </cell>
          <cell r="L35">
            <v>3.75</v>
          </cell>
          <cell r="M35">
            <v>0.30000000000000004</v>
          </cell>
          <cell r="N35">
            <v>0.375</v>
          </cell>
        </row>
        <row r="36">
          <cell r="A36" t="str">
            <v>QD-B1-3S-AC</v>
          </cell>
          <cell r="B36">
            <v>140.32509426511928</v>
          </cell>
          <cell r="E36" t="e">
            <v>#N/A</v>
          </cell>
          <cell r="F36" t="e">
            <v>#N/A</v>
          </cell>
          <cell r="G36">
            <v>1</v>
          </cell>
          <cell r="I36">
            <v>0</v>
          </cell>
          <cell r="J36">
            <v>0.77296462798671983</v>
          </cell>
          <cell r="K36">
            <v>140.32509426511928</v>
          </cell>
          <cell r="L36">
            <v>181.54141752982022</v>
          </cell>
          <cell r="M36">
            <v>0</v>
          </cell>
          <cell r="N36">
            <v>0</v>
          </cell>
        </row>
        <row r="37">
          <cell r="A37" t="str">
            <v>VENTILAÇÃO</v>
          </cell>
          <cell r="B37">
            <v>0.56488549618320616</v>
          </cell>
          <cell r="C37">
            <v>0.5</v>
          </cell>
          <cell r="D37" t="str">
            <v>C</v>
          </cell>
          <cell r="E37">
            <v>0.56488549618320616</v>
          </cell>
          <cell r="F37">
            <v>0.73</v>
          </cell>
          <cell r="G37">
            <v>1</v>
          </cell>
          <cell r="I37">
            <v>0</v>
          </cell>
          <cell r="J37">
            <v>0.73</v>
          </cell>
          <cell r="K37">
            <v>0.56488549618320616</v>
          </cell>
          <cell r="L37">
            <v>0.77381574819617283</v>
          </cell>
          <cell r="M37">
            <v>0</v>
          </cell>
          <cell r="N37">
            <v>0</v>
          </cell>
        </row>
        <row r="38">
          <cell r="A38" t="str">
            <v>VENTILAÇÃO</v>
          </cell>
          <cell r="B38">
            <v>0.80291970802919721</v>
          </cell>
          <cell r="C38">
            <v>0.75</v>
          </cell>
          <cell r="D38" t="str">
            <v>C</v>
          </cell>
          <cell r="E38">
            <v>0.80291970802919721</v>
          </cell>
          <cell r="F38">
            <v>0.77</v>
          </cell>
          <cell r="G38">
            <v>1</v>
          </cell>
          <cell r="I38">
            <v>0</v>
          </cell>
          <cell r="J38">
            <v>0.77</v>
          </cell>
          <cell r="K38">
            <v>0.80291970802919721</v>
          </cell>
          <cell r="L38">
            <v>1.0427528675703859</v>
          </cell>
          <cell r="M38">
            <v>0</v>
          </cell>
          <cell r="N38">
            <v>0</v>
          </cell>
        </row>
        <row r="39">
          <cell r="A39" t="str">
            <v>VENTILAÇÃO</v>
          </cell>
          <cell r="B39">
            <v>1.8987341772151898</v>
          </cell>
          <cell r="C39">
            <v>2</v>
          </cell>
          <cell r="D39" t="str">
            <v>C</v>
          </cell>
          <cell r="E39">
            <v>1.8987341772151898</v>
          </cell>
          <cell r="F39">
            <v>0.82</v>
          </cell>
          <cell r="G39">
            <v>1</v>
          </cell>
          <cell r="I39">
            <v>0</v>
          </cell>
          <cell r="J39">
            <v>0.82</v>
          </cell>
          <cell r="K39">
            <v>1.8987341772151898</v>
          </cell>
          <cell r="L39">
            <v>2.3155294844087684</v>
          </cell>
          <cell r="M39">
            <v>0</v>
          </cell>
          <cell r="N39">
            <v>0</v>
          </cell>
        </row>
        <row r="40">
          <cell r="A40" t="str">
            <v>FANCOIL</v>
          </cell>
          <cell r="B40">
            <v>6.3805104408352662</v>
          </cell>
          <cell r="C40">
            <v>7.5</v>
          </cell>
          <cell r="D40" t="str">
            <v>C</v>
          </cell>
          <cell r="E40">
            <v>6.3805104408352662</v>
          </cell>
          <cell r="F40">
            <v>0.8</v>
          </cell>
          <cell r="G40">
            <v>2</v>
          </cell>
          <cell r="I40">
            <v>0</v>
          </cell>
          <cell r="J40">
            <v>0.8</v>
          </cell>
          <cell r="K40">
            <v>12.761020881670532</v>
          </cell>
          <cell r="L40">
            <v>15.951276102088165</v>
          </cell>
          <cell r="M40">
            <v>0</v>
          </cell>
          <cell r="N40">
            <v>0</v>
          </cell>
        </row>
        <row r="41">
          <cell r="A41" t="str">
            <v>UNIDADE CONDENSADORA</v>
          </cell>
          <cell r="B41">
            <v>43.4</v>
          </cell>
          <cell r="G41">
            <v>1</v>
          </cell>
          <cell r="I41">
            <v>0</v>
          </cell>
          <cell r="J41">
            <v>0.8</v>
          </cell>
          <cell r="K41">
            <v>43.4</v>
          </cell>
          <cell r="L41">
            <v>54.249999999999993</v>
          </cell>
          <cell r="M41">
            <v>0</v>
          </cell>
          <cell r="N41">
            <v>0</v>
          </cell>
        </row>
        <row r="42">
          <cell r="A42" t="str">
            <v>FANCOIL ESCRITÓRIOS</v>
          </cell>
          <cell r="B42">
            <v>8.6705202312138727</v>
          </cell>
          <cell r="C42">
            <v>10</v>
          </cell>
          <cell r="D42" t="str">
            <v>C</v>
          </cell>
          <cell r="E42">
            <v>8.6705202312138727</v>
          </cell>
          <cell r="F42">
            <v>0.85</v>
          </cell>
          <cell r="G42">
            <v>32</v>
          </cell>
          <cell r="I42">
            <v>0</v>
          </cell>
          <cell r="J42">
            <v>0.85</v>
          </cell>
          <cell r="K42">
            <v>277.45664739884393</v>
          </cell>
          <cell r="L42">
            <v>326.41958517511051</v>
          </cell>
          <cell r="M42">
            <v>0</v>
          </cell>
          <cell r="N42">
            <v>0</v>
          </cell>
        </row>
        <row r="43">
          <cell r="A43" t="str">
            <v>ILUMINAÇÃO, TOMADAS E AR CONDICIONADO FAST FOOD</v>
          </cell>
          <cell r="B43">
            <v>258.76900000000001</v>
          </cell>
          <cell r="G43">
            <v>1</v>
          </cell>
          <cell r="I43">
            <v>0</v>
          </cell>
          <cell r="J43">
            <v>0.9</v>
          </cell>
          <cell r="K43">
            <v>258.76900000000001</v>
          </cell>
          <cell r="L43">
            <v>287.52111111111111</v>
          </cell>
          <cell r="M43">
            <v>0</v>
          </cell>
          <cell r="N43">
            <v>0</v>
          </cell>
        </row>
        <row r="44">
          <cell r="A44" t="str">
            <v>BOMBA DE RECALQUE DE ÁGUA FRIA</v>
          </cell>
          <cell r="B44">
            <v>20.670391061452513</v>
          </cell>
          <cell r="C44">
            <v>25</v>
          </cell>
          <cell r="D44" t="str">
            <v>H</v>
          </cell>
          <cell r="E44">
            <v>20.670391061452513</v>
          </cell>
          <cell r="F44">
            <v>0.85</v>
          </cell>
          <cell r="G44">
            <v>2</v>
          </cell>
          <cell r="I44">
            <v>0</v>
          </cell>
          <cell r="J44">
            <v>0.85</v>
          </cell>
          <cell r="K44">
            <v>41.340782122905026</v>
          </cell>
          <cell r="L44">
            <v>48.636214262241211</v>
          </cell>
          <cell r="M44">
            <v>0</v>
          </cell>
          <cell r="N44">
            <v>0</v>
          </cell>
        </row>
        <row r="45">
          <cell r="A45" t="str">
            <v>BOMBA DE RECALQUE DE ÁGUAS PLUVIAIS</v>
          </cell>
          <cell r="B45">
            <v>8.6705202312138727</v>
          </cell>
          <cell r="C45">
            <v>10</v>
          </cell>
          <cell r="D45" t="str">
            <v>H</v>
          </cell>
          <cell r="E45">
            <v>8.6705202312138727</v>
          </cell>
          <cell r="F45">
            <v>0.85</v>
          </cell>
          <cell r="G45">
            <v>6</v>
          </cell>
          <cell r="I45">
            <v>0</v>
          </cell>
          <cell r="J45">
            <v>0.85</v>
          </cell>
          <cell r="K45">
            <v>52.02312138728324</v>
          </cell>
          <cell r="L45">
            <v>61.203672220333225</v>
          </cell>
          <cell r="M45">
            <v>0</v>
          </cell>
          <cell r="N45">
            <v>0</v>
          </cell>
        </row>
        <row r="46">
          <cell r="A46" t="str">
            <v>BOMBA DE RECALQUE DE ESGOTO</v>
          </cell>
          <cell r="B46">
            <v>8.6705202312138727</v>
          </cell>
          <cell r="C46">
            <v>10</v>
          </cell>
          <cell r="D46" t="str">
            <v>H</v>
          </cell>
          <cell r="E46">
            <v>8.6705202312138727</v>
          </cell>
          <cell r="F46">
            <v>0.85</v>
          </cell>
          <cell r="G46">
            <v>6</v>
          </cell>
          <cell r="I46">
            <v>0</v>
          </cell>
          <cell r="J46">
            <v>0.85</v>
          </cell>
          <cell r="K46">
            <v>52.02312138728324</v>
          </cell>
          <cell r="L46">
            <v>61.203672220333225</v>
          </cell>
          <cell r="M46">
            <v>0</v>
          </cell>
          <cell r="N46">
            <v>0</v>
          </cell>
        </row>
        <row r="47">
          <cell r="A47" t="str">
            <v>BOMBA DE RECALQUE DE REUSO</v>
          </cell>
          <cell r="B47">
            <v>1.0135135135135136</v>
          </cell>
          <cell r="C47">
            <v>1</v>
          </cell>
          <cell r="D47" t="str">
            <v>H</v>
          </cell>
          <cell r="E47">
            <v>1.0135135135135136</v>
          </cell>
          <cell r="F47">
            <v>0.78</v>
          </cell>
          <cell r="G47">
            <v>2</v>
          </cell>
          <cell r="I47">
            <v>0</v>
          </cell>
          <cell r="J47">
            <v>0.78</v>
          </cell>
          <cell r="K47">
            <v>2.0270270270270272</v>
          </cell>
          <cell r="L47">
            <v>2.5987525987525988</v>
          </cell>
          <cell r="M47">
            <v>0</v>
          </cell>
          <cell r="N47">
            <v>0</v>
          </cell>
        </row>
        <row r="48">
          <cell r="A48" t="str">
            <v>BOMBA DE RECALQUE DO POÇO DE RETARDO</v>
          </cell>
          <cell r="B48">
            <v>1.0135135135135136</v>
          </cell>
          <cell r="C48">
            <v>1</v>
          </cell>
          <cell r="D48" t="str">
            <v>H</v>
          </cell>
          <cell r="E48">
            <v>1.0135135135135136</v>
          </cell>
          <cell r="F48">
            <v>0.78</v>
          </cell>
          <cell r="G48">
            <v>2</v>
          </cell>
          <cell r="I48">
            <v>0</v>
          </cell>
          <cell r="J48">
            <v>0.78</v>
          </cell>
          <cell r="K48">
            <v>2.0270270270270272</v>
          </cell>
          <cell r="L48">
            <v>2.5987525987525988</v>
          </cell>
          <cell r="M48">
            <v>0</v>
          </cell>
          <cell r="N48">
            <v>0</v>
          </cell>
        </row>
        <row r="49">
          <cell r="A49" t="str">
            <v>ESCADA ROLANTE</v>
          </cell>
          <cell r="B49">
            <v>10</v>
          </cell>
          <cell r="G49">
            <v>2</v>
          </cell>
          <cell r="I49">
            <v>0</v>
          </cell>
          <cell r="J49">
            <v>0.8</v>
          </cell>
          <cell r="K49">
            <v>20</v>
          </cell>
          <cell r="L49">
            <v>25</v>
          </cell>
          <cell r="M49">
            <v>0</v>
          </cell>
          <cell r="N49">
            <v>0</v>
          </cell>
        </row>
        <row r="50">
          <cell r="A50" t="str">
            <v>TOTAL</v>
          </cell>
          <cell r="I50">
            <v>5.8131468987100983E-2</v>
          </cell>
          <cell r="J50">
            <v>0.79999999999999993</v>
          </cell>
          <cell r="K50">
            <v>1391.0193808785871</v>
          </cell>
          <cell r="L50">
            <v>1678.056551918718</v>
          </cell>
          <cell r="M50">
            <v>80.861999999999995</v>
          </cell>
          <cell r="N50">
            <v>101.0775</v>
          </cell>
        </row>
        <row r="52">
          <cell r="I52" t="str">
            <v>COM O PAINEL DE SEGURANÇA EM FUNCIONAMENTO</v>
          </cell>
        </row>
        <row r="53">
          <cell r="A53" t="str">
            <v>RESUMO GERAL:</v>
          </cell>
          <cell r="B53" t="str">
            <v>kW</v>
          </cell>
          <cell r="C53" t="str">
            <v>kVA</v>
          </cell>
          <cell r="I53" t="str">
            <v>kW</v>
          </cell>
          <cell r="J53" t="str">
            <v>kVA</v>
          </cell>
        </row>
        <row r="54">
          <cell r="A54" t="str">
            <v>DEMANDAS</v>
          </cell>
          <cell r="B54">
            <v>80.861999999999995</v>
          </cell>
          <cell r="C54">
            <v>101.0775</v>
          </cell>
          <cell r="I54">
            <v>442.08736295026449</v>
          </cell>
          <cell r="J54">
            <v>529.01118759655708</v>
          </cell>
        </row>
        <row r="55">
          <cell r="A55" t="str">
            <v>RESERVA     (%)</v>
          </cell>
          <cell r="B55">
            <v>0.2</v>
          </cell>
          <cell r="I55">
            <v>0</v>
          </cell>
        </row>
        <row r="56">
          <cell r="A56" t="str">
            <v>FATOR DE SIMULTANEIDADE</v>
          </cell>
          <cell r="B56">
            <v>1</v>
          </cell>
          <cell r="I56">
            <v>1</v>
          </cell>
        </row>
        <row r="58">
          <cell r="A58" t="str">
            <v xml:space="preserve">DEMANDA FINAL </v>
          </cell>
          <cell r="B58">
            <v>97.034399999999991</v>
          </cell>
          <cell r="C58">
            <v>121.29299999999999</v>
          </cell>
          <cell r="I58">
            <v>442.08736295026449</v>
          </cell>
          <cell r="J58">
            <v>529.01118759655708</v>
          </cell>
        </row>
        <row r="60">
          <cell r="A60" t="str">
            <v>TENSÃO (V)</v>
          </cell>
          <cell r="B60">
            <v>380</v>
          </cell>
          <cell r="C60" t="str">
            <v>V</v>
          </cell>
          <cell r="I60">
            <v>380</v>
          </cell>
          <cell r="J60" t="str">
            <v>V</v>
          </cell>
        </row>
        <row r="61">
          <cell r="A61" t="str">
            <v>CORRENTE (A)</v>
          </cell>
          <cell r="B61">
            <v>184.28564789688755</v>
          </cell>
          <cell r="C61" t="str">
            <v>A</v>
          </cell>
          <cell r="I61">
            <v>803.74934621893647</v>
          </cell>
          <cell r="J61" t="str">
            <v>A</v>
          </cell>
        </row>
        <row r="62">
          <cell r="A62" t="str">
            <v>DISJUNTOR GERAL</v>
          </cell>
          <cell r="B62">
            <v>2500</v>
          </cell>
          <cell r="C62" t="str">
            <v>A</v>
          </cell>
          <cell r="I62">
            <v>2500</v>
          </cell>
          <cell r="J62" t="str">
            <v>A</v>
          </cell>
        </row>
        <row r="64">
          <cell r="A64" t="str">
            <v>TRANSFORMADOR DE 1500KVA</v>
          </cell>
        </row>
        <row r="69">
          <cell r="A69" t="str">
            <v>PBT-SEG EM EMERGÊNCIA</v>
          </cell>
        </row>
        <row r="71">
          <cell r="A71" t="str">
            <v>EM REGIME NORMAL</v>
          </cell>
        </row>
        <row r="72">
          <cell r="A72" t="str">
            <v>FINALIDADE</v>
          </cell>
          <cell r="B72" t="str">
            <v>POT. UNIT. (kW)</v>
          </cell>
          <cell r="C72" t="str">
            <v>POT. UNIT. (CV)</v>
          </cell>
          <cell r="D72" t="str">
            <v>T I P O</v>
          </cell>
          <cell r="E72" t="str">
            <v>POT-M (KW)</v>
          </cell>
          <cell r="F72" t="str">
            <v>FP- M</v>
          </cell>
          <cell r="G72" t="str">
            <v>QTDE.</v>
          </cell>
          <cell r="H72" t="str">
            <v>PÓLOS</v>
          </cell>
          <cell r="I72" t="str">
            <v>F.D.</v>
          </cell>
          <cell r="J72" t="str">
            <v>F.P.</v>
          </cell>
          <cell r="K72" t="str">
            <v>POT. INSTALADA (kW)</v>
          </cell>
          <cell r="L72" t="str">
            <v>POT. INSTALADA (kVA)</v>
          </cell>
          <cell r="M72" t="str">
            <v>POT. DEMANDADA (kW)</v>
          </cell>
          <cell r="N72" t="str">
            <v>POT. DEMANDADA (kVA)</v>
          </cell>
        </row>
        <row r="73">
          <cell r="A73" t="str">
            <v>ELEVADOR DE SEGUANÇA</v>
          </cell>
          <cell r="B73">
            <v>35</v>
          </cell>
          <cell r="E73" t="e">
            <v>#N/A</v>
          </cell>
          <cell r="F73" t="e">
            <v>#N/A</v>
          </cell>
          <cell r="G73">
            <v>1</v>
          </cell>
          <cell r="I73">
            <v>1</v>
          </cell>
          <cell r="J73">
            <v>0.8</v>
          </cell>
          <cell r="K73">
            <v>35</v>
          </cell>
          <cell r="L73">
            <v>43.75</v>
          </cell>
          <cell r="M73">
            <v>35</v>
          </cell>
          <cell r="N73">
            <v>43.75</v>
          </cell>
        </row>
        <row r="74">
          <cell r="A74" t="str">
            <v>ILUMINAÇÃO E COMANDO ELEVADORE DE SEGURANÇA</v>
          </cell>
          <cell r="B74">
            <v>3</v>
          </cell>
          <cell r="E74" t="e">
            <v>#N/A</v>
          </cell>
          <cell r="F74" t="e">
            <v>#N/A</v>
          </cell>
          <cell r="G74">
            <v>1</v>
          </cell>
          <cell r="I74">
            <v>1</v>
          </cell>
          <cell r="J74">
            <v>0.8</v>
          </cell>
          <cell r="K74">
            <v>3</v>
          </cell>
          <cell r="L74">
            <v>3.75</v>
          </cell>
          <cell r="M74">
            <v>3</v>
          </cell>
          <cell r="N74">
            <v>3.75</v>
          </cell>
        </row>
        <row r="75">
          <cell r="A75" t="str">
            <v>PRESSURIZAÇÃO ESCADA 5SS</v>
          </cell>
          <cell r="B75">
            <v>6.3805104408352662</v>
          </cell>
          <cell r="C75">
            <v>7.5</v>
          </cell>
          <cell r="D75" t="str">
            <v>C</v>
          </cell>
          <cell r="E75">
            <v>6.3805104408352662</v>
          </cell>
          <cell r="F75">
            <v>0.8</v>
          </cell>
          <cell r="G75">
            <v>4</v>
          </cell>
          <cell r="I75">
            <v>0</v>
          </cell>
          <cell r="J75">
            <v>0.8</v>
          </cell>
          <cell r="K75">
            <v>25.522041763341065</v>
          </cell>
          <cell r="L75">
            <v>31.902552204176331</v>
          </cell>
          <cell r="M75">
            <v>0</v>
          </cell>
          <cell r="N75">
            <v>0</v>
          </cell>
        </row>
        <row r="76">
          <cell r="A76" t="str">
            <v>PRESSURIZAÇÃO ESCADA 3SS</v>
          </cell>
          <cell r="B76">
            <v>8.6705202312138727</v>
          </cell>
          <cell r="C76">
            <v>10</v>
          </cell>
          <cell r="D76" t="str">
            <v>C</v>
          </cell>
          <cell r="E76">
            <v>8.6705202312138727</v>
          </cell>
          <cell r="F76">
            <v>0.85</v>
          </cell>
          <cell r="G76">
            <v>2</v>
          </cell>
          <cell r="I76">
            <v>0</v>
          </cell>
          <cell r="J76">
            <v>0.85</v>
          </cell>
          <cell r="K76">
            <v>17.341040462427745</v>
          </cell>
          <cell r="L76">
            <v>20.401224073444407</v>
          </cell>
          <cell r="M76">
            <v>0</v>
          </cell>
          <cell r="N76">
            <v>0</v>
          </cell>
        </row>
        <row r="77">
          <cell r="A77" t="str">
            <v>PRESSURIZAÇÃO ESCADA 1SS</v>
          </cell>
          <cell r="B77">
            <v>16.930022573363431</v>
          </cell>
          <cell r="C77">
            <v>20</v>
          </cell>
          <cell r="D77" t="str">
            <v>C</v>
          </cell>
          <cell r="E77">
            <v>16.930022573363431</v>
          </cell>
          <cell r="F77">
            <v>0.84</v>
          </cell>
          <cell r="G77">
            <v>5</v>
          </cell>
          <cell r="I77">
            <v>0</v>
          </cell>
          <cell r="J77">
            <v>0.84</v>
          </cell>
          <cell r="K77">
            <v>84.650112866817153</v>
          </cell>
          <cell r="L77">
            <v>100.77394388906805</v>
          </cell>
          <cell r="M77">
            <v>0</v>
          </cell>
          <cell r="N77">
            <v>0</v>
          </cell>
        </row>
        <row r="78">
          <cell r="A78" t="str">
            <v>EXAUSTÃO DE FUMAÇA</v>
          </cell>
          <cell r="B78">
            <v>16.930022573363431</v>
          </cell>
          <cell r="C78">
            <v>20</v>
          </cell>
          <cell r="D78" t="str">
            <v>C</v>
          </cell>
          <cell r="E78">
            <v>16.930022573363431</v>
          </cell>
          <cell r="F78">
            <v>0.84</v>
          </cell>
          <cell r="G78">
            <v>2</v>
          </cell>
          <cell r="I78">
            <v>0</v>
          </cell>
          <cell r="J78">
            <v>0.84</v>
          </cell>
          <cell r="K78">
            <v>33.860045146726861</v>
          </cell>
          <cell r="L78">
            <v>40.309577555627214</v>
          </cell>
          <cell r="M78">
            <v>0</v>
          </cell>
          <cell r="N78">
            <v>0</v>
          </cell>
        </row>
        <row r="79">
          <cell r="A79" t="str">
            <v>ELEVADOR DE SEGUANÇA</v>
          </cell>
          <cell r="B79">
            <v>35</v>
          </cell>
          <cell r="E79" t="e">
            <v>#N/A</v>
          </cell>
          <cell r="F79" t="e">
            <v>#N/A</v>
          </cell>
          <cell r="G79">
            <v>1</v>
          </cell>
          <cell r="I79">
            <v>1</v>
          </cell>
          <cell r="J79">
            <v>0.8</v>
          </cell>
          <cell r="K79">
            <v>35</v>
          </cell>
          <cell r="L79">
            <v>43.75</v>
          </cell>
          <cell r="M79">
            <v>35</v>
          </cell>
          <cell r="N79">
            <v>43.75</v>
          </cell>
        </row>
        <row r="80">
          <cell r="A80" t="str">
            <v>ILUMINAÇÃO E COMANDO ELEVADORE DE SEGURANÇA</v>
          </cell>
          <cell r="B80">
            <v>3</v>
          </cell>
          <cell r="E80" t="e">
            <v>#N/A</v>
          </cell>
          <cell r="F80" t="e">
            <v>#N/A</v>
          </cell>
          <cell r="G80">
            <v>1</v>
          </cell>
          <cell r="I80">
            <v>1</v>
          </cell>
          <cell r="J80">
            <v>0.8</v>
          </cell>
          <cell r="K80">
            <v>3</v>
          </cell>
          <cell r="L80">
            <v>3.75</v>
          </cell>
          <cell r="M80">
            <v>3</v>
          </cell>
          <cell r="N80">
            <v>3.75</v>
          </cell>
        </row>
        <row r="81">
          <cell r="A81" t="str">
            <v>PRESSURIZAÇÃO ESCADA 5SS</v>
          </cell>
          <cell r="B81">
            <v>6.3805104408352662</v>
          </cell>
          <cell r="C81">
            <v>7.5</v>
          </cell>
          <cell r="D81" t="str">
            <v>C</v>
          </cell>
          <cell r="E81">
            <v>6.3805104408352662</v>
          </cell>
          <cell r="F81">
            <v>0.8</v>
          </cell>
          <cell r="G81">
            <v>4</v>
          </cell>
          <cell r="I81">
            <v>0</v>
          </cell>
          <cell r="J81">
            <v>0.8</v>
          </cell>
          <cell r="K81">
            <v>25.522041763341065</v>
          </cell>
          <cell r="L81">
            <v>31.902552204176331</v>
          </cell>
          <cell r="M81">
            <v>0</v>
          </cell>
          <cell r="N81">
            <v>0</v>
          </cell>
        </row>
        <row r="82">
          <cell r="A82" t="str">
            <v>PRESSURIZAÇÃO ESCADA 3SS</v>
          </cell>
          <cell r="B82">
            <v>8.6705202312138727</v>
          </cell>
          <cell r="C82">
            <v>10</v>
          </cell>
          <cell r="D82" t="str">
            <v>C</v>
          </cell>
          <cell r="E82">
            <v>8.6705202312138727</v>
          </cell>
          <cell r="F82">
            <v>0.85</v>
          </cell>
          <cell r="G82">
            <v>2</v>
          </cell>
          <cell r="I82">
            <v>0</v>
          </cell>
          <cell r="J82">
            <v>0.85</v>
          </cell>
          <cell r="K82">
            <v>17.341040462427745</v>
          </cell>
          <cell r="L82">
            <v>20.401224073444407</v>
          </cell>
          <cell r="M82">
            <v>0</v>
          </cell>
          <cell r="N82">
            <v>0</v>
          </cell>
        </row>
        <row r="83">
          <cell r="A83" t="str">
            <v>PRESSURIZAÇÃO ESCADA 1SS</v>
          </cell>
          <cell r="B83">
            <v>16.930022573363431</v>
          </cell>
          <cell r="C83">
            <v>20</v>
          </cell>
          <cell r="D83" t="str">
            <v>C</v>
          </cell>
          <cell r="E83">
            <v>16.930022573363431</v>
          </cell>
          <cell r="F83">
            <v>0.84</v>
          </cell>
          <cell r="G83">
            <v>5</v>
          </cell>
          <cell r="I83">
            <v>0</v>
          </cell>
          <cell r="J83">
            <v>0.84</v>
          </cell>
          <cell r="K83">
            <v>84.650112866817153</v>
          </cell>
          <cell r="L83">
            <v>100.77394388906805</v>
          </cell>
          <cell r="M83">
            <v>0</v>
          </cell>
          <cell r="N83">
            <v>0</v>
          </cell>
        </row>
        <row r="84">
          <cell r="A84" t="str">
            <v>EXAUSTÃO DE FUMAÇA</v>
          </cell>
          <cell r="B84">
            <v>16.930022573363431</v>
          </cell>
          <cell r="C84">
            <v>20</v>
          </cell>
          <cell r="D84" t="str">
            <v>C</v>
          </cell>
          <cell r="E84">
            <v>16.930022573363431</v>
          </cell>
          <cell r="F84">
            <v>0.84</v>
          </cell>
          <cell r="G84">
            <v>2</v>
          </cell>
          <cell r="I84">
            <v>0</v>
          </cell>
          <cell r="J84">
            <v>0.84</v>
          </cell>
          <cell r="K84">
            <v>33.860045146726861</v>
          </cell>
          <cell r="L84">
            <v>40.309577555627214</v>
          </cell>
          <cell r="M84">
            <v>0</v>
          </cell>
          <cell r="N84">
            <v>0</v>
          </cell>
        </row>
        <row r="85">
          <cell r="A85" t="str">
            <v>BOMBA DE RECALQUE DE ÓLEO DIESEL</v>
          </cell>
          <cell r="B85">
            <v>2.7500000000000004</v>
          </cell>
          <cell r="C85">
            <v>3</v>
          </cell>
          <cell r="D85" t="str">
            <v>H</v>
          </cell>
          <cell r="E85">
            <v>2.7500000000000004</v>
          </cell>
          <cell r="F85">
            <v>0.77</v>
          </cell>
          <cell r="G85">
            <v>2</v>
          </cell>
          <cell r="I85">
            <v>0.5</v>
          </cell>
          <cell r="J85">
            <v>0.77</v>
          </cell>
          <cell r="K85">
            <v>5.5000000000000009</v>
          </cell>
          <cell r="L85">
            <v>7.1428571428571441</v>
          </cell>
          <cell r="M85">
            <v>2.7500000000000004</v>
          </cell>
          <cell r="N85">
            <v>3.5714285714285721</v>
          </cell>
        </row>
        <row r="86">
          <cell r="A86" t="str">
            <v>ILUMINAÇÃO E TOMADAS GERADOR</v>
          </cell>
          <cell r="B86">
            <v>11.67</v>
          </cell>
          <cell r="E86" t="e">
            <v>#N/A</v>
          </cell>
          <cell r="F86" t="e">
            <v>#N/A</v>
          </cell>
          <cell r="G86">
            <v>1</v>
          </cell>
          <cell r="I86">
            <v>0.9</v>
          </cell>
          <cell r="J86">
            <v>0.94</v>
          </cell>
          <cell r="K86">
            <v>11.67</v>
          </cell>
          <cell r="L86">
            <v>12.414893617021278</v>
          </cell>
          <cell r="M86">
            <v>10.503</v>
          </cell>
          <cell r="N86">
            <v>11.17340425531915</v>
          </cell>
        </row>
        <row r="87">
          <cell r="A87" t="str">
            <v>BOMBA DE INCÊNDIO JOCKEY</v>
          </cell>
          <cell r="B87">
            <v>4.3632075471698117</v>
          </cell>
          <cell r="C87">
            <v>5</v>
          </cell>
          <cell r="D87" t="str">
            <v>H</v>
          </cell>
          <cell r="E87">
            <v>4.3632075471698117</v>
          </cell>
          <cell r="F87">
            <v>0.83</v>
          </cell>
          <cell r="G87">
            <v>1</v>
          </cell>
          <cell r="I87">
            <v>1</v>
          </cell>
          <cell r="J87">
            <v>0.83</v>
          </cell>
          <cell r="K87">
            <v>4.3632075471698117</v>
          </cell>
          <cell r="L87">
            <v>5.2568765628551954</v>
          </cell>
          <cell r="M87">
            <v>4.3632075471698117</v>
          </cell>
          <cell r="N87">
            <v>5.2568765628551954</v>
          </cell>
        </row>
        <row r="88">
          <cell r="A88" t="str">
            <v>BOMBA DE INCÊNDIO PRINCIPAL</v>
          </cell>
          <cell r="B88">
            <v>119.56521739130434</v>
          </cell>
          <cell r="C88">
            <v>150</v>
          </cell>
          <cell r="D88" t="str">
            <v>H</v>
          </cell>
          <cell r="E88">
            <v>119.56521739130434</v>
          </cell>
          <cell r="F88">
            <v>0.86</v>
          </cell>
          <cell r="G88">
            <v>1</v>
          </cell>
          <cell r="I88">
            <v>0</v>
          </cell>
          <cell r="J88">
            <v>0.86</v>
          </cell>
          <cell r="K88">
            <v>119.56521739130434</v>
          </cell>
          <cell r="L88">
            <v>139.02932254802832</v>
          </cell>
          <cell r="M88">
            <v>0</v>
          </cell>
          <cell r="N88">
            <v>0</v>
          </cell>
        </row>
        <row r="89">
          <cell r="A89" t="str">
            <v>RETIFICADOR SUBESTAÇÃO</v>
          </cell>
          <cell r="B89">
            <v>10</v>
          </cell>
          <cell r="G89">
            <v>1</v>
          </cell>
          <cell r="I89">
            <v>1</v>
          </cell>
          <cell r="J89">
            <v>0.8</v>
          </cell>
          <cell r="K89">
            <v>10</v>
          </cell>
          <cell r="L89">
            <v>12.5</v>
          </cell>
          <cell r="M89">
            <v>10</v>
          </cell>
          <cell r="N89">
            <v>12.5</v>
          </cell>
        </row>
        <row r="90">
          <cell r="A90" t="str">
            <v>TOTAL</v>
          </cell>
          <cell r="I90">
            <v>0.18844624461614121</v>
          </cell>
          <cell r="J90">
            <v>0.81266524224042402</v>
          </cell>
          <cell r="K90">
            <v>549.84490541709977</v>
          </cell>
          <cell r="L90">
            <v>658.11854531539404</v>
          </cell>
          <cell r="M90">
            <v>103.61620754716981</v>
          </cell>
          <cell r="N90">
            <v>127.50170938960292</v>
          </cell>
        </row>
        <row r="92">
          <cell r="A92" t="str">
            <v>RESUMO GERAL:</v>
          </cell>
          <cell r="B92" t="str">
            <v>kW</v>
          </cell>
          <cell r="C92" t="str">
            <v>kVA</v>
          </cell>
        </row>
        <row r="93">
          <cell r="A93" t="str">
            <v>DEMANDAS</v>
          </cell>
          <cell r="B93">
            <v>103.61620754716981</v>
          </cell>
          <cell r="C93">
            <v>127.50170938960292</v>
          </cell>
        </row>
        <row r="94">
          <cell r="A94" t="str">
            <v>RESERVA     (%)</v>
          </cell>
          <cell r="B94">
            <v>0.2</v>
          </cell>
        </row>
        <row r="95">
          <cell r="A95" t="str">
            <v>FATOR DE SIMULTANEIDADE</v>
          </cell>
          <cell r="B95">
            <v>1</v>
          </cell>
        </row>
        <row r="97">
          <cell r="A97" t="str">
            <v xml:space="preserve">DEMANDA FINAL </v>
          </cell>
          <cell r="B97">
            <v>124.33944905660377</v>
          </cell>
          <cell r="C97">
            <v>153.00205126752351</v>
          </cell>
        </row>
        <row r="99">
          <cell r="A99" t="str">
            <v>TENSÃO (V)</v>
          </cell>
          <cell r="B99">
            <v>380</v>
          </cell>
          <cell r="C99" t="str">
            <v>V</v>
          </cell>
        </row>
        <row r="100">
          <cell r="A100" t="str">
            <v>CORRENTE (A)</v>
          </cell>
          <cell r="B100">
            <v>232.46256706807799</v>
          </cell>
          <cell r="C100" t="str">
            <v>A</v>
          </cell>
        </row>
        <row r="101">
          <cell r="A101" t="str">
            <v>DISJUNTOR GERAL</v>
          </cell>
          <cell r="B101">
            <v>1250</v>
          </cell>
          <cell r="C101" t="str">
            <v>A</v>
          </cell>
        </row>
        <row r="104">
          <cell r="A104" t="str">
            <v>EM FUNCIONAMENTO</v>
          </cell>
        </row>
        <row r="105">
          <cell r="A105" t="str">
            <v>FINALIDADE</v>
          </cell>
          <cell r="B105" t="str">
            <v>POT. UNIT. (kW)</v>
          </cell>
          <cell r="C105" t="str">
            <v>POT. UNIT. (CV)</v>
          </cell>
          <cell r="D105" t="str">
            <v>T I P O</v>
          </cell>
          <cell r="E105" t="str">
            <v>POT-M (KW)</v>
          </cell>
          <cell r="F105" t="str">
            <v>FP- M</v>
          </cell>
          <cell r="G105" t="str">
            <v>QTDE.</v>
          </cell>
          <cell r="H105" t="str">
            <v>PÓLOS</v>
          </cell>
          <cell r="I105" t="str">
            <v>F.D.</v>
          </cell>
          <cell r="J105" t="str">
            <v>F.P.</v>
          </cell>
          <cell r="K105" t="str">
            <v>POT. INSTALADA (kW)</v>
          </cell>
          <cell r="L105" t="str">
            <v>POT. INSTALADA (kVA)</v>
          </cell>
          <cell r="M105" t="str">
            <v>POT. DEMANDADA (kW)</v>
          </cell>
          <cell r="N105" t="str">
            <v>POT. DEMANDADA (kVA)</v>
          </cell>
        </row>
        <row r="106">
          <cell r="A106" t="str">
            <v>ELEVADOR DE SEGUANÇA</v>
          </cell>
          <cell r="B106">
            <v>35</v>
          </cell>
          <cell r="E106" t="e">
            <v>#N/A</v>
          </cell>
          <cell r="F106" t="e">
            <v>#N/A</v>
          </cell>
          <cell r="G106">
            <v>1</v>
          </cell>
          <cell r="I106">
            <v>1</v>
          </cell>
          <cell r="J106">
            <v>0.8</v>
          </cell>
          <cell r="K106">
            <v>35</v>
          </cell>
          <cell r="L106">
            <v>43.75</v>
          </cell>
          <cell r="M106">
            <v>35</v>
          </cell>
          <cell r="N106">
            <v>43.75</v>
          </cell>
        </row>
        <row r="107">
          <cell r="A107" t="str">
            <v>ILUMINAÇÃO E COMANDO ELEVADORE DE SEGURANÇA</v>
          </cell>
          <cell r="B107">
            <v>3</v>
          </cell>
          <cell r="E107" t="e">
            <v>#N/A</v>
          </cell>
          <cell r="F107" t="e">
            <v>#N/A</v>
          </cell>
          <cell r="G107">
            <v>1</v>
          </cell>
          <cell r="I107">
            <v>1</v>
          </cell>
          <cell r="J107">
            <v>0.8</v>
          </cell>
          <cell r="K107">
            <v>3</v>
          </cell>
          <cell r="L107">
            <v>3.75</v>
          </cell>
          <cell r="M107">
            <v>3</v>
          </cell>
          <cell r="N107">
            <v>3.75</v>
          </cell>
        </row>
        <row r="108">
          <cell r="A108" t="str">
            <v>PRESSURIZAÇÃO ESCADA 5SS</v>
          </cell>
          <cell r="B108">
            <v>6.3805104408352662</v>
          </cell>
          <cell r="C108">
            <v>7.5</v>
          </cell>
          <cell r="D108" t="str">
            <v>C</v>
          </cell>
          <cell r="E108">
            <v>6.3805104408352662</v>
          </cell>
          <cell r="F108">
            <v>0.8</v>
          </cell>
          <cell r="G108">
            <v>4</v>
          </cell>
          <cell r="I108">
            <v>0.5</v>
          </cell>
          <cell r="J108">
            <v>0.8</v>
          </cell>
          <cell r="K108">
            <v>25.522041763341065</v>
          </cell>
          <cell r="L108">
            <v>31.902552204176331</v>
          </cell>
          <cell r="M108">
            <v>12.761020881670532</v>
          </cell>
          <cell r="N108">
            <v>15.951276102088165</v>
          </cell>
        </row>
        <row r="109">
          <cell r="A109" t="str">
            <v>PRESSURIZAÇÃO ESCADA 3SS</v>
          </cell>
          <cell r="B109">
            <v>8.6705202312138727</v>
          </cell>
          <cell r="C109">
            <v>10</v>
          </cell>
          <cell r="D109" t="str">
            <v>C</v>
          </cell>
          <cell r="E109">
            <v>8.6705202312138727</v>
          </cell>
          <cell r="F109">
            <v>0.85</v>
          </cell>
          <cell r="G109">
            <v>2</v>
          </cell>
          <cell r="I109">
            <v>0.5</v>
          </cell>
          <cell r="J109">
            <v>0.85</v>
          </cell>
          <cell r="K109">
            <v>17.341040462427745</v>
          </cell>
          <cell r="L109">
            <v>20.401224073444407</v>
          </cell>
          <cell r="M109">
            <v>8.6705202312138727</v>
          </cell>
          <cell r="N109">
            <v>10.200612036722204</v>
          </cell>
        </row>
        <row r="110">
          <cell r="A110" t="str">
            <v>PRESSURIZAÇÃO ESCADA 1SS</v>
          </cell>
          <cell r="B110">
            <v>16.930022573363431</v>
          </cell>
          <cell r="C110">
            <v>20</v>
          </cell>
          <cell r="D110" t="str">
            <v>C</v>
          </cell>
          <cell r="E110">
            <v>16.930022573363431</v>
          </cell>
          <cell r="F110">
            <v>0.84</v>
          </cell>
          <cell r="G110">
            <v>5</v>
          </cell>
          <cell r="I110">
            <v>0.8</v>
          </cell>
          <cell r="J110">
            <v>0.84</v>
          </cell>
          <cell r="K110">
            <v>84.650112866817153</v>
          </cell>
          <cell r="L110">
            <v>100.77394388906805</v>
          </cell>
          <cell r="M110">
            <v>67.720090293453723</v>
          </cell>
          <cell r="N110">
            <v>80.619155111254443</v>
          </cell>
        </row>
        <row r="111">
          <cell r="A111" t="str">
            <v>EXAUSTÃO DE FUMAÇA</v>
          </cell>
          <cell r="B111">
            <v>16.930022573363431</v>
          </cell>
          <cell r="C111">
            <v>20</v>
          </cell>
          <cell r="D111" t="str">
            <v>C</v>
          </cell>
          <cell r="E111">
            <v>16.930022573363431</v>
          </cell>
          <cell r="F111">
            <v>0.84</v>
          </cell>
          <cell r="G111">
            <v>2</v>
          </cell>
          <cell r="I111">
            <v>1</v>
          </cell>
          <cell r="J111">
            <v>0.84</v>
          </cell>
          <cell r="K111">
            <v>33.860045146726861</v>
          </cell>
          <cell r="L111">
            <v>40.309577555627214</v>
          </cell>
          <cell r="M111">
            <v>33.860045146726861</v>
          </cell>
          <cell r="N111">
            <v>40.309577555627214</v>
          </cell>
        </row>
        <row r="112">
          <cell r="A112" t="str">
            <v>ELEVADOR DE SEGUANÇA</v>
          </cell>
          <cell r="B112">
            <v>35</v>
          </cell>
          <cell r="E112" t="e">
            <v>#N/A</v>
          </cell>
          <cell r="F112" t="e">
            <v>#N/A</v>
          </cell>
          <cell r="G112">
            <v>1</v>
          </cell>
          <cell r="I112">
            <v>1</v>
          </cell>
          <cell r="J112">
            <v>0.8</v>
          </cell>
          <cell r="K112">
            <v>35</v>
          </cell>
          <cell r="L112">
            <v>43.75</v>
          </cell>
          <cell r="M112">
            <v>35</v>
          </cell>
          <cell r="N112">
            <v>43.75</v>
          </cell>
        </row>
        <row r="113">
          <cell r="A113" t="str">
            <v>ILUMINAÇÃO E COMANDO ELEVADORE DE SEGURANÇA</v>
          </cell>
          <cell r="B113">
            <v>3</v>
          </cell>
          <cell r="E113" t="e">
            <v>#N/A</v>
          </cell>
          <cell r="F113" t="e">
            <v>#N/A</v>
          </cell>
          <cell r="G113">
            <v>1</v>
          </cell>
          <cell r="I113">
            <v>1</v>
          </cell>
          <cell r="J113">
            <v>0.8</v>
          </cell>
          <cell r="K113">
            <v>3</v>
          </cell>
          <cell r="L113">
            <v>3.75</v>
          </cell>
          <cell r="M113">
            <v>3</v>
          </cell>
          <cell r="N113">
            <v>3.75</v>
          </cell>
        </row>
        <row r="114">
          <cell r="A114" t="str">
            <v>PRESSURIZAÇÃO ESCADA 5SS</v>
          </cell>
          <cell r="B114">
            <v>6.3805104408352662</v>
          </cell>
          <cell r="C114">
            <v>7.5</v>
          </cell>
          <cell r="D114" t="str">
            <v>C</v>
          </cell>
          <cell r="E114">
            <v>6.3805104408352662</v>
          </cell>
          <cell r="F114">
            <v>0.8</v>
          </cell>
          <cell r="G114">
            <v>4</v>
          </cell>
          <cell r="I114">
            <v>0.5</v>
          </cell>
          <cell r="J114">
            <v>0.8</v>
          </cell>
          <cell r="K114">
            <v>25.522041763341065</v>
          </cell>
          <cell r="L114">
            <v>31.902552204176331</v>
          </cell>
          <cell r="M114">
            <v>12.761020881670532</v>
          </cell>
          <cell r="N114">
            <v>15.951276102088165</v>
          </cell>
        </row>
        <row r="115">
          <cell r="A115" t="str">
            <v>PRESSURIZAÇÃO ESCADA 3SS</v>
          </cell>
          <cell r="B115">
            <v>8.6705202312138727</v>
          </cell>
          <cell r="C115">
            <v>10</v>
          </cell>
          <cell r="D115" t="str">
            <v>C</v>
          </cell>
          <cell r="E115">
            <v>8.6705202312138727</v>
          </cell>
          <cell r="F115">
            <v>0.85</v>
          </cell>
          <cell r="G115">
            <v>2</v>
          </cell>
          <cell r="I115">
            <v>0.5</v>
          </cell>
          <cell r="J115">
            <v>0.85</v>
          </cell>
          <cell r="K115">
            <v>17.341040462427745</v>
          </cell>
          <cell r="L115">
            <v>20.401224073444407</v>
          </cell>
          <cell r="M115">
            <v>8.6705202312138727</v>
          </cell>
          <cell r="N115">
            <v>10.200612036722204</v>
          </cell>
        </row>
        <row r="116">
          <cell r="A116" t="str">
            <v>PRESSURIZAÇÃO ESCADA 1SS</v>
          </cell>
          <cell r="B116">
            <v>16.930022573363431</v>
          </cell>
          <cell r="C116">
            <v>20</v>
          </cell>
          <cell r="D116" t="str">
            <v>C</v>
          </cell>
          <cell r="E116">
            <v>16.930022573363431</v>
          </cell>
          <cell r="F116">
            <v>0.84</v>
          </cell>
          <cell r="G116">
            <v>5</v>
          </cell>
          <cell r="I116">
            <v>0.8</v>
          </cell>
          <cell r="J116">
            <v>0.84</v>
          </cell>
          <cell r="K116">
            <v>84.650112866817153</v>
          </cell>
          <cell r="L116">
            <v>100.77394388906805</v>
          </cell>
          <cell r="M116">
            <v>67.720090293453723</v>
          </cell>
          <cell r="N116">
            <v>80.619155111254443</v>
          </cell>
        </row>
        <row r="117">
          <cell r="A117" t="str">
            <v>EXAUSTÃO DE FUMAÇA</v>
          </cell>
          <cell r="B117">
            <v>16.930022573363431</v>
          </cell>
          <cell r="C117">
            <v>20</v>
          </cell>
          <cell r="D117" t="str">
            <v>C</v>
          </cell>
          <cell r="E117">
            <v>16.930022573363431</v>
          </cell>
          <cell r="F117">
            <v>0.84</v>
          </cell>
          <cell r="G117">
            <v>2</v>
          </cell>
          <cell r="I117">
            <v>1</v>
          </cell>
          <cell r="J117">
            <v>0.84</v>
          </cell>
          <cell r="K117">
            <v>33.860045146726861</v>
          </cell>
          <cell r="L117">
            <v>40.309577555627214</v>
          </cell>
          <cell r="M117">
            <v>33.860045146726861</v>
          </cell>
          <cell r="N117">
            <v>40.309577555627214</v>
          </cell>
        </row>
        <row r="118">
          <cell r="A118" t="str">
            <v>BOMBA DE RECALQUE DE ÓLEO DIESEL</v>
          </cell>
          <cell r="B118">
            <v>2.7500000000000004</v>
          </cell>
          <cell r="C118">
            <v>3</v>
          </cell>
          <cell r="D118" t="str">
            <v>H</v>
          </cell>
          <cell r="E118">
            <v>2.7500000000000004</v>
          </cell>
          <cell r="F118">
            <v>0.77</v>
          </cell>
          <cell r="G118">
            <v>2</v>
          </cell>
          <cell r="I118">
            <v>0.5</v>
          </cell>
          <cell r="J118">
            <v>0.77</v>
          </cell>
          <cell r="K118">
            <v>5.5000000000000009</v>
          </cell>
          <cell r="L118">
            <v>7.1428571428571441</v>
          </cell>
          <cell r="M118">
            <v>2.7500000000000004</v>
          </cell>
          <cell r="N118">
            <v>3.5714285714285721</v>
          </cell>
        </row>
        <row r="119">
          <cell r="A119" t="str">
            <v>ILUMINAÇÃO E TOMADAS GERADOR</v>
          </cell>
          <cell r="B119">
            <v>11.67</v>
          </cell>
          <cell r="G119">
            <v>1</v>
          </cell>
          <cell r="I119">
            <v>0.9</v>
          </cell>
          <cell r="J119">
            <v>0.94</v>
          </cell>
          <cell r="K119">
            <v>11.67</v>
          </cell>
          <cell r="L119">
            <v>12.414893617021278</v>
          </cell>
          <cell r="M119">
            <v>10.503</v>
          </cell>
          <cell r="N119">
            <v>11.17340425531915</v>
          </cell>
        </row>
        <row r="120">
          <cell r="A120" t="str">
            <v>BOMBA DE INCÊNDIO JOCKEY</v>
          </cell>
          <cell r="B120">
            <v>6.3805104408352662</v>
          </cell>
          <cell r="C120">
            <v>7.5</v>
          </cell>
          <cell r="D120" t="str">
            <v>H</v>
          </cell>
          <cell r="E120">
            <v>6.3805104408352662</v>
          </cell>
          <cell r="F120">
            <v>0.8</v>
          </cell>
          <cell r="G120">
            <v>1</v>
          </cell>
          <cell r="I120">
            <v>0</v>
          </cell>
          <cell r="J120">
            <v>0.8</v>
          </cell>
          <cell r="K120">
            <v>6.3805104408352662</v>
          </cell>
          <cell r="L120">
            <v>7.9756380510440827</v>
          </cell>
          <cell r="M120">
            <v>0</v>
          </cell>
          <cell r="N120">
            <v>0</v>
          </cell>
        </row>
        <row r="121">
          <cell r="A121" t="str">
            <v>BOMBA DE INCÊNDIO PRINCIPAL</v>
          </cell>
          <cell r="B121">
            <v>119.56521739130434</v>
          </cell>
          <cell r="C121">
            <v>150</v>
          </cell>
          <cell r="D121" t="str">
            <v>H</v>
          </cell>
          <cell r="E121">
            <v>119.56521739130434</v>
          </cell>
          <cell r="F121">
            <v>0.86</v>
          </cell>
          <cell r="G121">
            <v>1</v>
          </cell>
          <cell r="I121">
            <v>1</v>
          </cell>
          <cell r="J121">
            <v>0.86</v>
          </cell>
          <cell r="K121">
            <v>119.56521739130434</v>
          </cell>
          <cell r="L121">
            <v>139.02932254802832</v>
          </cell>
          <cell r="M121">
            <v>119.56521739130434</v>
          </cell>
          <cell r="N121">
            <v>139.02932254802832</v>
          </cell>
        </row>
        <row r="122">
          <cell r="A122" t="str">
            <v>RETIFICADOR SUBESTAÇÃO</v>
          </cell>
          <cell r="B122">
            <v>10</v>
          </cell>
          <cell r="G122">
            <v>1</v>
          </cell>
          <cell r="I122">
            <v>1</v>
          </cell>
          <cell r="J122">
            <v>0.8</v>
          </cell>
          <cell r="K122">
            <v>10</v>
          </cell>
          <cell r="L122">
            <v>12.5</v>
          </cell>
          <cell r="M122">
            <v>10</v>
          </cell>
          <cell r="N122">
            <v>12.5</v>
          </cell>
        </row>
        <row r="123">
          <cell r="A123" t="str">
            <v>TOTAL</v>
          </cell>
          <cell r="I123">
            <v>0.84231455515010045</v>
          </cell>
          <cell r="J123">
            <v>0.83689583526671951</v>
          </cell>
          <cell r="K123">
            <v>551.86220831076525</v>
          </cell>
          <cell r="L123">
            <v>660.83730680358292</v>
          </cell>
          <cell r="M123">
            <v>464.8415704974343</v>
          </cell>
          <cell r="N123">
            <v>555.43539698615996</v>
          </cell>
        </row>
        <row r="125">
          <cell r="A125" t="str">
            <v>RESUMO GERAL:</v>
          </cell>
          <cell r="B125" t="str">
            <v>kW</v>
          </cell>
          <cell r="C125" t="str">
            <v>kVA</v>
          </cell>
        </row>
        <row r="126">
          <cell r="A126" t="str">
            <v>DEMANDAS</v>
          </cell>
          <cell r="B126">
            <v>464.8415704974343</v>
          </cell>
          <cell r="C126">
            <v>555.43539698615996</v>
          </cell>
        </row>
        <row r="127">
          <cell r="A127" t="str">
            <v>RESERVA     (%)</v>
          </cell>
          <cell r="B127">
            <v>0.2</v>
          </cell>
        </row>
        <row r="128">
          <cell r="A128" t="str">
            <v>FATOR DE SIMULTANEIDADE</v>
          </cell>
          <cell r="B128">
            <v>1</v>
          </cell>
        </row>
        <row r="130">
          <cell r="A130" t="str">
            <v xml:space="preserve">DEMANDA FINAL </v>
          </cell>
          <cell r="B130">
            <v>557.80988459692117</v>
          </cell>
          <cell r="C130">
            <v>666.5224763833919</v>
          </cell>
        </row>
        <row r="131">
          <cell r="J131" t="str">
            <v>CORRENTE DE PARTIDA (PIOR CASO)</v>
          </cell>
        </row>
        <row r="132">
          <cell r="A132" t="str">
            <v>TENSÃO (V)</v>
          </cell>
          <cell r="B132">
            <v>380</v>
          </cell>
          <cell r="C132" t="str">
            <v>V</v>
          </cell>
          <cell r="J132">
            <v>1223.676134633914</v>
          </cell>
          <cell r="K132" t="str">
            <v>A</v>
          </cell>
        </row>
        <row r="133">
          <cell r="A133" t="str">
            <v>CORRENTE (A)</v>
          </cell>
          <cell r="B133">
            <v>1012.676134633914</v>
          </cell>
          <cell r="C133" t="str">
            <v>A</v>
          </cell>
        </row>
        <row r="134">
          <cell r="A134" t="str">
            <v>DISJUNTOR GERAL</v>
          </cell>
          <cell r="B134">
            <v>1250</v>
          </cell>
          <cell r="C134" t="str">
            <v>A</v>
          </cell>
          <cell r="I134" t="str">
            <v>Ip/In</v>
          </cell>
          <cell r="J134">
            <v>0.97894090770713116</v>
          </cell>
          <cell r="K134" t="str">
            <v>A</v>
          </cell>
        </row>
        <row r="136">
          <cell r="A136" t="str">
            <v>TRANSFORMADOR DE 750KVA</v>
          </cell>
        </row>
        <row r="139">
          <cell r="A139" t="str">
            <v>TRANSFORMADOR 2.1 – PBT-2.1 EM EMERGÊNCIA</v>
          </cell>
        </row>
        <row r="141">
          <cell r="A141" t="str">
            <v>FINALIDADE</v>
          </cell>
          <cell r="B141" t="str">
            <v>POT. UNIT. (kW)</v>
          </cell>
          <cell r="C141" t="str">
            <v>POT. UNIT. (CV)</v>
          </cell>
          <cell r="D141" t="str">
            <v>T I P O</v>
          </cell>
          <cell r="E141" t="str">
            <v>POT-M (KW)</v>
          </cell>
          <cell r="F141" t="str">
            <v>FP- M</v>
          </cell>
          <cell r="G141" t="str">
            <v>QTDE.</v>
          </cell>
          <cell r="H141" t="str">
            <v>PÓLOS</v>
          </cell>
          <cell r="I141" t="str">
            <v>F.D.</v>
          </cell>
          <cell r="J141" t="str">
            <v>F.P.</v>
          </cell>
          <cell r="K141" t="str">
            <v>POT. INSTALADA (kW)</v>
          </cell>
          <cell r="L141" t="str">
            <v>POT. INSTALADA (kVA)</v>
          </cell>
          <cell r="M141" t="str">
            <v>POT. DEMANDADA (kW)</v>
          </cell>
          <cell r="N141" t="str">
            <v>POT. DEMANDADA (kVA)</v>
          </cell>
        </row>
        <row r="142">
          <cell r="A142" t="str">
            <v>ILUMINAÇÃO HELIPONTO</v>
          </cell>
          <cell r="B142">
            <v>10</v>
          </cell>
          <cell r="E142" t="e">
            <v>#N/A</v>
          </cell>
          <cell r="F142" t="e">
            <v>#N/A</v>
          </cell>
          <cell r="G142">
            <v>1</v>
          </cell>
          <cell r="I142">
            <v>1</v>
          </cell>
          <cell r="J142">
            <v>0.9</v>
          </cell>
          <cell r="K142">
            <v>10</v>
          </cell>
          <cell r="L142">
            <v>11.111111111111111</v>
          </cell>
          <cell r="M142">
            <v>10</v>
          </cell>
          <cell r="N142">
            <v>11.111111111111111</v>
          </cell>
        </row>
        <row r="143">
          <cell r="A143" t="str">
            <v>ELEVADORE HELIPONTO</v>
          </cell>
          <cell r="B143">
            <v>12</v>
          </cell>
          <cell r="E143" t="e">
            <v>#N/A</v>
          </cell>
          <cell r="F143" t="e">
            <v>#N/A</v>
          </cell>
          <cell r="G143">
            <v>2</v>
          </cell>
          <cell r="I143">
            <v>1</v>
          </cell>
          <cell r="J143">
            <v>0.9</v>
          </cell>
          <cell r="K143">
            <v>24</v>
          </cell>
          <cell r="L143">
            <v>26.666666666666664</v>
          </cell>
          <cell r="M143">
            <v>24</v>
          </cell>
          <cell r="N143">
            <v>26.666666666666664</v>
          </cell>
        </row>
        <row r="144">
          <cell r="A144" t="str">
            <v>ILUMINAÇÃO E COMANDO ELEVADORE HELIPONTO</v>
          </cell>
          <cell r="B144">
            <v>1.3</v>
          </cell>
          <cell r="E144" t="e">
            <v>#N/A</v>
          </cell>
          <cell r="F144" t="e">
            <v>#N/A</v>
          </cell>
          <cell r="G144">
            <v>1</v>
          </cell>
          <cell r="I144">
            <v>1</v>
          </cell>
          <cell r="J144">
            <v>0.8</v>
          </cell>
          <cell r="K144">
            <v>1.3</v>
          </cell>
          <cell r="L144">
            <v>1.625</v>
          </cell>
          <cell r="M144">
            <v>1.3</v>
          </cell>
          <cell r="N144">
            <v>1.625</v>
          </cell>
        </row>
        <row r="145">
          <cell r="A145" t="str">
            <v>ELEVADORES ZONA ALTA</v>
          </cell>
          <cell r="B145">
            <v>70</v>
          </cell>
          <cell r="E145" t="e">
            <v>#N/A</v>
          </cell>
          <cell r="F145" t="e">
            <v>#N/A</v>
          </cell>
          <cell r="G145">
            <v>8</v>
          </cell>
          <cell r="I145">
            <v>0.13</v>
          </cell>
          <cell r="J145">
            <v>0.8</v>
          </cell>
          <cell r="K145">
            <v>560</v>
          </cell>
          <cell r="L145">
            <v>700</v>
          </cell>
          <cell r="M145">
            <v>72.8</v>
          </cell>
          <cell r="N145">
            <v>91</v>
          </cell>
        </row>
        <row r="146">
          <cell r="A146" t="str">
            <v>ILUMINAÇÃO E COMANDO ELEVADORES ZONA ALTA</v>
          </cell>
          <cell r="B146">
            <v>3</v>
          </cell>
          <cell r="E146" t="e">
            <v>#N/A</v>
          </cell>
          <cell r="F146" t="e">
            <v>#N/A</v>
          </cell>
          <cell r="G146">
            <v>1</v>
          </cell>
          <cell r="I146">
            <v>0.13</v>
          </cell>
          <cell r="J146">
            <v>0.8</v>
          </cell>
          <cell r="K146">
            <v>3</v>
          </cell>
          <cell r="L146">
            <v>3.75</v>
          </cell>
          <cell r="M146">
            <v>0.39</v>
          </cell>
          <cell r="N146">
            <v>0.48750000000000004</v>
          </cell>
        </row>
        <row r="147">
          <cell r="A147" t="str">
            <v>VENTILAÇÃO</v>
          </cell>
          <cell r="B147">
            <v>83.25</v>
          </cell>
          <cell r="G147">
            <v>1</v>
          </cell>
          <cell r="I147">
            <v>0</v>
          </cell>
          <cell r="J147">
            <v>0.8</v>
          </cell>
          <cell r="K147">
            <v>83.25</v>
          </cell>
          <cell r="L147">
            <v>104.0625</v>
          </cell>
          <cell r="M147">
            <v>0</v>
          </cell>
          <cell r="N147">
            <v>0</v>
          </cell>
        </row>
        <row r="148">
          <cell r="A148" t="str">
            <v>BOMBAS DA CENTRAL DE ÁGUA GELADA</v>
          </cell>
          <cell r="B148">
            <v>535</v>
          </cell>
          <cell r="G148">
            <v>1</v>
          </cell>
          <cell r="I148">
            <v>0</v>
          </cell>
          <cell r="J148">
            <v>1.8</v>
          </cell>
          <cell r="K148">
            <v>535</v>
          </cell>
          <cell r="L148">
            <v>297.22222222222223</v>
          </cell>
          <cell r="M148">
            <v>0</v>
          </cell>
          <cell r="N148">
            <v>0</v>
          </cell>
        </row>
        <row r="153">
          <cell r="A153" t="str">
            <v>TOTAL</v>
          </cell>
          <cell r="I153">
            <v>8.9178414368501088E-2</v>
          </cell>
          <cell r="J153">
            <v>0.82886217251514727</v>
          </cell>
          <cell r="K153">
            <v>1216.55</v>
          </cell>
          <cell r="L153">
            <v>1144.4375</v>
          </cell>
          <cell r="M153">
            <v>108.49</v>
          </cell>
          <cell r="N153">
            <v>130.89027777777778</v>
          </cell>
        </row>
        <row r="155">
          <cell r="A155" t="str">
            <v>RESUMO GERAL:</v>
          </cell>
          <cell r="B155" t="str">
            <v>kW</v>
          </cell>
          <cell r="C155" t="str">
            <v>kVA</v>
          </cell>
        </row>
        <row r="156">
          <cell r="A156" t="str">
            <v>DEMANDAS</v>
          </cell>
          <cell r="B156">
            <v>108.49</v>
          </cell>
          <cell r="C156">
            <v>130.89027777777778</v>
          </cell>
        </row>
        <row r="157">
          <cell r="A157" t="str">
            <v>RESERVA     (%)</v>
          </cell>
          <cell r="B157">
            <v>0.2</v>
          </cell>
        </row>
        <row r="158">
          <cell r="A158" t="str">
            <v>FATOR DE SIMULTANEIDADE</v>
          </cell>
          <cell r="B158">
            <v>1</v>
          </cell>
        </row>
        <row r="160">
          <cell r="A160" t="str">
            <v xml:space="preserve">DEMANDA FINAL </v>
          </cell>
          <cell r="B160">
            <v>130.18799999999999</v>
          </cell>
          <cell r="C160">
            <v>157.06833333333333</v>
          </cell>
        </row>
        <row r="162">
          <cell r="A162" t="str">
            <v>TENSÃO (V)</v>
          </cell>
          <cell r="B162">
            <v>380</v>
          </cell>
          <cell r="C162" t="str">
            <v>V</v>
          </cell>
        </row>
        <row r="163">
          <cell r="A163" t="str">
            <v>CORRENTE (A)</v>
          </cell>
          <cell r="B163">
            <v>238.64064350306808</v>
          </cell>
          <cell r="C163" t="str">
            <v>A</v>
          </cell>
        </row>
        <row r="164">
          <cell r="A164" t="str">
            <v>DISJUNTOR GERAL</v>
          </cell>
          <cell r="B164">
            <v>2500</v>
          </cell>
          <cell r="C164" t="str">
            <v>A</v>
          </cell>
        </row>
        <row r="166">
          <cell r="A166" t="str">
            <v>TRANSFORMADOR DE 1500KVA</v>
          </cell>
        </row>
        <row r="170">
          <cell r="A170" t="str">
            <v>TRANSFORMADOR 2.2 – PBT-2.2 EM EMERGÊNCIA</v>
          </cell>
        </row>
        <row r="172">
          <cell r="A172" t="str">
            <v>FINALIDADE</v>
          </cell>
          <cell r="B172" t="str">
            <v>POT. UNIT. (kW)</v>
          </cell>
          <cell r="C172" t="str">
            <v>POT. UNIT. (CV)</v>
          </cell>
          <cell r="D172" t="str">
            <v>T I P O</v>
          </cell>
          <cell r="E172" t="str">
            <v>POT-M (KW)</v>
          </cell>
          <cell r="F172" t="str">
            <v>FP- M</v>
          </cell>
          <cell r="G172" t="str">
            <v>QTDE.</v>
          </cell>
          <cell r="H172" t="str">
            <v>PÓLOS</v>
          </cell>
          <cell r="I172" t="str">
            <v>F.D.</v>
          </cell>
          <cell r="J172" t="str">
            <v>F.P.</v>
          </cell>
          <cell r="K172" t="str">
            <v>POT. INSTALADA (kW)</v>
          </cell>
          <cell r="L172" t="str">
            <v>POT. INSTALADA (kVA)</v>
          </cell>
          <cell r="M172" t="str">
            <v>POT. DEMANDADA (kW)</v>
          </cell>
          <cell r="N172" t="str">
            <v>POT. DEMANDADA (kVA)</v>
          </cell>
        </row>
        <row r="173">
          <cell r="A173" t="str">
            <v>BARRAMENTO BLINDADO BB2.1/2.3 ESCRITÓRIOS</v>
          </cell>
          <cell r="B173">
            <v>96.05</v>
          </cell>
          <cell r="E173" t="e">
            <v>#N/A</v>
          </cell>
          <cell r="F173" t="e">
            <v>#N/A</v>
          </cell>
          <cell r="G173">
            <v>1</v>
          </cell>
          <cell r="I173">
            <v>1</v>
          </cell>
          <cell r="J173">
            <v>0.98</v>
          </cell>
          <cell r="K173">
            <v>96.05</v>
          </cell>
          <cell r="L173">
            <v>98.010204081632651</v>
          </cell>
          <cell r="M173">
            <v>96.05</v>
          </cell>
          <cell r="N173">
            <v>98.010204081632651</v>
          </cell>
        </row>
        <row r="174">
          <cell r="A174" t="str">
            <v>BARRAMENTO BLINDADO 2.2/2.4 FANCOIL ESCRITÓRIOS</v>
          </cell>
          <cell r="B174">
            <v>8.5227272727272734</v>
          </cell>
          <cell r="C174">
            <v>10</v>
          </cell>
          <cell r="D174" t="str">
            <v>C</v>
          </cell>
          <cell r="E174">
            <v>8.5227272727272734</v>
          </cell>
          <cell r="F174">
            <v>0.77</v>
          </cell>
          <cell r="G174">
            <v>34</v>
          </cell>
          <cell r="I174">
            <v>0</v>
          </cell>
          <cell r="J174">
            <v>0.77</v>
          </cell>
          <cell r="K174">
            <v>289.77272727272731</v>
          </cell>
          <cell r="L174">
            <v>376.32821723730819</v>
          </cell>
          <cell r="M174">
            <v>0</v>
          </cell>
          <cell r="N174">
            <v>0</v>
          </cell>
        </row>
        <row r="175">
          <cell r="A175" t="str">
            <v>TOTAL</v>
          </cell>
          <cell r="I175">
            <v>0.24894852793911473</v>
          </cell>
          <cell r="J175">
            <v>0.98</v>
          </cell>
          <cell r="K175">
            <v>385.82272727272732</v>
          </cell>
          <cell r="L175">
            <v>474.33842131894085</v>
          </cell>
          <cell r="M175">
            <v>96.05</v>
          </cell>
          <cell r="N175">
            <v>98.010204081632651</v>
          </cell>
        </row>
        <row r="178">
          <cell r="A178" t="str">
            <v>RESUMO GERAL:</v>
          </cell>
          <cell r="B178" t="str">
            <v>kW</v>
          </cell>
          <cell r="C178" t="str">
            <v>kVA</v>
          </cell>
        </row>
        <row r="179">
          <cell r="A179" t="str">
            <v>DEMANDAS</v>
          </cell>
          <cell r="B179">
            <v>96.05</v>
          </cell>
          <cell r="C179">
            <v>98.010204081632651</v>
          </cell>
        </row>
        <row r="180">
          <cell r="A180" t="str">
            <v>RESERVA     (%)</v>
          </cell>
          <cell r="B180">
            <v>0.2</v>
          </cell>
        </row>
        <row r="181">
          <cell r="A181" t="str">
            <v>FATOR DE SIMULTANEIDADE</v>
          </cell>
          <cell r="B181">
            <v>1</v>
          </cell>
        </row>
        <row r="183">
          <cell r="A183" t="str">
            <v xml:space="preserve">DEMANDA FINAL </v>
          </cell>
          <cell r="B183">
            <v>115.25999999999999</v>
          </cell>
          <cell r="C183">
            <v>117.61224489795917</v>
          </cell>
        </row>
        <row r="185">
          <cell r="A185" t="str">
            <v>TENSÃO (V)</v>
          </cell>
          <cell r="B185">
            <v>380</v>
          </cell>
          <cell r="C185" t="str">
            <v>V</v>
          </cell>
        </row>
        <row r="186">
          <cell r="A186" t="str">
            <v>CORRENTE (A)</v>
          </cell>
          <cell r="B186">
            <v>178.69331908377086</v>
          </cell>
          <cell r="C186" t="str">
            <v>A</v>
          </cell>
        </row>
        <row r="187">
          <cell r="A187" t="str">
            <v>DISJUNTOR GERAL</v>
          </cell>
          <cell r="B187">
            <v>2500</v>
          </cell>
          <cell r="C187" t="str">
            <v>A</v>
          </cell>
        </row>
        <row r="189">
          <cell r="A189" t="str">
            <v>TRANSFORMADOR DE 1500KVA</v>
          </cell>
        </row>
        <row r="192">
          <cell r="A192" t="str">
            <v>TRANSFORMADOR 2.3 – PBT-2.3</v>
          </cell>
        </row>
        <row r="194">
          <cell r="A194" t="str">
            <v>FINALIDADE</v>
          </cell>
          <cell r="B194" t="str">
            <v>POT. UNIT. (kW)</v>
          </cell>
          <cell r="C194" t="str">
            <v>POT. UNIT. (CV)</v>
          </cell>
          <cell r="D194" t="str">
            <v>T I P O</v>
          </cell>
          <cell r="E194" t="str">
            <v>POT-M (KW)</v>
          </cell>
          <cell r="F194" t="str">
            <v>FP- M</v>
          </cell>
          <cell r="G194" t="str">
            <v>QTDE.</v>
          </cell>
          <cell r="H194" t="str">
            <v>PÓLOS</v>
          </cell>
          <cell r="I194" t="str">
            <v>F.D.</v>
          </cell>
          <cell r="J194" t="str">
            <v>F.P.</v>
          </cell>
          <cell r="K194" t="str">
            <v>POT. INSTALADA (kW)</v>
          </cell>
          <cell r="L194" t="str">
            <v>POT. INSTALADA (kVA)</v>
          </cell>
          <cell r="M194" t="str">
            <v>POT. DEMANDADA (kW)</v>
          </cell>
          <cell r="N194" t="str">
            <v>POT. DEMANDADA (kVA)</v>
          </cell>
        </row>
        <row r="195">
          <cell r="A195" t="str">
            <v>CHILER</v>
          </cell>
          <cell r="B195">
            <v>500</v>
          </cell>
          <cell r="E195" t="e">
            <v>#N/A</v>
          </cell>
          <cell r="F195" t="e">
            <v>#N/A</v>
          </cell>
          <cell r="G195">
            <v>2</v>
          </cell>
          <cell r="I195">
            <v>9.9999999999999995E-7</v>
          </cell>
          <cell r="J195">
            <v>0.9</v>
          </cell>
          <cell r="K195">
            <v>1000</v>
          </cell>
          <cell r="L195">
            <v>1111.1111111111111</v>
          </cell>
          <cell r="M195">
            <v>1E-3</v>
          </cell>
          <cell r="N195">
            <v>1.1111111111111111E-3</v>
          </cell>
        </row>
        <row r="196">
          <cell r="A196" t="str">
            <v>CHILER</v>
          </cell>
          <cell r="B196">
            <v>310</v>
          </cell>
          <cell r="E196" t="e">
            <v>#N/A</v>
          </cell>
          <cell r="F196" t="e">
            <v>#N/A</v>
          </cell>
          <cell r="G196">
            <v>1</v>
          </cell>
          <cell r="I196">
            <v>9.9999999999999995E-7</v>
          </cell>
          <cell r="J196">
            <v>0.9</v>
          </cell>
          <cell r="K196">
            <v>310</v>
          </cell>
          <cell r="L196">
            <v>344.44444444444446</v>
          </cell>
          <cell r="M196">
            <v>3.1E-4</v>
          </cell>
          <cell r="N196">
            <v>3.4444444444444442E-4</v>
          </cell>
        </row>
        <row r="197">
          <cell r="A197" t="str">
            <v>TOTAL</v>
          </cell>
          <cell r="I197">
            <v>9.9999999999999995E-7</v>
          </cell>
          <cell r="J197">
            <v>0.9</v>
          </cell>
          <cell r="K197">
            <v>1310</v>
          </cell>
          <cell r="L197">
            <v>1455.5555555555557</v>
          </cell>
          <cell r="M197">
            <v>1.31E-3</v>
          </cell>
          <cell r="N197">
            <v>1.4555555555555554E-3</v>
          </cell>
        </row>
        <row r="200">
          <cell r="A200" t="str">
            <v>RESUMO GERAL:</v>
          </cell>
          <cell r="B200" t="str">
            <v>kW</v>
          </cell>
          <cell r="C200" t="str">
            <v>kVA</v>
          </cell>
        </row>
        <row r="201">
          <cell r="A201" t="str">
            <v>DEMANDAS</v>
          </cell>
          <cell r="B201">
            <v>1.31E-3</v>
          </cell>
          <cell r="C201">
            <v>1.4555555555555554E-3</v>
          </cell>
        </row>
        <row r="202">
          <cell r="A202" t="str">
            <v>RESERVA     (%)</v>
          </cell>
          <cell r="B202">
            <v>0.2</v>
          </cell>
        </row>
        <row r="203">
          <cell r="A203" t="str">
            <v>FATOR DE SIMULTANEIDADE</v>
          </cell>
          <cell r="B203">
            <v>1</v>
          </cell>
        </row>
        <row r="205">
          <cell r="A205" t="str">
            <v xml:space="preserve">DEMANDA FINAL </v>
          </cell>
          <cell r="B205">
            <v>1.5719999999999998E-3</v>
          </cell>
          <cell r="C205">
            <v>1.7466666666666665E-3</v>
          </cell>
        </row>
        <row r="207">
          <cell r="A207" t="str">
            <v>TENSÃO (V)</v>
          </cell>
          <cell r="B207">
            <v>380</v>
          </cell>
          <cell r="C207" t="str">
            <v>V</v>
          </cell>
        </row>
        <row r="208">
          <cell r="A208" t="str">
            <v>CORRENTE (A)</v>
          </cell>
          <cell r="B208">
            <v>2.6537854478540695E-3</v>
          </cell>
          <cell r="C208" t="str">
            <v>A</v>
          </cell>
        </row>
        <row r="209">
          <cell r="A209" t="str">
            <v>DISJUNTOR GERAL</v>
          </cell>
          <cell r="B209">
            <v>2500</v>
          </cell>
          <cell r="C209" t="str">
            <v>A</v>
          </cell>
        </row>
        <row r="211">
          <cell r="A211" t="str">
            <v>TRANSFORMADOR DE 1500KVA</v>
          </cell>
        </row>
        <row r="215">
          <cell r="A215" t="str">
            <v>DEMANDA TOTAL DO GERADOR EM EMERGÊNCIA – 1º FASE</v>
          </cell>
        </row>
        <row r="217">
          <cell r="A217" t="str">
            <v>FINALIDADE</v>
          </cell>
          <cell r="B217" t="str">
            <v>POT. UNIT. (kW)</v>
          </cell>
          <cell r="C217" t="str">
            <v>POT. UNIT. (CV)</v>
          </cell>
          <cell r="D217" t="str">
            <v>T I P O</v>
          </cell>
          <cell r="E217" t="str">
            <v>POT-M (KW)</v>
          </cell>
          <cell r="F217" t="str">
            <v>FP- M</v>
          </cell>
          <cell r="G217" t="str">
            <v>QTDE.</v>
          </cell>
          <cell r="H217" t="str">
            <v>PÓLOS</v>
          </cell>
          <cell r="I217" t="str">
            <v>F.D.</v>
          </cell>
          <cell r="J217" t="str">
            <v>F.P.</v>
          </cell>
          <cell r="K217" t="str">
            <v>POT. INSTALADA (kW)</v>
          </cell>
          <cell r="L217" t="str">
            <v>POT. INSTALADA (kVA)</v>
          </cell>
          <cell r="M217" t="str">
            <v>POT. DEMANDADA (kW)</v>
          </cell>
          <cell r="N217" t="str">
            <v>POT. DEMANDADA (kVA)</v>
          </cell>
        </row>
        <row r="218">
          <cell r="A218" t="str">
            <v>TRANSFORMADOR 1.1  PBT-1.1</v>
          </cell>
          <cell r="B218">
            <v>324.10509426511931</v>
          </cell>
          <cell r="E218" t="e">
            <v>#N/A</v>
          </cell>
          <cell r="F218" t="e">
            <v>#N/A</v>
          </cell>
          <cell r="G218">
            <v>1</v>
          </cell>
          <cell r="I218">
            <v>0.79896043489677604</v>
          </cell>
          <cell r="J218">
            <v>0.85752015197356957</v>
          </cell>
          <cell r="K218">
            <v>324.10509426511931</v>
          </cell>
          <cell r="L218">
            <v>377.95624221681129</v>
          </cell>
          <cell r="M218">
            <v>258.94714706632033</v>
          </cell>
          <cell r="N218">
            <v>301.97208365349479</v>
          </cell>
        </row>
        <row r="219">
          <cell r="A219" t="str">
            <v>TRANSFORMADOR 1.2  PBT-1.2</v>
          </cell>
          <cell r="B219">
            <v>1391.0193808785871</v>
          </cell>
          <cell r="E219" t="e">
            <v>#N/A</v>
          </cell>
          <cell r="F219" t="e">
            <v>#N/A</v>
          </cell>
          <cell r="G219">
            <v>1</v>
          </cell>
          <cell r="I219">
            <v>5.8131468987100983E-2</v>
          </cell>
          <cell r="J219">
            <v>0.79999999999999993</v>
          </cell>
          <cell r="K219">
            <v>1391.0193808785871</v>
          </cell>
          <cell r="L219">
            <v>1738.7742260982341</v>
          </cell>
          <cell r="M219">
            <v>80.861999999999995</v>
          </cell>
          <cell r="N219">
            <v>101.0775</v>
          </cell>
        </row>
        <row r="220">
          <cell r="A220" t="str">
            <v>TRANSFORMADOR 2.1  PBT-2.1</v>
          </cell>
          <cell r="B220">
            <v>1216.55</v>
          </cell>
          <cell r="E220" t="e">
            <v>#N/A</v>
          </cell>
          <cell r="F220" t="e">
            <v>#N/A</v>
          </cell>
          <cell r="G220">
            <v>1</v>
          </cell>
          <cell r="I220">
            <v>8.9178414368501088E-2</v>
          </cell>
          <cell r="J220">
            <v>0.82886217251514727</v>
          </cell>
          <cell r="K220">
            <v>1216.55</v>
          </cell>
          <cell r="L220">
            <v>1467.7349749336856</v>
          </cell>
          <cell r="M220">
            <v>108.49</v>
          </cell>
          <cell r="N220">
            <v>130.89027777777778</v>
          </cell>
        </row>
        <row r="221">
          <cell r="A221" t="str">
            <v>TRANSFORMADOR 2.2  PBT-2.2</v>
          </cell>
          <cell r="B221">
            <v>385.82272727272732</v>
          </cell>
          <cell r="E221" t="e">
            <v>#N/A</v>
          </cell>
          <cell r="F221" t="e">
            <v>#N/A</v>
          </cell>
          <cell r="G221">
            <v>1</v>
          </cell>
          <cell r="I221">
            <v>0.24894852793911473</v>
          </cell>
          <cell r="J221">
            <v>0.98</v>
          </cell>
          <cell r="K221">
            <v>385.82272727272732</v>
          </cell>
          <cell r="L221">
            <v>393.6966604823748</v>
          </cell>
          <cell r="M221">
            <v>96.05</v>
          </cell>
          <cell r="N221">
            <v>98.010204081632651</v>
          </cell>
        </row>
        <row r="222">
          <cell r="A222" t="str">
            <v>TRANSFORMADOR 2.3  PBT-2.3</v>
          </cell>
          <cell r="B222">
            <v>1310</v>
          </cell>
          <cell r="E222" t="e">
            <v>#N/A</v>
          </cell>
          <cell r="F222" t="e">
            <v>#N/A</v>
          </cell>
          <cell r="G222">
            <v>1</v>
          </cell>
          <cell r="I222">
            <v>9.9999999999999995E-7</v>
          </cell>
          <cell r="J222">
            <v>0.9</v>
          </cell>
          <cell r="K222">
            <v>1310</v>
          </cell>
          <cell r="L222">
            <v>1455.5555555555554</v>
          </cell>
          <cell r="M222">
            <v>1.31E-3</v>
          </cell>
          <cell r="N222">
            <v>1.4555555555555554E-3</v>
          </cell>
        </row>
        <row r="223">
          <cell r="A223" t="str">
            <v>TRANSFORMADOR CM1.1 PBT-SEG</v>
          </cell>
          <cell r="B223">
            <v>551.86220831076525</v>
          </cell>
          <cell r="E223" t="e">
            <v>#N/A</v>
          </cell>
          <cell r="F223" t="e">
            <v>#N/A</v>
          </cell>
          <cell r="G223">
            <v>1</v>
          </cell>
          <cell r="I223">
            <v>0.84231455515010045</v>
          </cell>
          <cell r="J223">
            <v>0.83689583526671951</v>
          </cell>
          <cell r="K223">
            <v>551.86220831076525</v>
          </cell>
          <cell r="L223">
            <v>659.41564655401373</v>
          </cell>
          <cell r="M223">
            <v>464.8415704974343</v>
          </cell>
          <cell r="N223">
            <v>555.43539698615996</v>
          </cell>
        </row>
        <row r="224">
          <cell r="A224" t="str">
            <v>TOTAL</v>
          </cell>
          <cell r="I224">
            <v>0.19484881189623038</v>
          </cell>
          <cell r="J224">
            <v>0.84992685384910982</v>
          </cell>
          <cell r="K224">
            <v>5179.3594107271983</v>
          </cell>
          <cell r="L224">
            <v>6093.1333058406753</v>
          </cell>
          <cell r="M224">
            <v>1009.1920275637546</v>
          </cell>
          <cell r="N224">
            <v>1187.3869180546208</v>
          </cell>
        </row>
        <row r="227">
          <cell r="A227" t="str">
            <v>RESUMO GERAL:</v>
          </cell>
          <cell r="B227" t="str">
            <v>kW</v>
          </cell>
          <cell r="C227" t="str">
            <v>kVA</v>
          </cell>
        </row>
        <row r="228">
          <cell r="A228" t="str">
            <v>DEMANDAS</v>
          </cell>
          <cell r="B228">
            <v>1009.1920275637546</v>
          </cell>
          <cell r="C228">
            <v>1187.3869180546208</v>
          </cell>
        </row>
        <row r="229">
          <cell r="A229" t="str">
            <v>RESERVA     (%)</v>
          </cell>
          <cell r="B229">
            <v>0.2</v>
          </cell>
        </row>
        <row r="230">
          <cell r="A230" t="str">
            <v>FATOR DE SIMULTANEIDADE</v>
          </cell>
          <cell r="B230">
            <v>1</v>
          </cell>
        </row>
        <row r="232">
          <cell r="A232" t="str">
            <v xml:space="preserve">DEMANDA FINAL </v>
          </cell>
          <cell r="B232">
            <v>1211.0304330765055</v>
          </cell>
          <cell r="C232">
            <v>1424.8643016655449</v>
          </cell>
        </row>
        <row r="234">
          <cell r="A234" t="str">
            <v>TENSÃO (V)</v>
          </cell>
          <cell r="B234">
            <v>380</v>
          </cell>
          <cell r="C234" t="str">
            <v>V</v>
          </cell>
        </row>
        <row r="235">
          <cell r="A235" t="str">
            <v>CORRENTE (A)</v>
          </cell>
          <cell r="B235">
            <v>2164.8573371718176</v>
          </cell>
          <cell r="C235" t="str">
            <v>A</v>
          </cell>
        </row>
        <row r="236">
          <cell r="A236" t="str">
            <v>DISJUNTOR GERAL</v>
          </cell>
          <cell r="B236">
            <v>1250</v>
          </cell>
          <cell r="C236" t="str">
            <v>A</v>
          </cell>
        </row>
        <row r="238">
          <cell r="A238" t="str">
            <v>ADOTADO GERADOR DE 1165/1040KVA</v>
          </cell>
        </row>
        <row r="243">
          <cell r="A243" t="str">
            <v>TABELA DE EMERGÊNICA GERAL – 1º FASE</v>
          </cell>
        </row>
        <row r="245">
          <cell r="A245" t="str">
            <v>FINALIDADE</v>
          </cell>
          <cell r="B245" t="str">
            <v>POT. UNIT. (kW)</v>
          </cell>
          <cell r="C245" t="str">
            <v>POT. UNIT. (CV)</v>
          </cell>
          <cell r="D245" t="str">
            <v>T I P O</v>
          </cell>
          <cell r="E245" t="str">
            <v>POT-M (KW)</v>
          </cell>
          <cell r="F245" t="str">
            <v>FP- M</v>
          </cell>
          <cell r="G245" t="str">
            <v>QTDE.</v>
          </cell>
          <cell r="H245" t="str">
            <v>PÓLOS</v>
          </cell>
          <cell r="I245" t="str">
            <v>F.D.</v>
          </cell>
          <cell r="J245" t="str">
            <v>F.P.</v>
          </cell>
          <cell r="K245" t="str">
            <v>POT. INSTALADA (kW)</v>
          </cell>
          <cell r="L245" t="str">
            <v>POT. INSTALADA (kVA)</v>
          </cell>
          <cell r="M245" t="str">
            <v>POT. DEMANDADA (kW)</v>
          </cell>
          <cell r="N245" t="str">
            <v>POT. DEMANDADA (kVA)</v>
          </cell>
        </row>
        <row r="246">
          <cell r="A246" t="str">
            <v>BARRAMENTO BLINDADO BB1.1/1.3 – ILUMINAÇÃO HALL</v>
          </cell>
          <cell r="B246">
            <v>123.78</v>
          </cell>
          <cell r="E246" t="e">
            <v>#N/A</v>
          </cell>
          <cell r="F246" t="e">
            <v>#N/A</v>
          </cell>
          <cell r="G246">
            <v>1</v>
          </cell>
          <cell r="I246">
            <v>0.72387274236801691</v>
          </cell>
          <cell r="J246">
            <v>0.98</v>
          </cell>
          <cell r="K246">
            <v>123.78</v>
          </cell>
          <cell r="L246">
            <v>126.30612244897959</v>
          </cell>
          <cell r="M246">
            <v>89.600968050313128</v>
          </cell>
          <cell r="N246">
            <v>91.4295592350134</v>
          </cell>
        </row>
        <row r="247">
          <cell r="A247" t="str">
            <v>QD-B1-3S</v>
          </cell>
          <cell r="B247">
            <v>140.32509426511928</v>
          </cell>
          <cell r="E247" t="e">
            <v>#N/A</v>
          </cell>
          <cell r="F247" t="e">
            <v>#N/A</v>
          </cell>
          <cell r="G247">
            <v>1</v>
          </cell>
          <cell r="I247">
            <v>1</v>
          </cell>
          <cell r="J247">
            <v>0.77296462798671983</v>
          </cell>
          <cell r="K247">
            <v>140.32509426511928</v>
          </cell>
          <cell r="L247">
            <v>181.54141752982022</v>
          </cell>
          <cell r="M247">
            <v>140.32509426511928</v>
          </cell>
          <cell r="N247">
            <v>181.54141752982022</v>
          </cell>
        </row>
        <row r="248">
          <cell r="A248" t="str">
            <v>NO BREAK</v>
          </cell>
          <cell r="B248">
            <v>30</v>
          </cell>
          <cell r="G248">
            <v>2</v>
          </cell>
          <cell r="I248">
            <v>0.5</v>
          </cell>
          <cell r="J248">
            <v>1</v>
          </cell>
          <cell r="K248">
            <v>60</v>
          </cell>
          <cell r="L248">
            <v>60</v>
          </cell>
          <cell r="M248">
            <v>30</v>
          </cell>
          <cell r="N248">
            <v>30</v>
          </cell>
        </row>
        <row r="249">
          <cell r="A249" t="str">
            <v>ILUMINAÇÃO E COMANDO ELEVADORES SUBSOLO</v>
          </cell>
          <cell r="B249">
            <v>1.3</v>
          </cell>
          <cell r="E249" t="e">
            <v>#N/A</v>
          </cell>
          <cell r="F249" t="e">
            <v>#N/A</v>
          </cell>
          <cell r="G249">
            <v>1</v>
          </cell>
          <cell r="I249">
            <v>0.74</v>
          </cell>
          <cell r="J249">
            <v>0.8</v>
          </cell>
          <cell r="K249">
            <v>1.3</v>
          </cell>
          <cell r="L249">
            <v>1.625</v>
          </cell>
          <cell r="M249">
            <v>0.96199999999999997</v>
          </cell>
          <cell r="N249">
            <v>1.2024999999999999</v>
          </cell>
        </row>
        <row r="250">
          <cell r="A250" t="str">
            <v>ELEVADORES GARAGEM</v>
          </cell>
          <cell r="B250">
            <v>20</v>
          </cell>
          <cell r="E250" t="e">
            <v>#N/A</v>
          </cell>
          <cell r="F250" t="e">
            <v>#N/A</v>
          </cell>
          <cell r="G250">
            <v>2</v>
          </cell>
          <cell r="I250">
            <v>0.74</v>
          </cell>
          <cell r="J250">
            <v>0.8</v>
          </cell>
          <cell r="K250">
            <v>40</v>
          </cell>
          <cell r="L250">
            <v>50</v>
          </cell>
          <cell r="M250">
            <v>29.6</v>
          </cell>
          <cell r="N250">
            <v>37</v>
          </cell>
        </row>
        <row r="251">
          <cell r="A251" t="str">
            <v>ELEVADORES ZONA BAIXA</v>
          </cell>
          <cell r="B251">
            <v>50</v>
          </cell>
          <cell r="E251" t="e">
            <v>#N/A</v>
          </cell>
          <cell r="F251" t="e">
            <v>#N/A</v>
          </cell>
          <cell r="G251">
            <v>8</v>
          </cell>
          <cell r="I251">
            <v>0.125</v>
          </cell>
          <cell r="J251">
            <v>0.8</v>
          </cell>
          <cell r="K251">
            <v>400</v>
          </cell>
          <cell r="L251">
            <v>500</v>
          </cell>
          <cell r="M251">
            <v>50</v>
          </cell>
          <cell r="N251">
            <v>62.5</v>
          </cell>
        </row>
        <row r="252">
          <cell r="A252" t="str">
            <v>ILUMINAÇÃO E COMANDO ELEVADORES ZONA BAIXA</v>
          </cell>
          <cell r="B252">
            <v>3</v>
          </cell>
          <cell r="E252" t="e">
            <v>#N/A</v>
          </cell>
          <cell r="F252" t="e">
            <v>#N/A</v>
          </cell>
          <cell r="G252">
            <v>1</v>
          </cell>
          <cell r="I252">
            <v>0.1</v>
          </cell>
          <cell r="J252">
            <v>0.8</v>
          </cell>
          <cell r="K252">
            <v>3</v>
          </cell>
          <cell r="L252">
            <v>3.75</v>
          </cell>
          <cell r="M252">
            <v>0.3</v>
          </cell>
          <cell r="N252">
            <v>0.375</v>
          </cell>
        </row>
        <row r="253">
          <cell r="A253" t="str">
            <v>ELEVADOR DE SEGUANÇA</v>
          </cell>
          <cell r="B253">
            <v>35</v>
          </cell>
          <cell r="E253" t="e">
            <v>#N/A</v>
          </cell>
          <cell r="F253" t="e">
            <v>#N/A</v>
          </cell>
          <cell r="G253">
            <v>1</v>
          </cell>
          <cell r="I253">
            <v>1</v>
          </cell>
          <cell r="J253">
            <v>0.8</v>
          </cell>
          <cell r="K253">
            <v>35</v>
          </cell>
          <cell r="L253">
            <v>43.75</v>
          </cell>
          <cell r="M253">
            <v>35</v>
          </cell>
          <cell r="N253">
            <v>43.75</v>
          </cell>
        </row>
        <row r="254">
          <cell r="A254" t="str">
            <v>ILUMINAÇÃO E COMANDO ELEVADORE DE SEGURANÇA</v>
          </cell>
          <cell r="B254">
            <v>3</v>
          </cell>
          <cell r="E254" t="e">
            <v>#N/A</v>
          </cell>
          <cell r="F254" t="e">
            <v>#N/A</v>
          </cell>
          <cell r="G254">
            <v>1</v>
          </cell>
          <cell r="I254">
            <v>1</v>
          </cell>
          <cell r="J254">
            <v>0.8</v>
          </cell>
          <cell r="K254">
            <v>3</v>
          </cell>
          <cell r="L254">
            <v>3.75</v>
          </cell>
          <cell r="M254">
            <v>3</v>
          </cell>
          <cell r="N254">
            <v>3.75</v>
          </cell>
        </row>
        <row r="255">
          <cell r="A255" t="str">
            <v>PRESSURIZAÇÃO ESCADA 5SS</v>
          </cell>
          <cell r="B255">
            <v>6.3805104408352662</v>
          </cell>
          <cell r="C255">
            <v>7.5</v>
          </cell>
          <cell r="D255" t="str">
            <v>C</v>
          </cell>
          <cell r="E255">
            <v>6.3805104408352662</v>
          </cell>
          <cell r="F255">
            <v>0.8</v>
          </cell>
          <cell r="G255">
            <v>4</v>
          </cell>
          <cell r="I255">
            <v>0.5</v>
          </cell>
          <cell r="J255">
            <v>0.8</v>
          </cell>
          <cell r="K255">
            <v>25.522041763341065</v>
          </cell>
          <cell r="L255">
            <v>31.902552204176331</v>
          </cell>
          <cell r="M255">
            <v>12.761020881670532</v>
          </cell>
          <cell r="N255">
            <v>15.951276102088165</v>
          </cell>
        </row>
        <row r="256">
          <cell r="A256" t="str">
            <v>PRESSURIZAÇÃO ESCADA 3SS</v>
          </cell>
          <cell r="B256">
            <v>8.6705202312138727</v>
          </cell>
          <cell r="C256">
            <v>10</v>
          </cell>
          <cell r="D256" t="str">
            <v>C</v>
          </cell>
          <cell r="E256">
            <v>8.6705202312138727</v>
          </cell>
          <cell r="F256">
            <v>0.85</v>
          </cell>
          <cell r="G256">
            <v>2</v>
          </cell>
          <cell r="I256">
            <v>0.5</v>
          </cell>
          <cell r="J256">
            <v>0.85</v>
          </cell>
          <cell r="K256">
            <v>17.341040462427745</v>
          </cell>
          <cell r="L256">
            <v>20.401224073444407</v>
          </cell>
          <cell r="M256">
            <v>8.6705202312138727</v>
          </cell>
          <cell r="N256">
            <v>10.200612036722204</v>
          </cell>
        </row>
        <row r="257">
          <cell r="A257" t="str">
            <v>PRESSURIZAÇÃO ESCADA 1SS</v>
          </cell>
          <cell r="B257">
            <v>16.930022573363431</v>
          </cell>
          <cell r="C257">
            <v>20</v>
          </cell>
          <cell r="D257" t="str">
            <v>C</v>
          </cell>
          <cell r="E257">
            <v>16.930022573363431</v>
          </cell>
          <cell r="F257">
            <v>0.84</v>
          </cell>
          <cell r="G257">
            <v>5</v>
          </cell>
          <cell r="I257">
            <v>0.8</v>
          </cell>
          <cell r="J257">
            <v>0.84</v>
          </cell>
          <cell r="K257">
            <v>84.650112866817153</v>
          </cell>
          <cell r="L257">
            <v>100.77394388906805</v>
          </cell>
          <cell r="M257">
            <v>67.720090293453723</v>
          </cell>
          <cell r="N257">
            <v>80.619155111254443</v>
          </cell>
        </row>
        <row r="258">
          <cell r="A258" t="str">
            <v>EXAUSTÃO DE FUMAÇA</v>
          </cell>
          <cell r="B258">
            <v>16.930022573363431</v>
          </cell>
          <cell r="C258">
            <v>20</v>
          </cell>
          <cell r="D258" t="str">
            <v>C</v>
          </cell>
          <cell r="E258">
            <v>16.930022573363431</v>
          </cell>
          <cell r="F258">
            <v>0.84</v>
          </cell>
          <cell r="G258">
            <v>2</v>
          </cell>
          <cell r="I258">
            <v>1</v>
          </cell>
          <cell r="J258">
            <v>0.84</v>
          </cell>
          <cell r="K258">
            <v>33.860045146726861</v>
          </cell>
          <cell r="L258">
            <v>40.309577555627214</v>
          </cell>
          <cell r="M258">
            <v>33.860045146726861</v>
          </cell>
          <cell r="N258">
            <v>40.309577555627214</v>
          </cell>
        </row>
        <row r="259">
          <cell r="A259" t="str">
            <v>ELEVADOR DE SEGUANÇA</v>
          </cell>
          <cell r="B259">
            <v>35</v>
          </cell>
          <cell r="E259" t="e">
            <v>#N/A</v>
          </cell>
          <cell r="F259" t="e">
            <v>#N/A</v>
          </cell>
          <cell r="G259">
            <v>1</v>
          </cell>
          <cell r="I259">
            <v>1</v>
          </cell>
          <cell r="J259">
            <v>0.8</v>
          </cell>
          <cell r="K259">
            <v>35</v>
          </cell>
          <cell r="L259">
            <v>43.75</v>
          </cell>
          <cell r="M259">
            <v>35</v>
          </cell>
          <cell r="N259">
            <v>43.75</v>
          </cell>
        </row>
        <row r="260">
          <cell r="A260" t="str">
            <v>ILUMINAÇÃO E COMANDO ELEVADORE DE SEGURANÇA</v>
          </cell>
          <cell r="B260">
            <v>3</v>
          </cell>
          <cell r="E260" t="e">
            <v>#N/A</v>
          </cell>
          <cell r="F260" t="e">
            <v>#N/A</v>
          </cell>
          <cell r="G260">
            <v>1</v>
          </cell>
          <cell r="I260">
            <v>1</v>
          </cell>
          <cell r="J260">
            <v>0.8</v>
          </cell>
          <cell r="K260">
            <v>3</v>
          </cell>
          <cell r="L260">
            <v>3.75</v>
          </cell>
          <cell r="M260">
            <v>3</v>
          </cell>
          <cell r="N260">
            <v>3.75</v>
          </cell>
        </row>
        <row r="261">
          <cell r="A261" t="str">
            <v>PRESSURIZAÇÃO ESCADA 5SS</v>
          </cell>
          <cell r="B261">
            <v>6.3805104408352662</v>
          </cell>
          <cell r="C261">
            <v>7.5</v>
          </cell>
          <cell r="D261" t="str">
            <v>C</v>
          </cell>
          <cell r="E261">
            <v>6.3805104408352662</v>
          </cell>
          <cell r="F261">
            <v>0.8</v>
          </cell>
          <cell r="G261">
            <v>4</v>
          </cell>
          <cell r="I261">
            <v>0.5</v>
          </cell>
          <cell r="J261">
            <v>0.8</v>
          </cell>
          <cell r="K261">
            <v>25.522041763341065</v>
          </cell>
          <cell r="L261">
            <v>31.902552204176331</v>
          </cell>
          <cell r="M261">
            <v>12.761020881670532</v>
          </cell>
          <cell r="N261">
            <v>15.951276102088165</v>
          </cell>
        </row>
        <row r="262">
          <cell r="A262" t="str">
            <v>PRESSURIZAÇÃO ESCADA 3SS</v>
          </cell>
          <cell r="B262">
            <v>8.6705202312138727</v>
          </cell>
          <cell r="C262">
            <v>10</v>
          </cell>
          <cell r="D262" t="str">
            <v>C</v>
          </cell>
          <cell r="E262">
            <v>8.6705202312138727</v>
          </cell>
          <cell r="F262">
            <v>0.85</v>
          </cell>
          <cell r="G262">
            <v>2</v>
          </cell>
          <cell r="I262">
            <v>0.5</v>
          </cell>
          <cell r="J262">
            <v>0.85</v>
          </cell>
          <cell r="K262">
            <v>17.341040462427745</v>
          </cell>
          <cell r="L262">
            <v>20.401224073444407</v>
          </cell>
          <cell r="M262">
            <v>8.6705202312138727</v>
          </cell>
          <cell r="N262">
            <v>10.200612036722204</v>
          </cell>
        </row>
        <row r="263">
          <cell r="A263" t="str">
            <v>PRESSURIZAÇÃO ESCADA 1SS</v>
          </cell>
          <cell r="B263">
            <v>16.930022573363431</v>
          </cell>
          <cell r="C263">
            <v>20</v>
          </cell>
          <cell r="D263" t="str">
            <v>C</v>
          </cell>
          <cell r="E263">
            <v>16.930022573363431</v>
          </cell>
          <cell r="F263">
            <v>0.84</v>
          </cell>
          <cell r="G263">
            <v>5</v>
          </cell>
          <cell r="I263">
            <v>0.8</v>
          </cell>
          <cell r="J263">
            <v>0.84</v>
          </cell>
          <cell r="K263">
            <v>84.650112866817153</v>
          </cell>
          <cell r="L263">
            <v>100.77394388906805</v>
          </cell>
          <cell r="M263">
            <v>67.720090293453723</v>
          </cell>
          <cell r="N263">
            <v>80.619155111254443</v>
          </cell>
        </row>
        <row r="264">
          <cell r="A264" t="str">
            <v>EXAUSTÃO DE FUMAÇA</v>
          </cell>
          <cell r="B264">
            <v>16.930022573363431</v>
          </cell>
          <cell r="C264">
            <v>20</v>
          </cell>
          <cell r="D264" t="str">
            <v>C</v>
          </cell>
          <cell r="E264">
            <v>16.930022573363431</v>
          </cell>
          <cell r="F264">
            <v>0.84</v>
          </cell>
          <cell r="G264">
            <v>2</v>
          </cell>
          <cell r="I264">
            <v>1</v>
          </cell>
          <cell r="J264">
            <v>0.84</v>
          </cell>
          <cell r="K264">
            <v>33.860045146726861</v>
          </cell>
          <cell r="L264">
            <v>40.309577555627214</v>
          </cell>
          <cell r="M264">
            <v>33.860045146726861</v>
          </cell>
          <cell r="N264">
            <v>40.309577555627214</v>
          </cell>
        </row>
        <row r="265">
          <cell r="A265" t="str">
            <v>BOMBA DE RECALQUE DE ÓLEO DIESEL</v>
          </cell>
          <cell r="B265">
            <v>2.75</v>
          </cell>
          <cell r="C265">
            <v>3</v>
          </cell>
          <cell r="D265" t="str">
            <v>H</v>
          </cell>
          <cell r="E265">
            <v>2.75</v>
          </cell>
          <cell r="F265">
            <v>0.77</v>
          </cell>
          <cell r="G265">
            <v>2</v>
          </cell>
          <cell r="I265">
            <v>0.5</v>
          </cell>
          <cell r="J265">
            <v>0.77</v>
          </cell>
          <cell r="K265">
            <v>5.5</v>
          </cell>
          <cell r="L265">
            <v>7.1428571428571441</v>
          </cell>
          <cell r="M265">
            <v>2.75</v>
          </cell>
          <cell r="N265">
            <v>3.5714285714285721</v>
          </cell>
        </row>
        <row r="266">
          <cell r="A266" t="str">
            <v>ILUMINAÇÃO E TOMADAS GERADOR</v>
          </cell>
          <cell r="B266">
            <v>11.67</v>
          </cell>
          <cell r="G266">
            <v>1</v>
          </cell>
          <cell r="I266">
            <v>0.9</v>
          </cell>
          <cell r="J266">
            <v>0.94</v>
          </cell>
          <cell r="K266">
            <v>11.67</v>
          </cell>
          <cell r="L266">
            <v>12.414893617021276</v>
          </cell>
          <cell r="M266">
            <v>10.503</v>
          </cell>
          <cell r="N266">
            <v>11.173404255319149</v>
          </cell>
        </row>
        <row r="267">
          <cell r="A267" t="str">
            <v>BOMBA DE INCÊNDIO PRINCIPAL</v>
          </cell>
          <cell r="B267">
            <v>119.56521739130434</v>
          </cell>
          <cell r="C267">
            <v>150</v>
          </cell>
          <cell r="D267" t="str">
            <v>H</v>
          </cell>
          <cell r="E267">
            <v>119.56521739130434</v>
          </cell>
          <cell r="F267">
            <v>0.86</v>
          </cell>
          <cell r="G267">
            <v>1</v>
          </cell>
          <cell r="I267">
            <v>1</v>
          </cell>
          <cell r="J267">
            <v>0.86</v>
          </cell>
          <cell r="K267">
            <v>119.56521739130434</v>
          </cell>
          <cell r="L267">
            <v>139.02932254802832</v>
          </cell>
          <cell r="M267">
            <v>119.56521739130434</v>
          </cell>
          <cell r="N267">
            <v>139.02932254802832</v>
          </cell>
        </row>
        <row r="268">
          <cell r="A268" t="str">
            <v>RETIFICADOR SUBESTAÇÃO</v>
          </cell>
          <cell r="B268">
            <v>10</v>
          </cell>
          <cell r="G268">
            <v>1</v>
          </cell>
          <cell r="I268">
            <v>1</v>
          </cell>
          <cell r="J268">
            <v>0.8</v>
          </cell>
          <cell r="K268">
            <v>10</v>
          </cell>
          <cell r="L268">
            <v>12.5</v>
          </cell>
          <cell r="M268">
            <v>10</v>
          </cell>
          <cell r="N268">
            <v>12.5</v>
          </cell>
        </row>
        <row r="269">
          <cell r="A269" t="str">
            <v>ILUMINAÇÃO HELIPONTO</v>
          </cell>
          <cell r="B269">
            <v>10</v>
          </cell>
          <cell r="E269" t="e">
            <v>#N/A</v>
          </cell>
          <cell r="F269" t="e">
            <v>#N/A</v>
          </cell>
          <cell r="G269">
            <v>1</v>
          </cell>
          <cell r="I269">
            <v>1</v>
          </cell>
          <cell r="J269">
            <v>0.9</v>
          </cell>
          <cell r="K269">
            <v>10</v>
          </cell>
          <cell r="L269">
            <v>11.111111111111111</v>
          </cell>
          <cell r="M269">
            <v>10</v>
          </cell>
          <cell r="N269">
            <v>11.111111111111111</v>
          </cell>
        </row>
        <row r="270">
          <cell r="A270" t="str">
            <v>ELEVADORE HELIPONTO</v>
          </cell>
          <cell r="B270">
            <v>12</v>
          </cell>
          <cell r="E270" t="e">
            <v>#N/A</v>
          </cell>
          <cell r="F270" t="e">
            <v>#N/A</v>
          </cell>
          <cell r="G270">
            <v>2</v>
          </cell>
          <cell r="I270">
            <v>1</v>
          </cell>
          <cell r="J270">
            <v>0.9</v>
          </cell>
          <cell r="K270">
            <v>24</v>
          </cell>
          <cell r="L270">
            <v>26.666666666666664</v>
          </cell>
          <cell r="M270">
            <v>24</v>
          </cell>
          <cell r="N270">
            <v>26.666666666666664</v>
          </cell>
        </row>
        <row r="271">
          <cell r="A271" t="str">
            <v>ILUMINAÇÃO E COMANDO ELEVADORE HELIPONTO</v>
          </cell>
          <cell r="B271">
            <v>1.3</v>
          </cell>
          <cell r="E271" t="e">
            <v>#N/A</v>
          </cell>
          <cell r="F271" t="e">
            <v>#N/A</v>
          </cell>
          <cell r="G271">
            <v>1</v>
          </cell>
          <cell r="I271">
            <v>1</v>
          </cell>
          <cell r="J271">
            <v>0.8</v>
          </cell>
          <cell r="K271">
            <v>1.3</v>
          </cell>
          <cell r="L271">
            <v>1.625</v>
          </cell>
          <cell r="M271">
            <v>1.3</v>
          </cell>
          <cell r="N271">
            <v>1.625</v>
          </cell>
        </row>
        <row r="272">
          <cell r="A272" t="str">
            <v>ELEVADORES ZONA ALTA</v>
          </cell>
          <cell r="B272">
            <v>70</v>
          </cell>
          <cell r="E272" t="e">
            <v>#N/A</v>
          </cell>
          <cell r="F272" t="e">
            <v>#N/A</v>
          </cell>
          <cell r="G272">
            <v>8</v>
          </cell>
          <cell r="I272">
            <v>0.13</v>
          </cell>
          <cell r="J272">
            <v>0.8</v>
          </cell>
          <cell r="K272">
            <v>560</v>
          </cell>
          <cell r="L272">
            <v>700</v>
          </cell>
          <cell r="M272">
            <v>72.8</v>
          </cell>
          <cell r="N272">
            <v>91</v>
          </cell>
        </row>
        <row r="273">
          <cell r="A273" t="str">
            <v>ILUMINAÇÃO E COMANDO ELEVADORES ZONA ALTA</v>
          </cell>
          <cell r="B273">
            <v>3</v>
          </cell>
          <cell r="E273" t="e">
            <v>#N/A</v>
          </cell>
          <cell r="F273" t="e">
            <v>#N/A</v>
          </cell>
          <cell r="G273">
            <v>1</v>
          </cell>
          <cell r="I273">
            <v>0.13</v>
          </cell>
          <cell r="J273">
            <v>0.8</v>
          </cell>
          <cell r="K273">
            <v>3</v>
          </cell>
          <cell r="L273">
            <v>3.75</v>
          </cell>
          <cell r="M273">
            <v>0.39</v>
          </cell>
          <cell r="N273">
            <v>0.48749999999999999</v>
          </cell>
        </row>
        <row r="274">
          <cell r="A274" t="str">
            <v>BARRAMENTO BLINDADO BB2.1/2.3 ESCRITÓRIOS</v>
          </cell>
          <cell r="B274">
            <v>96.05</v>
          </cell>
          <cell r="E274" t="e">
            <v>#N/A</v>
          </cell>
          <cell r="F274" t="e">
            <v>#N/A</v>
          </cell>
          <cell r="G274">
            <v>1</v>
          </cell>
          <cell r="I274">
            <v>1</v>
          </cell>
          <cell r="J274">
            <v>0.98</v>
          </cell>
          <cell r="K274">
            <v>96.05</v>
          </cell>
          <cell r="L274">
            <v>98.010204081632637</v>
          </cell>
          <cell r="M274">
            <v>96.05</v>
          </cell>
          <cell r="N274">
            <v>98.010204081632637</v>
          </cell>
        </row>
        <row r="275">
          <cell r="A275" t="str">
            <v>TOTAL</v>
          </cell>
          <cell r="I275">
            <v>0.50301320878545841</v>
          </cell>
          <cell r="J275">
            <v>0.850036125133944</v>
          </cell>
          <cell r="K275">
            <v>2008.2367921350492</v>
          </cell>
          <cell r="L275">
            <v>2417.2471905907491</v>
          </cell>
          <cell r="M275">
            <v>1010.1696328128667</v>
          </cell>
          <cell r="N275">
            <v>1188.3843556104039</v>
          </cell>
        </row>
        <row r="278">
          <cell r="A278" t="str">
            <v>RESUMO GERAL:</v>
          </cell>
          <cell r="B278" t="str">
            <v>kW</v>
          </cell>
          <cell r="C278" t="str">
            <v>kVA</v>
          </cell>
        </row>
        <row r="279">
          <cell r="A279" t="str">
            <v>DEMANDAS</v>
          </cell>
          <cell r="B279">
            <v>1010.1696328128667</v>
          </cell>
          <cell r="C279">
            <v>1188.3843556104039</v>
          </cell>
        </row>
        <row r="280">
          <cell r="A280" t="str">
            <v>RESERVA     (%)</v>
          </cell>
          <cell r="B280">
            <v>0</v>
          </cell>
        </row>
        <row r="281">
          <cell r="A281" t="str">
            <v>FATOR DE SIMULTANEIDADE</v>
          </cell>
          <cell r="B281">
            <v>0.8</v>
          </cell>
        </row>
        <row r="283">
          <cell r="A283" t="str">
            <v xml:space="preserve">DEMANDA FINAL </v>
          </cell>
          <cell r="B283">
            <v>808.13570625029342</v>
          </cell>
          <cell r="C283">
            <v>950.70748448832319</v>
          </cell>
        </row>
        <row r="285">
          <cell r="A285" t="str">
            <v>TENSÃO (V)</v>
          </cell>
          <cell r="B285">
            <v>380</v>
          </cell>
          <cell r="C285" t="str">
            <v>V</v>
          </cell>
        </row>
        <row r="286">
          <cell r="A286" t="str">
            <v>CORRENTE (A)</v>
          </cell>
          <cell r="B286">
            <v>1444.4505844471721</v>
          </cell>
          <cell r="C286" t="str">
            <v>A</v>
          </cell>
        </row>
        <row r="287">
          <cell r="A287" t="str">
            <v>DISJUNTOR GERAL</v>
          </cell>
          <cell r="B287">
            <v>1250</v>
          </cell>
          <cell r="C287" t="str">
            <v>A</v>
          </cell>
        </row>
        <row r="289">
          <cell r="A289" t="str">
            <v>ADOTADO GERADOR DE 1040KVA/830KW</v>
          </cell>
        </row>
      </sheetData>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CAPA"/>
      <sheetName val="Planilha de Preço_CONSULTORIA"/>
      <sheetName val="Serviços gráficos"/>
      <sheetName val="CRONOGRAMA"/>
      <sheetName val="DESPESAS FISCAIS"/>
      <sheetName val="ENCARGOS SOCIAIS"/>
    </sheetNames>
    <sheetDataSet>
      <sheetData sheetId="0"/>
      <sheetData sheetId="1">
        <row r="47">
          <cell r="J47">
            <v>143445.84</v>
          </cell>
        </row>
      </sheetData>
      <sheetData sheetId="2"/>
      <sheetData sheetId="3"/>
      <sheetData sheetId="4"/>
      <sheetData sheetId="5"/>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CAPA"/>
      <sheetName val="Planilha de Preço_CONSULTORIA"/>
      <sheetName val="Serviços gráficos"/>
      <sheetName val="CRONOGRAMA"/>
      <sheetName val="DESPESAS FISCAIS"/>
      <sheetName val="ENCARGOS SOCIAIS"/>
    </sheetNames>
    <sheetDataSet>
      <sheetData sheetId="0"/>
      <sheetData sheetId="1">
        <row r="50">
          <cell r="K50">
            <v>38373.760000000002</v>
          </cell>
        </row>
      </sheetData>
      <sheetData sheetId="2"/>
      <sheetData sheetId="3"/>
      <sheetData sheetId="4"/>
      <sheetData sheetId="5"/>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REVEST FACHADAS"/>
      <sheetName val="CORRIMÃO"/>
      <sheetName val="CRONOGRAMA"/>
      <sheetName val="ALVENARIA"/>
      <sheetName val="ESQUADRIA"/>
      <sheetName val="Esquadrias 2"/>
      <sheetName val="Revestimentos"/>
      <sheetName val="Cobertura"/>
      <sheetName val="Planilha Orç"/>
      <sheetName val="Planilha1"/>
      <sheetName val="MEMORIA"/>
      <sheetName val="COMPOSICOES"/>
      <sheetName val="Piso e Forro"/>
      <sheetName val="impermeabilização"/>
      <sheetName val="Louças e Metais"/>
      <sheetName val="BATE MACA"/>
      <sheetName val="Instalações"/>
      <sheetName val="Paisagismo"/>
      <sheetName val="Pintura Estac."/>
      <sheetName val="Plan1"/>
      <sheetName val="Plan2"/>
      <sheetName val="Plan3"/>
      <sheetName val="Plan4"/>
    </sheetNames>
    <sheetDataSet>
      <sheetData sheetId="0"/>
      <sheetData sheetId="1"/>
      <sheetData sheetId="2"/>
      <sheetData sheetId="3"/>
      <sheetData sheetId="4"/>
      <sheetData sheetId="5"/>
      <sheetData sheetId="6"/>
      <sheetData sheetId="7"/>
      <sheetData sheetId="8">
        <row r="97">
          <cell r="J97">
            <v>814773.84000000008</v>
          </cell>
        </row>
        <row r="103">
          <cell r="J103">
            <v>212999.43</v>
          </cell>
        </row>
        <row r="108">
          <cell r="J108">
            <v>57659.360000000001</v>
          </cell>
        </row>
        <row r="117">
          <cell r="J117">
            <v>790605.2699999999</v>
          </cell>
        </row>
        <row r="123">
          <cell r="J123">
            <v>41292.149999999994</v>
          </cell>
        </row>
        <row r="133">
          <cell r="J133">
            <v>237274.37</v>
          </cell>
        </row>
        <row r="142">
          <cell r="J142">
            <v>596573.21</v>
          </cell>
        </row>
        <row r="151">
          <cell r="J151">
            <v>294715.84999999998</v>
          </cell>
        </row>
        <row r="159">
          <cell r="J159">
            <v>454936.56999999995</v>
          </cell>
        </row>
        <row r="165">
          <cell r="J165">
            <v>2260409.2599999998</v>
          </cell>
        </row>
        <row r="172">
          <cell r="J172">
            <v>3088387.5700000003</v>
          </cell>
        </row>
        <row r="178">
          <cell r="J178">
            <v>4872743.9000000004</v>
          </cell>
        </row>
        <row r="181">
          <cell r="J181">
            <v>336520.44</v>
          </cell>
        </row>
        <row r="187">
          <cell r="J187">
            <v>352147.22</v>
          </cell>
        </row>
        <row r="190">
          <cell r="J190">
            <v>86873.05</v>
          </cell>
        </row>
        <row r="199">
          <cell r="J199">
            <v>1741059.44</v>
          </cell>
        </row>
        <row r="237">
          <cell r="J237">
            <v>2619113.64</v>
          </cell>
        </row>
        <row r="243">
          <cell r="J243">
            <v>1112657.22</v>
          </cell>
        </row>
        <row r="246">
          <cell r="J246">
            <v>428698.64</v>
          </cell>
        </row>
        <row r="254">
          <cell r="J254">
            <v>729834.89</v>
          </cell>
        </row>
        <row r="259">
          <cell r="J259">
            <v>86700.85</v>
          </cell>
        </row>
        <row r="268">
          <cell r="J268">
            <v>1239080.21</v>
          </cell>
        </row>
        <row r="275">
          <cell r="J275">
            <v>1331120.23</v>
          </cell>
        </row>
        <row r="284">
          <cell r="J284">
            <v>974869.71</v>
          </cell>
        </row>
        <row r="293">
          <cell r="J293">
            <v>349268.17999999993</v>
          </cell>
        </row>
        <row r="304">
          <cell r="J304">
            <v>1196453.7500000002</v>
          </cell>
        </row>
        <row r="321">
          <cell r="J321">
            <v>4397137.8899999997</v>
          </cell>
        </row>
        <row r="325">
          <cell r="J325">
            <v>333084.28000000003</v>
          </cell>
        </row>
        <row r="332">
          <cell r="J332">
            <v>1168072.08</v>
          </cell>
        </row>
        <row r="338">
          <cell r="J338">
            <v>13930443.550000001</v>
          </cell>
        </row>
        <row r="341">
          <cell r="J341">
            <v>1427232.67</v>
          </cell>
        </row>
        <row r="344">
          <cell r="J344">
            <v>480149.26</v>
          </cell>
        </row>
        <row r="347">
          <cell r="J347">
            <v>1412775.78</v>
          </cell>
        </row>
        <row r="350">
          <cell r="J350">
            <v>1644902.36</v>
          </cell>
        </row>
        <row r="385">
          <cell r="J385">
            <v>390353.74000000005</v>
          </cell>
        </row>
        <row r="390">
          <cell r="J390">
            <v>989748</v>
          </cell>
        </row>
        <row r="395">
          <cell r="J395">
            <v>255868.41999999998</v>
          </cell>
        </row>
        <row r="399">
          <cell r="J399">
            <v>9341704</v>
          </cell>
        </row>
        <row r="408">
          <cell r="J408">
            <v>63202.94</v>
          </cell>
        </row>
        <row r="415">
          <cell r="J415">
            <v>805340.47</v>
          </cell>
        </row>
        <row r="438">
          <cell r="J438">
            <v>0</v>
          </cell>
        </row>
        <row r="451">
          <cell r="J451">
            <v>190966.69</v>
          </cell>
        </row>
        <row r="460">
          <cell r="J460">
            <v>397830.18000000005</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REVEST FACHADAS"/>
      <sheetName val="CORRIMÃO"/>
      <sheetName val="CRONOGRAMA"/>
      <sheetName val="ALVENARIA"/>
      <sheetName val="ESQUADRIA"/>
      <sheetName val="Esquadrias 2"/>
      <sheetName val="Revestimentos"/>
      <sheetName val="Cobertura"/>
      <sheetName val="Planilha Orç"/>
      <sheetName val="Planilha1"/>
      <sheetName val="MEMORIA"/>
      <sheetName val="COMPOSICOES"/>
      <sheetName val="Piso e Forro"/>
      <sheetName val="impermeabilização"/>
      <sheetName val="Louças e Metais"/>
      <sheetName val="BATE MACA"/>
      <sheetName val="Instalações"/>
      <sheetName val="Paisagismo"/>
      <sheetName val="Pintura Estac."/>
      <sheetName val="Plan1"/>
      <sheetName val="Plan2"/>
      <sheetName val="Plan3"/>
      <sheetName val="Plan4"/>
    </sheetNames>
    <sheetDataSet>
      <sheetData sheetId="0"/>
      <sheetData sheetId="1"/>
      <sheetData sheetId="2"/>
      <sheetData sheetId="3"/>
      <sheetData sheetId="4"/>
      <sheetData sheetId="5"/>
      <sheetData sheetId="6"/>
      <sheetData sheetId="7"/>
      <sheetData sheetId="8">
        <row r="12">
          <cell r="I12">
            <v>664246.12</v>
          </cell>
        </row>
        <row r="462">
          <cell r="I462">
            <v>59719209.090000004</v>
          </cell>
        </row>
        <row r="465">
          <cell r="I465">
            <v>74508535.640000001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REVEST FACHADAS"/>
      <sheetName val="CORRIMÃO"/>
      <sheetName val="CRONOGRAMA"/>
      <sheetName val="ALVENARIA"/>
      <sheetName val="ESQUADRIA"/>
      <sheetName val="Esquadrias 2"/>
      <sheetName val="Revestimentos"/>
      <sheetName val="Cobertura"/>
      <sheetName val="Planilha Orç"/>
      <sheetName val="MEMORIA"/>
      <sheetName val="COMPOSICOES"/>
      <sheetName val="Piso e Forro"/>
      <sheetName val="impermeabilização"/>
      <sheetName val="Louças e Metais"/>
      <sheetName val="BATE MACA"/>
      <sheetName val="Instalações"/>
      <sheetName val="Paisagismo"/>
      <sheetName val="Pintura Estac."/>
      <sheetName val="Plan1"/>
      <sheetName val="Plan2"/>
      <sheetName val="Plan3"/>
      <sheetName val="Plan4"/>
      <sheetName val="Planilha1"/>
    </sheetNames>
    <sheetDataSet>
      <sheetData sheetId="0"/>
      <sheetData sheetId="1"/>
      <sheetData sheetId="2"/>
      <sheetData sheetId="3"/>
      <sheetData sheetId="4"/>
      <sheetData sheetId="5"/>
      <sheetData sheetId="6"/>
      <sheetData sheetId="7"/>
      <sheetData sheetId="8">
        <row r="12">
          <cell r="I12">
            <v>0</v>
          </cell>
        </row>
        <row r="462">
          <cell r="I462">
            <v>18098416.689999998</v>
          </cell>
        </row>
        <row r="465">
          <cell r="I465">
            <v>22531948.469999999</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terraplenagem"/>
      <sheetName val="Estrutura"/>
      <sheetName val="tubulao circular"/>
      <sheetName val="tubulao eliptico"/>
      <sheetName val="Infra Estrutura"/>
      <sheetName val="Armação CA-50"/>
      <sheetName val="armacao ca60"/>
      <sheetName val="Alvenarias"/>
      <sheetName val="Revestimentos"/>
      <sheetName val="Caixilhos"/>
      <sheetName val="Fachada Tipo 1"/>
      <sheetName val="Fachada Tipo 2"/>
      <sheetName val="Diversos"/>
      <sheetName val="Resumo Ger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Capa"/>
      <sheetName val="ELET&amp;AC"/>
      <sheetName val="Cabos"/>
      <sheetName val="ATERR"/>
      <sheetName val="ILUM"/>
      <sheetName val="Memoria"/>
      <sheetName val="Paineis"/>
      <sheetName val="Lista Cabos Compras"/>
      <sheetName val="Lista Cabos Compras (Apoio)"/>
      <sheetName val="Lista Materiais"/>
      <sheetName val="DADOS"/>
      <sheetName val="Anexos"/>
      <sheetName val="Capa  LISTA CABOS"/>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CAPA  "/>
      <sheetName val="CAPA -1"/>
    </sheetNames>
    <sheetDataSet>
      <sheetData sheetId="0" refreshError="1"/>
      <sheetData sheetId="1"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Banco de Dados"/>
    </sheetNames>
    <definedNames>
      <definedName name="DESVINCULAR"/>
    </definedNames>
    <sheetDataSet>
      <sheetData sheetId="0"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Comp. Elét."/>
      <sheetName val="Preços Mat. Elét."/>
      <sheetName val="Qt. Mat. Elet."/>
      <sheetName val="Comp. Hid."/>
      <sheetName val="Preços Mat. Hid."/>
      <sheetName val="Qt. Mat. Hid."/>
      <sheetName val="PL. 1ª Etapa"/>
      <sheetName val="Pl. 2ª Etapa"/>
    </sheetNames>
    <sheetDataSet>
      <sheetData sheetId="0" refreshError="1"/>
      <sheetData sheetId="1">
        <row r="1">
          <cell r="A1" t="str">
            <v>CPU nr.</v>
          </cell>
          <cell r="B1" t="str">
            <v>DESCRIÇÃO</v>
          </cell>
          <cell r="C1" t="str">
            <v>UN</v>
          </cell>
          <cell r="D1" t="str">
            <v>PREÇO</v>
          </cell>
          <cell r="E1" t="str">
            <v>h/h</v>
          </cell>
        </row>
        <row r="2">
          <cell r="A2" t="str">
            <v>A</v>
          </cell>
          <cell r="B2" t="str">
            <v>MAO DE OBRA</v>
          </cell>
        </row>
        <row r="3">
          <cell r="A3" t="str">
            <v>A1</v>
          </cell>
          <cell r="B3" t="str">
            <v>Encarregado hidráulica</v>
          </cell>
          <cell r="C3" t="str">
            <v>h/h</v>
          </cell>
          <cell r="D3">
            <v>19.649999999999999</v>
          </cell>
        </row>
        <row r="4">
          <cell r="A4" t="str">
            <v>A2</v>
          </cell>
          <cell r="B4" t="str">
            <v>Encanador</v>
          </cell>
          <cell r="C4" t="str">
            <v>h/h</v>
          </cell>
          <cell r="D4">
            <v>10.01</v>
          </cell>
        </row>
        <row r="5">
          <cell r="A5" t="str">
            <v>A3</v>
          </cell>
          <cell r="B5" t="str">
            <v>Serralheiro</v>
          </cell>
          <cell r="C5" t="str">
            <v>h/h</v>
          </cell>
          <cell r="D5">
            <v>10.01</v>
          </cell>
        </row>
        <row r="6">
          <cell r="A6" t="str">
            <v>A4</v>
          </cell>
          <cell r="B6" t="str">
            <v>Pintor</v>
          </cell>
          <cell r="C6" t="str">
            <v>h/h</v>
          </cell>
          <cell r="D6">
            <v>9.06</v>
          </cell>
        </row>
        <row r="7">
          <cell r="A7" t="str">
            <v>A5</v>
          </cell>
          <cell r="C7" t="str">
            <v>h/h</v>
          </cell>
        </row>
        <row r="8">
          <cell r="A8" t="str">
            <v>A6</v>
          </cell>
          <cell r="B8" t="str">
            <v>Encarregado elétrica</v>
          </cell>
          <cell r="C8" t="str">
            <v>h/h</v>
          </cell>
          <cell r="D8">
            <v>19.649999999999999</v>
          </cell>
        </row>
        <row r="9">
          <cell r="A9" t="str">
            <v>A7</v>
          </cell>
          <cell r="B9" t="str">
            <v>Eletricista montador</v>
          </cell>
          <cell r="C9" t="str">
            <v>h/h</v>
          </cell>
          <cell r="D9">
            <v>10.01</v>
          </cell>
        </row>
        <row r="10">
          <cell r="A10" t="str">
            <v>A8</v>
          </cell>
          <cell r="B10" t="str">
            <v>Eletricista F/C</v>
          </cell>
          <cell r="C10" t="str">
            <v>h/h</v>
          </cell>
          <cell r="D10">
            <v>13.51</v>
          </cell>
        </row>
        <row r="11">
          <cell r="A11" t="str">
            <v>A9</v>
          </cell>
          <cell r="B11" t="str">
            <v>1/2 oficial eletricista</v>
          </cell>
          <cell r="C11" t="str">
            <v>h/h</v>
          </cell>
          <cell r="D11">
            <v>9.06</v>
          </cell>
        </row>
        <row r="12">
          <cell r="A12" t="str">
            <v>A10</v>
          </cell>
          <cell r="C12" t="str">
            <v>h/h</v>
          </cell>
        </row>
        <row r="13">
          <cell r="A13" t="str">
            <v>A11</v>
          </cell>
          <cell r="C13" t="str">
            <v>h/h</v>
          </cell>
        </row>
        <row r="14">
          <cell r="A14" t="str">
            <v>A12</v>
          </cell>
          <cell r="B14" t="str">
            <v>Equipe de Projeto</v>
          </cell>
          <cell r="C14" t="str">
            <v>h/h</v>
          </cell>
          <cell r="D14">
            <v>80</v>
          </cell>
        </row>
        <row r="15">
          <cell r="A15" t="str">
            <v>A13</v>
          </cell>
          <cell r="B15" t="str">
            <v>Ajudante</v>
          </cell>
          <cell r="C15" t="str">
            <v>h/h</v>
          </cell>
          <cell r="D15">
            <v>8.6999999999999993</v>
          </cell>
        </row>
        <row r="16">
          <cell r="A16" t="str">
            <v>B</v>
          </cell>
          <cell r="B16" t="str">
            <v>EQUIPAMENTOS</v>
          </cell>
        </row>
        <row r="17">
          <cell r="A17" t="str">
            <v>B1</v>
          </cell>
          <cell r="B17" t="str">
            <v>Munck 10 t</v>
          </cell>
          <cell r="C17" t="str">
            <v>h</v>
          </cell>
          <cell r="D17">
            <v>75</v>
          </cell>
        </row>
        <row r="18">
          <cell r="A18" t="str">
            <v>B2</v>
          </cell>
          <cell r="B18" t="str">
            <v>Rosqueadeira para tubos</v>
          </cell>
          <cell r="C18" t="str">
            <v>h</v>
          </cell>
          <cell r="D18">
            <v>5.56</v>
          </cell>
        </row>
        <row r="19">
          <cell r="A19" t="str">
            <v>B3</v>
          </cell>
          <cell r="B19" t="str">
            <v>Máquina de solda elétrica</v>
          </cell>
          <cell r="C19" t="str">
            <v>h</v>
          </cell>
          <cell r="D19">
            <v>0.67</v>
          </cell>
        </row>
        <row r="20">
          <cell r="A20" t="str">
            <v>B4</v>
          </cell>
          <cell r="B20" t="str">
            <v>Conjunto oxi-acetileno</v>
          </cell>
          <cell r="C20" t="str">
            <v>h</v>
          </cell>
          <cell r="D20">
            <v>0.83</v>
          </cell>
        </row>
        <row r="21">
          <cell r="A21" t="str">
            <v>B5</v>
          </cell>
          <cell r="C21" t="str">
            <v>h</v>
          </cell>
        </row>
        <row r="22">
          <cell r="A22" t="str">
            <v>B6</v>
          </cell>
          <cell r="C22" t="str">
            <v>h</v>
          </cell>
        </row>
        <row r="23">
          <cell r="A23" t="str">
            <v>B7</v>
          </cell>
          <cell r="C23" t="str">
            <v>h</v>
          </cell>
        </row>
        <row r="24">
          <cell r="A24" t="str">
            <v>B8</v>
          </cell>
          <cell r="C24" t="str">
            <v>h</v>
          </cell>
        </row>
        <row r="25">
          <cell r="A25" t="str">
            <v>B9</v>
          </cell>
          <cell r="C25" t="str">
            <v>h</v>
          </cell>
        </row>
        <row r="26">
          <cell r="A26" t="str">
            <v>B10</v>
          </cell>
          <cell r="C26" t="str">
            <v>h</v>
          </cell>
        </row>
        <row r="27">
          <cell r="A27" t="str">
            <v>B11</v>
          </cell>
          <cell r="C27" t="str">
            <v>h</v>
          </cell>
        </row>
        <row r="28">
          <cell r="A28" t="str">
            <v>B12</v>
          </cell>
          <cell r="C28" t="str">
            <v>h</v>
          </cell>
        </row>
        <row r="29">
          <cell r="A29" t="str">
            <v>B13</v>
          </cell>
          <cell r="C29" t="str">
            <v>h</v>
          </cell>
        </row>
        <row r="30">
          <cell r="A30" t="str">
            <v>D</v>
          </cell>
          <cell r="B30" t="str">
            <v>OUTROS</v>
          </cell>
        </row>
        <row r="31">
          <cell r="A31" t="str">
            <v>D1</v>
          </cell>
          <cell r="B31" t="str">
            <v>Ferramental básico</v>
          </cell>
          <cell r="C31" t="str">
            <v>vb</v>
          </cell>
          <cell r="D31" t="str">
            <v>5% da mdo</v>
          </cell>
        </row>
        <row r="32">
          <cell r="A32" t="str">
            <v>D2</v>
          </cell>
          <cell r="B32" t="str">
            <v>Material de consumo</v>
          </cell>
          <cell r="C32" t="str">
            <v>vb</v>
          </cell>
          <cell r="D32" t="str">
            <v>3% da mdo</v>
          </cell>
        </row>
        <row r="33">
          <cell r="A33" t="str">
            <v>D3</v>
          </cell>
          <cell r="B33" t="str">
            <v>Transporte</v>
          </cell>
          <cell r="C33" t="str">
            <v>vb</v>
          </cell>
          <cell r="D33" t="str">
            <v>ARRED(H121*1%;2)</v>
          </cell>
        </row>
        <row r="34">
          <cell r="A34" t="str">
            <v>D4</v>
          </cell>
          <cell r="C34" t="str">
            <v>vb</v>
          </cell>
        </row>
        <row r="35">
          <cell r="A35" t="str">
            <v>D5</v>
          </cell>
          <cell r="C35" t="str">
            <v>vb</v>
          </cell>
        </row>
        <row r="36">
          <cell r="A36" t="str">
            <v>D6</v>
          </cell>
          <cell r="C36" t="str">
            <v>vb</v>
          </cell>
        </row>
        <row r="37">
          <cell r="A37" t="str">
            <v>D7</v>
          </cell>
          <cell r="C37" t="str">
            <v>vb</v>
          </cell>
        </row>
        <row r="38">
          <cell r="A38" t="str">
            <v>D8</v>
          </cell>
          <cell r="C38" t="str">
            <v>vb</v>
          </cell>
        </row>
        <row r="39">
          <cell r="A39" t="str">
            <v>D9</v>
          </cell>
          <cell r="C39" t="str">
            <v>vb</v>
          </cell>
        </row>
        <row r="40">
          <cell r="A40" t="str">
            <v>D10</v>
          </cell>
          <cell r="C40" t="str">
            <v>vb</v>
          </cell>
        </row>
        <row r="41">
          <cell r="A41" t="str">
            <v>D11</v>
          </cell>
          <cell r="C41" t="str">
            <v>vb</v>
          </cell>
        </row>
        <row r="42">
          <cell r="A42" t="str">
            <v>D12</v>
          </cell>
          <cell r="C42" t="str">
            <v>vb</v>
          </cell>
        </row>
        <row r="43">
          <cell r="A43" t="str">
            <v>D13</v>
          </cell>
          <cell r="C43" t="str">
            <v>vb</v>
          </cell>
        </row>
        <row r="44">
          <cell r="A44" t="str">
            <v>C</v>
          </cell>
          <cell r="B44" t="str">
            <v>MATERIAIS</v>
          </cell>
        </row>
        <row r="45">
          <cell r="A45">
            <v>1</v>
          </cell>
          <cell r="B45" t="str">
            <v>Abracadeira tipo circular galvanização eletrolítica Ø 1"</v>
          </cell>
          <cell r="C45" t="str">
            <v>pc</v>
          </cell>
          <cell r="D45">
            <v>0</v>
          </cell>
          <cell r="E45">
            <v>0.14000000000000001</v>
          </cell>
        </row>
        <row r="46">
          <cell r="A46">
            <v>2</v>
          </cell>
          <cell r="B46" t="str">
            <v>Abracadeira tipo circular galvanização eletrolítica Ø 2"</v>
          </cell>
          <cell r="C46" t="str">
            <v>pc</v>
          </cell>
          <cell r="D46">
            <v>0</v>
          </cell>
          <cell r="E46">
            <v>0.2</v>
          </cell>
        </row>
        <row r="47">
          <cell r="A47">
            <v>3</v>
          </cell>
          <cell r="B47" t="str">
            <v>Abracadeira tipo circular galvanização eletrolítica Ø 3/4"</v>
          </cell>
          <cell r="C47" t="str">
            <v>pc</v>
          </cell>
          <cell r="D47">
            <v>0.32</v>
          </cell>
          <cell r="E47">
            <v>7.0000000000000007E-2</v>
          </cell>
        </row>
        <row r="48">
          <cell r="A48">
            <v>4</v>
          </cell>
          <cell r="B48" t="str">
            <v>Abracadeira tipo circular galvanização eletrolítica Ø 4"</v>
          </cell>
          <cell r="C48" t="str">
            <v>pc</v>
          </cell>
          <cell r="D48">
            <v>0</v>
          </cell>
          <cell r="E48">
            <v>0.36</v>
          </cell>
        </row>
        <row r="49">
          <cell r="A49">
            <v>5</v>
          </cell>
          <cell r="B49" t="str">
            <v>Acionador manual tipo quebre o vidro</v>
          </cell>
          <cell r="C49" t="str">
            <v>pç</v>
          </cell>
          <cell r="D49">
            <v>0</v>
          </cell>
          <cell r="E49">
            <v>0.8</v>
          </cell>
        </row>
        <row r="50">
          <cell r="A50">
            <v>6</v>
          </cell>
          <cell r="B50" t="str">
            <v>Arandela mod. SK comp. 1,20 da Intelligence com lamp. 32W mod. Super 83 da Philips</v>
          </cell>
          <cell r="C50" t="str">
            <v>pc</v>
          </cell>
          <cell r="D50">
            <v>0</v>
          </cell>
          <cell r="E50">
            <v>1</v>
          </cell>
        </row>
        <row r="51">
          <cell r="A51">
            <v>7</v>
          </cell>
          <cell r="B51" t="str">
            <v>Arruela lisa galvanização eletrolitica Ø 1/4"</v>
          </cell>
          <cell r="C51" t="str">
            <v>pc</v>
          </cell>
          <cell r="D51">
            <v>0.03</v>
          </cell>
          <cell r="E51">
            <v>0.01</v>
          </cell>
        </row>
        <row r="52">
          <cell r="A52">
            <v>8</v>
          </cell>
          <cell r="B52" t="str">
            <v>Arruela lisa galvanização eletrolitica Ø 3/8"</v>
          </cell>
          <cell r="C52" t="str">
            <v>pc</v>
          </cell>
          <cell r="D52">
            <v>0.04</v>
          </cell>
          <cell r="E52">
            <v>0.01</v>
          </cell>
        </row>
        <row r="53">
          <cell r="A53">
            <v>9</v>
          </cell>
          <cell r="B53" t="str">
            <v>Avisador sonoro tipo sirene</v>
          </cell>
          <cell r="C53" t="str">
            <v>pç</v>
          </cell>
          <cell r="D53">
            <v>0</v>
          </cell>
          <cell r="E53">
            <v>1.5</v>
          </cell>
        </row>
        <row r="54">
          <cell r="A54">
            <v>10</v>
          </cell>
          <cell r="B54" t="str">
            <v>Base para mastro galvanização a fogo Ø 2"</v>
          </cell>
          <cell r="C54" t="str">
            <v>pc</v>
          </cell>
          <cell r="D54">
            <v>22.24</v>
          </cell>
          <cell r="E54">
            <v>3</v>
          </cell>
        </row>
        <row r="55">
          <cell r="A55">
            <v>11</v>
          </cell>
          <cell r="B55" t="str">
            <v>Bloco autônomo de aclaramento - autonomia de 2 horas / mínimo</v>
          </cell>
          <cell r="C55" t="str">
            <v>pç</v>
          </cell>
          <cell r="D55">
            <v>0</v>
          </cell>
          <cell r="E55">
            <v>1.5</v>
          </cell>
        </row>
        <row r="56">
          <cell r="A56">
            <v>12</v>
          </cell>
          <cell r="B56" t="str">
            <v>Bloco autônomo de balizamento com indicação de rota de fuga - autonomia de 2 horas / mínimo</v>
          </cell>
          <cell r="C56" t="str">
            <v>pç</v>
          </cell>
          <cell r="D56">
            <v>0</v>
          </cell>
          <cell r="E56">
            <v>1.5</v>
          </cell>
        </row>
        <row r="57">
          <cell r="A57">
            <v>13</v>
          </cell>
          <cell r="B57" t="str">
            <v>Box reto em aluminio fundido rosca BSP Ø 3/4"</v>
          </cell>
          <cell r="C57" t="str">
            <v>pc</v>
          </cell>
          <cell r="D57">
            <v>1.92</v>
          </cell>
          <cell r="E57">
            <v>0.15</v>
          </cell>
        </row>
        <row r="58">
          <cell r="A58">
            <v>14</v>
          </cell>
          <cell r="B58" t="str">
            <v>Bracadeira para 3 estais galvanização a fogo para mastro Ø 2"</v>
          </cell>
          <cell r="C58" t="str">
            <v>pc</v>
          </cell>
          <cell r="D58">
            <v>4.12</v>
          </cell>
          <cell r="E58">
            <v>1.5</v>
          </cell>
        </row>
        <row r="59">
          <cell r="A59">
            <v>15</v>
          </cell>
          <cell r="B59" t="str">
            <v>Bracadeira reforcada com 2 roldanas galvanização a fogo</v>
          </cell>
          <cell r="C59" t="str">
            <v>pc</v>
          </cell>
          <cell r="D59">
            <v>3.68</v>
          </cell>
          <cell r="E59">
            <v>0.5</v>
          </cell>
        </row>
        <row r="60">
          <cell r="A60">
            <v>16</v>
          </cell>
          <cell r="B60" t="str">
            <v>Bracadeira simples com 2 roldanas galvanização a fogo</v>
          </cell>
          <cell r="C60" t="str">
            <v>pc</v>
          </cell>
          <cell r="D60">
            <v>3.1</v>
          </cell>
          <cell r="E60">
            <v>0.5</v>
          </cell>
        </row>
        <row r="61">
          <cell r="A61">
            <v>17</v>
          </cell>
          <cell r="B61" t="str">
            <v xml:space="preserve">Bracadeira tipo perfil galvanização eletrolitica para eletroduto dim Ø 1" </v>
          </cell>
          <cell r="C61" t="str">
            <v>pc</v>
          </cell>
          <cell r="D61">
            <v>0.46</v>
          </cell>
          <cell r="E61">
            <v>7.0000000000000007E-2</v>
          </cell>
        </row>
        <row r="62">
          <cell r="A62">
            <v>18</v>
          </cell>
          <cell r="B62" t="str">
            <v xml:space="preserve">Bracadeira tipo perfil galvanização eletrolitica para eletroduto dim Ø 2 1/2" </v>
          </cell>
          <cell r="C62" t="str">
            <v>pc</v>
          </cell>
          <cell r="D62">
            <v>1.1399999999999999</v>
          </cell>
          <cell r="E62">
            <v>0.09</v>
          </cell>
        </row>
        <row r="63">
          <cell r="A63">
            <v>19</v>
          </cell>
          <cell r="B63" t="str">
            <v>Cabo cordplast 750V 3 x # 1,5 mm2</v>
          </cell>
          <cell r="C63" t="str">
            <v>m</v>
          </cell>
          <cell r="D63">
            <v>2.4700000000000002</v>
          </cell>
          <cell r="E63">
            <v>7.9000000000000001E-2</v>
          </cell>
        </row>
        <row r="64">
          <cell r="A64">
            <v>20</v>
          </cell>
          <cell r="B64" t="str">
            <v>Cabo de aco com alma fibra 1/4"</v>
          </cell>
          <cell r="C64" t="str">
            <v>m</v>
          </cell>
          <cell r="D64">
            <v>2.6</v>
          </cell>
          <cell r="E64">
            <v>0.12</v>
          </cell>
        </row>
        <row r="65">
          <cell r="A65">
            <v>21</v>
          </cell>
          <cell r="B65" t="str">
            <v>Cabo de cobre nú têmpera meio dura # 16 mm2</v>
          </cell>
          <cell r="C65" t="str">
            <v>m</v>
          </cell>
          <cell r="D65">
            <v>0</v>
          </cell>
          <cell r="E65">
            <v>0.06</v>
          </cell>
        </row>
        <row r="66">
          <cell r="A66">
            <v>22</v>
          </cell>
          <cell r="B66" t="str">
            <v>Cabo de cobre nú têmpera meio dura # 50 mm2</v>
          </cell>
          <cell r="C66" t="str">
            <v>m</v>
          </cell>
          <cell r="D66">
            <v>8.16</v>
          </cell>
          <cell r="E66">
            <v>8.4000000000000005E-2</v>
          </cell>
        </row>
        <row r="67">
          <cell r="A67">
            <v>23</v>
          </cell>
          <cell r="B67" t="str">
            <v>Cabo de cobre singelo 0,6/1kV isolacao EPR # 150 mm2</v>
          </cell>
          <cell r="C67" t="str">
            <v>m</v>
          </cell>
          <cell r="D67">
            <v>70.5</v>
          </cell>
          <cell r="E67">
            <v>0.84</v>
          </cell>
        </row>
        <row r="68">
          <cell r="A68">
            <v>24</v>
          </cell>
          <cell r="B68" t="str">
            <v>Cabo de cobre singelo 0,6/1kV isolacao EPR # 185 mm2</v>
          </cell>
          <cell r="C68" t="str">
            <v>m</v>
          </cell>
          <cell r="D68">
            <v>84</v>
          </cell>
          <cell r="E68">
            <v>0.94499999999999995</v>
          </cell>
        </row>
        <row r="69">
          <cell r="A69">
            <v>25</v>
          </cell>
          <cell r="B69" t="str">
            <v>Cabo de cobre singelo 0,6/1kV isolacao EPR # 70 mm2</v>
          </cell>
          <cell r="C69" t="str">
            <v>m</v>
          </cell>
          <cell r="D69">
            <v>24.7</v>
          </cell>
          <cell r="E69">
            <v>0.33600000000000002</v>
          </cell>
        </row>
        <row r="70">
          <cell r="A70">
            <v>26</v>
          </cell>
          <cell r="B70" t="str">
            <v>Cabo de cobre singelo 0,6/1kV isolacao EPR # 95 mm2</v>
          </cell>
          <cell r="C70" t="str">
            <v>m</v>
          </cell>
          <cell r="D70">
            <v>41.7</v>
          </cell>
          <cell r="E70">
            <v>0.52500000000000002</v>
          </cell>
        </row>
        <row r="71">
          <cell r="A71">
            <v>27</v>
          </cell>
          <cell r="B71" t="str">
            <v>Cabo de cobre singelo 8,7/15 kV # 35 mm2</v>
          </cell>
          <cell r="C71" t="str">
            <v>m</v>
          </cell>
          <cell r="D71">
            <v>31.24</v>
          </cell>
          <cell r="E71">
            <v>0.35</v>
          </cell>
        </row>
        <row r="72">
          <cell r="A72">
            <v>28</v>
          </cell>
          <cell r="B72" t="str">
            <v>caixa de inspeção em cimento amianto com tampa em aço dim 300mm x h=400mm</v>
          </cell>
          <cell r="C72" t="str">
            <v>pc</v>
          </cell>
          <cell r="D72">
            <v>35</v>
          </cell>
          <cell r="E72">
            <v>5</v>
          </cell>
        </row>
        <row r="73">
          <cell r="A73">
            <v>29</v>
          </cell>
          <cell r="B73" t="str">
            <v>Caixa de passagem com tampa em chapa galvanização eletrolitica dim 15 x 15 x 8cm</v>
          </cell>
          <cell r="C73" t="str">
            <v>pc</v>
          </cell>
          <cell r="D73">
            <v>18.3</v>
          </cell>
          <cell r="E73">
            <v>2.5</v>
          </cell>
        </row>
        <row r="74">
          <cell r="A74">
            <v>30</v>
          </cell>
          <cell r="B74" t="str">
            <v>Caixa para tomada em perfilado galvanização eletrolítica com tomada 2P + T e universal 15A/250V</v>
          </cell>
          <cell r="D74">
            <v>11.9</v>
          </cell>
          <cell r="E74">
            <v>0.4</v>
          </cell>
        </row>
        <row r="75">
          <cell r="A75">
            <v>31</v>
          </cell>
          <cell r="B75" t="str">
            <v>Cantoneira de abas iguais galvanização eletrolítica dim 1.1/2" X 1.1/2" X 1/4"</v>
          </cell>
          <cell r="C75" t="str">
            <v>m</v>
          </cell>
          <cell r="D75">
            <v>21</v>
          </cell>
          <cell r="E75">
            <v>1.2</v>
          </cell>
        </row>
        <row r="76">
          <cell r="A76">
            <v>32</v>
          </cell>
          <cell r="B76" t="str">
            <v>Central de alarmes do sistema de hidrantes (excluso, existente)</v>
          </cell>
          <cell r="C76" t="str">
            <v>cj</v>
          </cell>
          <cell r="D76">
            <v>0</v>
          </cell>
        </row>
        <row r="77">
          <cell r="A77">
            <v>33</v>
          </cell>
          <cell r="B77" t="str">
            <v>Central de detecção e alarme de incêndio (excluso, existente)</v>
          </cell>
          <cell r="C77" t="str">
            <v>cj</v>
          </cell>
          <cell r="D77">
            <v>0</v>
          </cell>
        </row>
        <row r="78">
          <cell r="A78">
            <v>34</v>
          </cell>
          <cell r="B78" t="str">
            <v>Chumbador CB galvanização eletrolítica Ø 1/4"</v>
          </cell>
          <cell r="C78" t="str">
            <v>pc</v>
          </cell>
          <cell r="D78">
            <v>1</v>
          </cell>
          <cell r="E78">
            <v>0.25</v>
          </cell>
        </row>
        <row r="79">
          <cell r="A79">
            <v>35</v>
          </cell>
          <cell r="B79" t="str">
            <v>Chumbador CB galvanização eletrolítica Ø 3/8"</v>
          </cell>
          <cell r="C79" t="str">
            <v>pc</v>
          </cell>
          <cell r="D79">
            <v>1.61</v>
          </cell>
          <cell r="E79">
            <v>0.3</v>
          </cell>
        </row>
        <row r="80">
          <cell r="A80">
            <v>36</v>
          </cell>
          <cell r="B80" t="str">
            <v>Chumbador CB galvanização eletrolítica Ø 3/8" completo com parafuso e arruela</v>
          </cell>
          <cell r="C80" t="str">
            <v>pc</v>
          </cell>
          <cell r="D80">
            <v>1.61</v>
          </cell>
          <cell r="E80">
            <v>0.25</v>
          </cell>
        </row>
        <row r="81">
          <cell r="A81">
            <v>37</v>
          </cell>
          <cell r="B81" t="str">
            <v>Condulete alumínio fundido com tampa rosca BSP tipo L Ø 1 1/2"</v>
          </cell>
          <cell r="C81" t="str">
            <v>pc</v>
          </cell>
          <cell r="D81">
            <v>15.72</v>
          </cell>
          <cell r="E81">
            <v>0.9</v>
          </cell>
        </row>
        <row r="82">
          <cell r="A82">
            <v>38</v>
          </cell>
          <cell r="B82" t="str">
            <v>Condulete alumínio fundido com tampa rosca BSP tipo L Ø 1"</v>
          </cell>
          <cell r="C82" t="str">
            <v>pc</v>
          </cell>
          <cell r="D82">
            <v>6.76</v>
          </cell>
          <cell r="E82">
            <v>0.65</v>
          </cell>
        </row>
        <row r="83">
          <cell r="A83">
            <v>39</v>
          </cell>
          <cell r="B83" t="str">
            <v>Condulete alumínio fundido com tampa rosca BSP tipo L Ø 3/4"</v>
          </cell>
          <cell r="C83" t="str">
            <v>pc</v>
          </cell>
          <cell r="D83">
            <v>4.12</v>
          </cell>
          <cell r="E83">
            <v>0.6</v>
          </cell>
        </row>
        <row r="84">
          <cell r="A84">
            <v>40</v>
          </cell>
          <cell r="B84" t="str">
            <v>Condulete alumínio fundido com tampa rosca BSP tipo T Ø 1.1/2"</v>
          </cell>
          <cell r="C84" t="str">
            <v>pc</v>
          </cell>
          <cell r="D84">
            <v>17.43</v>
          </cell>
          <cell r="E84">
            <v>1.2</v>
          </cell>
        </row>
        <row r="85">
          <cell r="A85">
            <v>41</v>
          </cell>
          <cell r="B85" t="str">
            <v>Condulete alumínio fundido com tampa rosca BSP tipo T Ø 3/4"</v>
          </cell>
          <cell r="C85" t="str">
            <v>pc</v>
          </cell>
          <cell r="D85">
            <v>4.12</v>
          </cell>
          <cell r="E85">
            <v>0.8</v>
          </cell>
        </row>
        <row r="86">
          <cell r="A86">
            <v>42</v>
          </cell>
          <cell r="B86" t="str">
            <v>Condulete em aluminio fundido duplo rosca BSP tipo E com 1 interruptor paralelo 10A/250V Ø 3/4"</v>
          </cell>
          <cell r="C86" t="str">
            <v>cj</v>
          </cell>
          <cell r="D86">
            <v>11.9</v>
          </cell>
          <cell r="E86">
            <v>1.2</v>
          </cell>
        </row>
        <row r="87">
          <cell r="A87">
            <v>43</v>
          </cell>
          <cell r="B87" t="str">
            <v>Condulete em aluminio fundido duplo rosca BSP tipo E com 2 interruptores bipolares simples 10A/250V Ø 3/4"</v>
          </cell>
          <cell r="C87" t="str">
            <v>cj</v>
          </cell>
          <cell r="D87">
            <v>27</v>
          </cell>
          <cell r="E87">
            <v>1.2</v>
          </cell>
        </row>
        <row r="88">
          <cell r="A88">
            <v>44</v>
          </cell>
          <cell r="B88" t="str">
            <v>Condulete em aluminio fundido rosca BSP para 1 tomada RJ-45 Ø 3/4"</v>
          </cell>
          <cell r="C88" t="str">
            <v>pc</v>
          </cell>
          <cell r="D88">
            <v>6.8</v>
          </cell>
          <cell r="E88">
            <v>1.2</v>
          </cell>
        </row>
        <row r="89">
          <cell r="A89">
            <v>45</v>
          </cell>
          <cell r="B89" t="str">
            <v>Condulete em aluminio fundido rosca BSP tipo E com 1 interruptor bipolar simples 10A/250V Ø 3/4"</v>
          </cell>
          <cell r="C89" t="str">
            <v>cj</v>
          </cell>
          <cell r="D89">
            <v>17</v>
          </cell>
          <cell r="E89">
            <v>1.2</v>
          </cell>
        </row>
        <row r="90">
          <cell r="A90">
            <v>46</v>
          </cell>
          <cell r="B90" t="str">
            <v>Condulete em aluminio fundido rosca BSP tipo E com 1 tomada 2P + T e universal 15A/250V Ø 3/4"</v>
          </cell>
          <cell r="C90" t="str">
            <v>cj</v>
          </cell>
          <cell r="D90">
            <v>11.9</v>
          </cell>
          <cell r="E90">
            <v>1.2</v>
          </cell>
        </row>
        <row r="91">
          <cell r="A91">
            <v>47</v>
          </cell>
          <cell r="B91" t="str">
            <v>Condutor singelo em cobre, isolação em EPR 0,6/1KV # 10,0 mm2</v>
          </cell>
          <cell r="C91" t="str">
            <v>m</v>
          </cell>
          <cell r="D91">
            <v>4.84</v>
          </cell>
          <cell r="E91">
            <v>0.14699999999999999</v>
          </cell>
        </row>
        <row r="92">
          <cell r="A92">
            <v>48</v>
          </cell>
          <cell r="B92" t="str">
            <v>Condutor singelo em cobre, isolação em EPR 0,6/1KV # 16,0 mm2</v>
          </cell>
          <cell r="C92" t="str">
            <v>m</v>
          </cell>
          <cell r="D92">
            <v>7.36</v>
          </cell>
          <cell r="E92">
            <v>0.18</v>
          </cell>
        </row>
        <row r="93">
          <cell r="A93">
            <v>49</v>
          </cell>
          <cell r="B93" t="str">
            <v>Condutor singelo em cobre, isolação em EPR 0,6/1KV # 35 mm2</v>
          </cell>
          <cell r="C93" t="str">
            <v>m</v>
          </cell>
          <cell r="D93">
            <v>16.53</v>
          </cell>
          <cell r="E93">
            <v>0.23100000000000001</v>
          </cell>
        </row>
        <row r="94">
          <cell r="A94">
            <v>50</v>
          </cell>
          <cell r="B94" t="str">
            <v>Condutor singelo em cobre, isolação em EPR 0,6/1KV # 4,0 mm2</v>
          </cell>
          <cell r="C94" t="str">
            <v>m</v>
          </cell>
          <cell r="D94">
            <v>2.1</v>
          </cell>
          <cell r="E94">
            <v>9.6000000000000002E-2</v>
          </cell>
        </row>
        <row r="95">
          <cell r="A95">
            <v>51</v>
          </cell>
          <cell r="B95" t="str">
            <v>Condutor singelo em cobre, isolação em EPR 0,6/1KV # 50 mm2</v>
          </cell>
          <cell r="C95" t="str">
            <v>m</v>
          </cell>
          <cell r="D95">
            <v>18.63</v>
          </cell>
          <cell r="E95">
            <v>0.252</v>
          </cell>
        </row>
        <row r="96">
          <cell r="A96">
            <v>52</v>
          </cell>
          <cell r="B96" t="str">
            <v>Condutor singelo em cobre, isolação em EPR 0,6/1KV # 6,0 mm2</v>
          </cell>
          <cell r="C96" t="str">
            <v>m</v>
          </cell>
          <cell r="D96">
            <v>2.95</v>
          </cell>
          <cell r="E96">
            <v>0.126</v>
          </cell>
        </row>
        <row r="97">
          <cell r="A97">
            <v>53</v>
          </cell>
          <cell r="B97" t="str">
            <v>Condutor singelo em cobre, isolação em EPR 0,6/1KV # 70 mm2</v>
          </cell>
          <cell r="C97" t="str">
            <v>m</v>
          </cell>
          <cell r="D97">
            <v>24.7</v>
          </cell>
          <cell r="E97">
            <v>0.33600000000000002</v>
          </cell>
        </row>
        <row r="98">
          <cell r="A98">
            <v>54</v>
          </cell>
          <cell r="B98" t="str">
            <v>Condutor singelo em cobre, isolação em EPR 0,6/1KV # 95 mm2</v>
          </cell>
          <cell r="C98" t="str">
            <v>m</v>
          </cell>
          <cell r="D98">
            <v>41.7</v>
          </cell>
          <cell r="E98">
            <v>0.52500000000000002</v>
          </cell>
        </row>
        <row r="99">
          <cell r="A99">
            <v>55</v>
          </cell>
          <cell r="B99" t="str">
            <v>Condutor singelo em cobre, isolação em pvc 70° - 750 V, encordoamento classe 5, na cor verde # 10,0 mm2</v>
          </cell>
          <cell r="C99" t="str">
            <v>m</v>
          </cell>
          <cell r="D99">
            <v>4.58</v>
          </cell>
          <cell r="E99">
            <v>4.9000000000000002E-2</v>
          </cell>
        </row>
        <row r="100">
          <cell r="A100">
            <v>56</v>
          </cell>
          <cell r="B100" t="str">
            <v>Condutor singelo em cobre, isolação em pvc 70° - 750 V, encordoamento classe 5, na cor verde # 16,0 mm2</v>
          </cell>
          <cell r="C100" t="str">
            <v>m</v>
          </cell>
          <cell r="D100">
            <v>6.85</v>
          </cell>
          <cell r="E100">
            <v>0.06</v>
          </cell>
        </row>
        <row r="101">
          <cell r="A101">
            <v>57</v>
          </cell>
          <cell r="B101" t="str">
            <v>Condutor singelo em cobre, isolação em pvc 70° - 750 V, encordoamento classe 5, na cor verde # 25 mm2</v>
          </cell>
          <cell r="C101" t="str">
            <v>m</v>
          </cell>
          <cell r="D101">
            <v>10.93</v>
          </cell>
          <cell r="E101">
            <v>7.0000000000000007E-2</v>
          </cell>
        </row>
        <row r="102">
          <cell r="A102">
            <v>58</v>
          </cell>
          <cell r="B102" t="str">
            <v>Condutor singelo em cobre, isolação em pvc 70° - 750 V, encordoamento classe 5, na cor verde # 4,0 mm2</v>
          </cell>
          <cell r="C102" t="str">
            <v>m</v>
          </cell>
          <cell r="D102">
            <v>2.02</v>
          </cell>
          <cell r="E102">
            <v>3.2000000000000001E-2</v>
          </cell>
        </row>
        <row r="103">
          <cell r="A103">
            <v>59</v>
          </cell>
          <cell r="B103" t="str">
            <v>Condutor singelo em cobre, isolação em PVC 70° 750 V, encordoamento classe 5 # 16,0 mm2</v>
          </cell>
          <cell r="C103" t="str">
            <v>m</v>
          </cell>
          <cell r="D103">
            <v>6.85</v>
          </cell>
          <cell r="E103">
            <v>0.06</v>
          </cell>
        </row>
        <row r="104">
          <cell r="A104">
            <v>60</v>
          </cell>
          <cell r="B104" t="str">
            <v>Condutor singelo em cobre, isolação em PVC 70° 750 V, encordoamento classe 5 # 2,5 mm2</v>
          </cell>
          <cell r="C104" t="str">
            <v>m</v>
          </cell>
          <cell r="D104">
            <v>1.05</v>
          </cell>
          <cell r="E104">
            <v>2.7E-2</v>
          </cell>
        </row>
        <row r="105">
          <cell r="A105">
            <v>61</v>
          </cell>
          <cell r="B105" t="str">
            <v>Condutor singelo em cobre, isolação em PVC 70° 750 V, encordoamento classe 5 # 4,0 mm2</v>
          </cell>
          <cell r="C105" t="str">
            <v>m</v>
          </cell>
          <cell r="D105">
            <v>2.02</v>
          </cell>
          <cell r="E105">
            <v>3.2000000000000001E-2</v>
          </cell>
        </row>
        <row r="106">
          <cell r="A106">
            <v>62</v>
          </cell>
          <cell r="B106" t="str">
            <v>Conetor de cobre tipo split-bolt para cabo # 16,0 mm2</v>
          </cell>
          <cell r="C106" t="str">
            <v>pç</v>
          </cell>
          <cell r="D106">
            <v>0</v>
          </cell>
          <cell r="E106">
            <v>0.14000000000000001</v>
          </cell>
        </row>
        <row r="107">
          <cell r="A107">
            <v>63</v>
          </cell>
          <cell r="B107" t="str">
            <v>Conetor de cobre tipo split-bolt para cabo # 50,0 mm2</v>
          </cell>
          <cell r="C107" t="str">
            <v>pc</v>
          </cell>
          <cell r="D107">
            <v>5.5</v>
          </cell>
          <cell r="E107">
            <v>0.24</v>
          </cell>
        </row>
        <row r="108">
          <cell r="A108">
            <v>64</v>
          </cell>
          <cell r="B108" t="str">
            <v>Conjunto de baterias para o sistema de alarme autonomia de 24h em regime de supervisão e 15 minutos em regime de alarme (excluso, existente)</v>
          </cell>
          <cell r="C108" t="str">
            <v>cj</v>
          </cell>
          <cell r="D108">
            <v>0</v>
          </cell>
        </row>
        <row r="109">
          <cell r="A109">
            <v>65</v>
          </cell>
          <cell r="B109" t="str">
            <v>Conjunto de bucha e arruela em zamac Ø 2"</v>
          </cell>
          <cell r="C109" t="str">
            <v>cj</v>
          </cell>
          <cell r="D109">
            <v>1.76</v>
          </cell>
          <cell r="E109">
            <v>0.15</v>
          </cell>
        </row>
        <row r="110">
          <cell r="A110">
            <v>66</v>
          </cell>
          <cell r="B110" t="str">
            <v>Conjunto de bucha e arruela em zamac Ø 3/4"</v>
          </cell>
          <cell r="C110" t="str">
            <v>cj</v>
          </cell>
          <cell r="D110">
            <v>0.36</v>
          </cell>
          <cell r="E110">
            <v>0.15</v>
          </cell>
        </row>
        <row r="111">
          <cell r="A111">
            <v>67</v>
          </cell>
          <cell r="B111" t="str">
            <v>Conjunto de bucha e arruela em zamac Ø 4"</v>
          </cell>
          <cell r="C111" t="str">
            <v>cj</v>
          </cell>
          <cell r="D111">
            <v>5.6</v>
          </cell>
          <cell r="E111">
            <v>0.5</v>
          </cell>
        </row>
        <row r="112">
          <cell r="A112">
            <v>68</v>
          </cell>
          <cell r="B112" t="str">
            <v>Conjunto de infra-estrutura para o sistema de deteção e alarme de incêndio, composto de eletrodutos, cablagem, acessórios e suportes - Etapa 2</v>
          </cell>
          <cell r="C112" t="str">
            <v>vb</v>
          </cell>
          <cell r="D112">
            <v>12000</v>
          </cell>
          <cell r="E112">
            <v>420</v>
          </cell>
        </row>
        <row r="113">
          <cell r="A113">
            <v>69</v>
          </cell>
          <cell r="B113" t="str">
            <v>Conjunto de infra-estrutura para o sistema de iluminação de emergência, composto de eletrodutos, cablagem, acessórios e suportes - Etapa 1</v>
          </cell>
          <cell r="C113" t="str">
            <v>vb</v>
          </cell>
          <cell r="D113">
            <v>1200</v>
          </cell>
          <cell r="E113">
            <v>24</v>
          </cell>
        </row>
        <row r="114">
          <cell r="A114">
            <v>70</v>
          </cell>
          <cell r="B114" t="str">
            <v>Curva 90gr de ferro galvanização a fogo para eletroduto Ø 3"</v>
          </cell>
          <cell r="C114" t="str">
            <v>pc</v>
          </cell>
          <cell r="D114">
            <v>42.5</v>
          </cell>
          <cell r="E114">
            <v>1.8</v>
          </cell>
        </row>
        <row r="115">
          <cell r="A115">
            <v>71</v>
          </cell>
          <cell r="B115" t="str">
            <v>Curva 90gr de ferro galvanização eletrolítica para eletroduto Ø 1"</v>
          </cell>
          <cell r="C115" t="str">
            <v>pc</v>
          </cell>
          <cell r="D115">
            <v>2.2999999999999998</v>
          </cell>
          <cell r="E115">
            <v>0.5</v>
          </cell>
        </row>
        <row r="116">
          <cell r="A116">
            <v>72</v>
          </cell>
          <cell r="B116" t="str">
            <v>Curva 90gr de ferro galvanização eletrolítica para eletroduto Ø 2 1/2"</v>
          </cell>
          <cell r="C116" t="str">
            <v>pc</v>
          </cell>
          <cell r="D116">
            <v>22</v>
          </cell>
          <cell r="E116">
            <v>1.3</v>
          </cell>
        </row>
        <row r="117">
          <cell r="A117">
            <v>73</v>
          </cell>
          <cell r="B117" t="str">
            <v>Curva 90gr de ferro galvanização eletrolítica para eletroduto Ø 2"</v>
          </cell>
          <cell r="C117" t="str">
            <v>pc</v>
          </cell>
          <cell r="D117">
            <v>11.1</v>
          </cell>
          <cell r="E117">
            <v>1.1000000000000001</v>
          </cell>
        </row>
        <row r="118">
          <cell r="A118">
            <v>74</v>
          </cell>
          <cell r="B118" t="str">
            <v>Curva 90gr de ferro galvanização eletrolítica para eletroduto Ø 3/4"</v>
          </cell>
          <cell r="C118" t="str">
            <v>pc</v>
          </cell>
          <cell r="D118">
            <v>1.6</v>
          </cell>
          <cell r="E118">
            <v>0.4</v>
          </cell>
        </row>
        <row r="119">
          <cell r="A119">
            <v>75</v>
          </cell>
          <cell r="B119" t="str">
            <v>Curva 90gr de ferro galvanização eletrolítica para eletroduto Ø 4"</v>
          </cell>
          <cell r="C119" t="str">
            <v>pc</v>
          </cell>
          <cell r="D119">
            <v>42</v>
          </cell>
          <cell r="E119">
            <v>3</v>
          </cell>
        </row>
        <row r="120">
          <cell r="A120">
            <v>76</v>
          </cell>
          <cell r="B120" t="str">
            <v>Curva horizontal 90gr R320 com tampa para eletrocalha lisa galvanização eletrolitica dim 200 x 100mm</v>
          </cell>
          <cell r="C120" t="str">
            <v>pc</v>
          </cell>
          <cell r="D120">
            <v>23.5</v>
          </cell>
          <cell r="E120">
            <v>1.1000000000000001</v>
          </cell>
        </row>
        <row r="121">
          <cell r="A121">
            <v>77</v>
          </cell>
          <cell r="B121" t="str">
            <v>Curva horizontal 90gr R320 com tampa para eletrocalha lisa galvanização eletrolitica dim 400 x 100mm</v>
          </cell>
          <cell r="C121" t="str">
            <v>pc</v>
          </cell>
          <cell r="D121">
            <v>54</v>
          </cell>
          <cell r="E121">
            <v>1.5</v>
          </cell>
        </row>
        <row r="122">
          <cell r="A122">
            <v>78</v>
          </cell>
          <cell r="B122" t="str">
            <v>Curva horizontal 90gr R320 para leito galvanização eletrolítica 1000 x 100mm</v>
          </cell>
          <cell r="C122" t="str">
            <v>pc</v>
          </cell>
          <cell r="D122">
            <v>62</v>
          </cell>
          <cell r="E122">
            <v>3.2</v>
          </cell>
        </row>
        <row r="123">
          <cell r="A123">
            <v>79</v>
          </cell>
          <cell r="B123" t="str">
            <v>Curva vertical 90gr R320 para leito galvanização eletrolítica 1000 x 100mm</v>
          </cell>
          <cell r="C123" t="str">
            <v>pc</v>
          </cell>
          <cell r="D123">
            <v>64.3</v>
          </cell>
          <cell r="E123">
            <v>3.2</v>
          </cell>
        </row>
        <row r="124">
          <cell r="A124">
            <v>80</v>
          </cell>
          <cell r="B124" t="str">
            <v>Curva vertical interna 90gr R320 para eletrocalha lisa galvanização eletrolitica dim 200 x 100mm</v>
          </cell>
          <cell r="C124" t="str">
            <v>pc</v>
          </cell>
          <cell r="D124">
            <v>27.89</v>
          </cell>
          <cell r="E124">
            <v>1.1000000000000001</v>
          </cell>
        </row>
        <row r="125">
          <cell r="A125">
            <v>81</v>
          </cell>
          <cell r="B125" t="str">
            <v>Curva vertical interna 90gr R320 para eletrocalha lisa galvanização eletrolitica dim 400 x 100mm</v>
          </cell>
          <cell r="C125" t="str">
            <v>pc</v>
          </cell>
          <cell r="D125">
            <v>58</v>
          </cell>
          <cell r="E125">
            <v>1.5</v>
          </cell>
        </row>
        <row r="126">
          <cell r="A126">
            <v>82</v>
          </cell>
          <cell r="B126" t="str">
            <v>Derivacao lateral de perfilado galvanização eletrolítica para eletroduto Ø 1"</v>
          </cell>
          <cell r="C126" t="str">
            <v>pc</v>
          </cell>
          <cell r="D126">
            <v>1.76</v>
          </cell>
          <cell r="E126">
            <v>0.25</v>
          </cell>
        </row>
        <row r="127">
          <cell r="A127">
            <v>83</v>
          </cell>
          <cell r="B127" t="str">
            <v>Derivacao lateral de perfilado galvanização eletrolítica para eletroduto Ø 4"</v>
          </cell>
          <cell r="C127" t="str">
            <v>pc</v>
          </cell>
          <cell r="D127">
            <v>9.7799999999999994</v>
          </cell>
          <cell r="E127">
            <v>0.4</v>
          </cell>
        </row>
        <row r="128">
          <cell r="A128">
            <v>84</v>
          </cell>
          <cell r="B128" t="str">
            <v>Derivacao lateral de perfilado para eletroduto galvanização eletrolítica Ø 3/4"</v>
          </cell>
          <cell r="C128" t="str">
            <v>pc</v>
          </cell>
          <cell r="D128">
            <v>1.6</v>
          </cell>
          <cell r="E128">
            <v>0.25</v>
          </cell>
        </row>
        <row r="129">
          <cell r="A129">
            <v>85</v>
          </cell>
          <cell r="B129" t="str">
            <v>Detector de fumaça com base</v>
          </cell>
          <cell r="C129" t="str">
            <v>pç</v>
          </cell>
          <cell r="D129">
            <v>0</v>
          </cell>
          <cell r="E129">
            <v>1</v>
          </cell>
        </row>
        <row r="130">
          <cell r="A130">
            <v>86</v>
          </cell>
          <cell r="B130" t="str">
            <v>Detector termovelocimétrico com base (excluso, existente)</v>
          </cell>
          <cell r="C130" t="str">
            <v>pç</v>
          </cell>
          <cell r="D130">
            <v>0</v>
          </cell>
        </row>
        <row r="131">
          <cell r="A131">
            <v>87</v>
          </cell>
          <cell r="B131" t="str">
            <v>Eletrocalha lisa com tampa de encaixe em chapa de aco  galvanizacao eletrolitica dim 200 x 100mm</v>
          </cell>
          <cell r="C131" t="str">
            <v>m</v>
          </cell>
          <cell r="D131">
            <v>17.670000000000002</v>
          </cell>
          <cell r="E131">
            <v>1.1000000000000001</v>
          </cell>
        </row>
        <row r="132">
          <cell r="A132">
            <v>88</v>
          </cell>
          <cell r="B132" t="str">
            <v>Eletrocalha lisa com tampa de encaixe em chapa de aco  galvanizacao eletrolitica dim 400 x 100mm</v>
          </cell>
          <cell r="C132" t="str">
            <v>m</v>
          </cell>
          <cell r="D132">
            <v>38</v>
          </cell>
          <cell r="E132">
            <v>1.5</v>
          </cell>
        </row>
        <row r="133">
          <cell r="A133">
            <v>89</v>
          </cell>
          <cell r="B133" t="str">
            <v xml:space="preserve">Eletroduto de ferro galvanização a fogo tipo pesado, extremidades roscadas, com uma luva Ø 3" </v>
          </cell>
          <cell r="C133" t="str">
            <v>m</v>
          </cell>
          <cell r="D133">
            <v>29.3</v>
          </cell>
          <cell r="E133">
            <v>1.2</v>
          </cell>
        </row>
        <row r="134">
          <cell r="A134">
            <v>90</v>
          </cell>
          <cell r="B134" t="str">
            <v xml:space="preserve">Eletroduto de ferro galvanização eletrolítica tipo pesado, extremidades roscadas, com uma luva Ø 1 1/2" </v>
          </cell>
          <cell r="C134" t="str">
            <v>m</v>
          </cell>
          <cell r="D134">
            <v>7</v>
          </cell>
          <cell r="E134">
            <v>0.8</v>
          </cell>
        </row>
        <row r="135">
          <cell r="A135">
            <v>91</v>
          </cell>
          <cell r="B135" t="str">
            <v xml:space="preserve">Eletroduto de ferro galvanização eletrolítica tipo pesado, extremidades roscadas, com uma luva Ø 1" </v>
          </cell>
          <cell r="C135" t="str">
            <v>m</v>
          </cell>
          <cell r="D135">
            <v>4.9800000000000004</v>
          </cell>
          <cell r="E135">
            <v>0.6</v>
          </cell>
        </row>
        <row r="136">
          <cell r="A136">
            <v>92</v>
          </cell>
          <cell r="B136" t="str">
            <v xml:space="preserve">Eletroduto de ferro galvanização eletrolítica tipo pesado, extremidades roscadas, com uma luva Ø 2 1/2" </v>
          </cell>
          <cell r="C136" t="str">
            <v>m</v>
          </cell>
          <cell r="D136">
            <v>24</v>
          </cell>
          <cell r="E136">
            <v>1</v>
          </cell>
        </row>
        <row r="137">
          <cell r="A137">
            <v>93</v>
          </cell>
          <cell r="B137" t="str">
            <v xml:space="preserve">Eletroduto de ferro galvanização eletrolítica tipo pesado, extremidades roscadas, com uma luva Ø 2" </v>
          </cell>
          <cell r="C137" t="str">
            <v>m</v>
          </cell>
          <cell r="D137">
            <v>8.9</v>
          </cell>
          <cell r="E137">
            <v>0.7</v>
          </cell>
        </row>
        <row r="138">
          <cell r="A138">
            <v>94</v>
          </cell>
          <cell r="B138" t="str">
            <v xml:space="preserve">Eletroduto de ferro galvanização eletrolítica tipo pesado, extremidades roscadas, com uma luva Ø 3/4" </v>
          </cell>
          <cell r="C138" t="str">
            <v>m</v>
          </cell>
          <cell r="D138">
            <v>3.9</v>
          </cell>
          <cell r="E138">
            <v>0.5</v>
          </cell>
        </row>
        <row r="139">
          <cell r="A139">
            <v>95</v>
          </cell>
          <cell r="B139" t="str">
            <v xml:space="preserve">Eletroduto de ferro galvanização eletrolítica tipo pesado, extremidades roscadas, com uma luva Ø 4" </v>
          </cell>
          <cell r="C139" t="str">
            <v>m</v>
          </cell>
          <cell r="D139">
            <v>26.9</v>
          </cell>
          <cell r="E139">
            <v>1.5</v>
          </cell>
        </row>
        <row r="140">
          <cell r="A140">
            <v>96</v>
          </cell>
          <cell r="B140" t="str">
            <v>Engenharia e projeto do sistema de deteção de alarme de incêndio - Etapa 1</v>
          </cell>
          <cell r="C140" t="str">
            <v>h</v>
          </cell>
          <cell r="D140">
            <v>0</v>
          </cell>
          <cell r="E140">
            <v>50</v>
          </cell>
        </row>
        <row r="141">
          <cell r="A141">
            <v>97</v>
          </cell>
          <cell r="B141" t="str">
            <v>Engenharia e projeto do sistema de deteção de alarme de incêndio - Etapa 2</v>
          </cell>
          <cell r="C141" t="str">
            <v>h</v>
          </cell>
          <cell r="D141">
            <v>0</v>
          </cell>
          <cell r="E141">
            <v>120</v>
          </cell>
        </row>
        <row r="142">
          <cell r="A142">
            <v>98</v>
          </cell>
          <cell r="B142" t="str">
            <v>Flange de eletrocalha lisa para painel galvanização eletrolitica dim 200 x 100mm</v>
          </cell>
          <cell r="C142" t="str">
            <v>pc</v>
          </cell>
          <cell r="D142">
            <v>4.5599999999999996</v>
          </cell>
          <cell r="E142">
            <v>0.4</v>
          </cell>
        </row>
        <row r="143">
          <cell r="A143">
            <v>99</v>
          </cell>
          <cell r="B143" t="str">
            <v>Flange de eletrocalha lisa para painel galvanização eletrolitica dim 400 x 100mm</v>
          </cell>
          <cell r="C143" t="str">
            <v>pc</v>
          </cell>
          <cell r="D143">
            <v>9</v>
          </cell>
          <cell r="E143">
            <v>0.4</v>
          </cell>
        </row>
        <row r="144">
          <cell r="A144">
            <v>100</v>
          </cell>
          <cell r="B144" t="str">
            <v>Fornecimento e instalacao do novo painel PMT-1 conf. diagrama unifilar no desenho 1039U001 - rev. e</v>
          </cell>
          <cell r="C144" t="str">
            <v>un.</v>
          </cell>
          <cell r="D144">
            <v>0</v>
          </cell>
          <cell r="E144">
            <v>80</v>
          </cell>
        </row>
        <row r="145">
          <cell r="A145">
            <v>101</v>
          </cell>
          <cell r="B145" t="str">
            <v>Fornecimento e instalacao do novo painel QGBT-1 conf. diagrama unifilar no desenho 1039U001 - rev. e</v>
          </cell>
          <cell r="C145" t="str">
            <v>un.</v>
          </cell>
          <cell r="D145">
            <v>0</v>
          </cell>
          <cell r="E145">
            <v>240</v>
          </cell>
        </row>
        <row r="146">
          <cell r="A146">
            <v>102</v>
          </cell>
          <cell r="B146" t="str">
            <v>Fornecimento e instalacao do novo painel QGBT-3 conf. diagrama unifilar no desenho 1039U001 - rev. e</v>
          </cell>
          <cell r="C146" t="str">
            <v>un.</v>
          </cell>
          <cell r="D146">
            <v>0</v>
          </cell>
          <cell r="E146">
            <v>210</v>
          </cell>
        </row>
        <row r="147">
          <cell r="A147">
            <v>103</v>
          </cell>
          <cell r="B147" t="str">
            <v>Grampo tipo crosby para cabo de aco</v>
          </cell>
          <cell r="C147" t="str">
            <v>pc</v>
          </cell>
          <cell r="D147">
            <v>1.2</v>
          </cell>
          <cell r="E147">
            <v>0.1</v>
          </cell>
        </row>
        <row r="148">
          <cell r="A148">
            <v>104</v>
          </cell>
          <cell r="B148" t="str">
            <v>Junção rápida para perfilado perfurado galvanização eletrolitica dim 38 x 38mm</v>
          </cell>
          <cell r="C148" t="str">
            <v>pc</v>
          </cell>
          <cell r="D148">
            <v>2.2999999999999998</v>
          </cell>
          <cell r="E148">
            <v>0.25</v>
          </cell>
        </row>
        <row r="149">
          <cell r="A149">
            <v>105</v>
          </cell>
          <cell r="B149" t="str">
            <v>Juncao simples para leito galvanização eletrolítica aba 100mm</v>
          </cell>
          <cell r="C149" t="str">
            <v>pc</v>
          </cell>
          <cell r="D149">
            <v>4.2</v>
          </cell>
          <cell r="E149">
            <v>0.25</v>
          </cell>
        </row>
        <row r="150">
          <cell r="A150">
            <v>106</v>
          </cell>
          <cell r="B150" t="str">
            <v>Leito para cabos aba externa galvanização eletrolítica tipo pesado dim 1000 x 100mm</v>
          </cell>
          <cell r="C150" t="str">
            <v>m</v>
          </cell>
          <cell r="D150">
            <v>43</v>
          </cell>
          <cell r="E150">
            <v>3.2</v>
          </cell>
        </row>
        <row r="151">
          <cell r="A151">
            <v>107</v>
          </cell>
          <cell r="B151" t="str">
            <v>Luminária em aluminio fundido para embutir em parede 100 W mod. AY-31 da Alpha</v>
          </cell>
          <cell r="C151" t="str">
            <v>pc</v>
          </cell>
          <cell r="D151">
            <v>0</v>
          </cell>
          <cell r="E151">
            <v>1.8</v>
          </cell>
        </row>
        <row r="152">
          <cell r="A152">
            <v>108</v>
          </cell>
          <cell r="B152" t="str">
            <v>Luminária tipo sobrepor de 2 x 32W mod. PLC 382 da Intelligence</v>
          </cell>
          <cell r="C152" t="str">
            <v>pc</v>
          </cell>
          <cell r="D152">
            <v>0</v>
          </cell>
          <cell r="E152">
            <v>1.3</v>
          </cell>
        </row>
        <row r="153">
          <cell r="A153">
            <v>109</v>
          </cell>
          <cell r="B153" t="str">
            <v>Luva de ferro galvanização a fogo para eletroduto Ø 3"</v>
          </cell>
          <cell r="C153" t="str">
            <v>pc</v>
          </cell>
          <cell r="D153">
            <v>6.2</v>
          </cell>
          <cell r="E153">
            <v>0.25</v>
          </cell>
        </row>
        <row r="154">
          <cell r="A154">
            <v>110</v>
          </cell>
          <cell r="B154" t="str">
            <v>Luva de ferro galvanização eletrolítica para eletroduto Ø 1"</v>
          </cell>
          <cell r="C154" t="str">
            <v>pc</v>
          </cell>
          <cell r="D154">
            <v>0.66</v>
          </cell>
          <cell r="E154">
            <v>0.1</v>
          </cell>
        </row>
        <row r="155">
          <cell r="A155">
            <v>111</v>
          </cell>
          <cell r="B155" t="str">
            <v>Luva de ferro galvanização eletrolítica para eletroduto Ø 2 1/2"</v>
          </cell>
          <cell r="C155" t="str">
            <v>pc</v>
          </cell>
          <cell r="D155">
            <v>4.5999999999999996</v>
          </cell>
          <cell r="E155">
            <v>0.22</v>
          </cell>
        </row>
        <row r="156">
          <cell r="A156">
            <v>112</v>
          </cell>
          <cell r="B156" t="str">
            <v>Luva de ferro galvanização eletrolítica para eletroduto Ø 2"</v>
          </cell>
          <cell r="C156" t="str">
            <v>pc</v>
          </cell>
          <cell r="D156">
            <v>2.1</v>
          </cell>
          <cell r="E156">
            <v>0.18</v>
          </cell>
        </row>
        <row r="157">
          <cell r="A157">
            <v>113</v>
          </cell>
          <cell r="B157" t="str">
            <v>Luva de ferro galvanização eletrolítica para eletroduto Ø 3/4"</v>
          </cell>
          <cell r="C157" t="str">
            <v>pc</v>
          </cell>
          <cell r="D157">
            <v>0.49</v>
          </cell>
          <cell r="E157">
            <v>0.09</v>
          </cell>
        </row>
        <row r="158">
          <cell r="A158">
            <v>114</v>
          </cell>
          <cell r="B158" t="str">
            <v>Luva de ferro galvanização eletrolítica para eletroduto Ø 4"</v>
          </cell>
          <cell r="C158" t="str">
            <v>pc</v>
          </cell>
          <cell r="D158">
            <v>7</v>
          </cell>
          <cell r="E158">
            <v>0.6</v>
          </cell>
        </row>
        <row r="159">
          <cell r="A159">
            <v>115</v>
          </cell>
          <cell r="B159" t="str">
            <v>Luz de Obstaculo</v>
          </cell>
          <cell r="C159" t="str">
            <v>pc</v>
          </cell>
          <cell r="D159">
            <v>85</v>
          </cell>
          <cell r="E159">
            <v>3</v>
          </cell>
        </row>
        <row r="160">
          <cell r="A160">
            <v>116</v>
          </cell>
          <cell r="B160" t="str">
            <v>Mastro em aco galvanizado para para-raio Ø 2" x 5,30m</v>
          </cell>
          <cell r="C160" t="str">
            <v>pc</v>
          </cell>
          <cell r="D160">
            <v>111.9</v>
          </cell>
          <cell r="E160">
            <v>15</v>
          </cell>
        </row>
        <row r="161">
          <cell r="A161">
            <v>117</v>
          </cell>
          <cell r="B161" t="str">
            <v>Mufla terminal uso interno para cabo # 35 mm2</v>
          </cell>
          <cell r="C161" t="str">
            <v>pc</v>
          </cell>
          <cell r="D161">
            <v>235</v>
          </cell>
          <cell r="E161">
            <v>5</v>
          </cell>
        </row>
        <row r="162">
          <cell r="A162">
            <v>118</v>
          </cell>
          <cell r="B162" t="str">
            <v>Parafuso cabeça lentilha auto-travante galvanização eletrolítica Ø 1/4" x 3/4"</v>
          </cell>
          <cell r="C162" t="str">
            <v>pc</v>
          </cell>
          <cell r="D162">
            <v>0.08</v>
          </cell>
          <cell r="E162">
            <v>0.1</v>
          </cell>
        </row>
        <row r="163">
          <cell r="A163">
            <v>119</v>
          </cell>
          <cell r="B163" t="str">
            <v>Parafuso cabeca sextavada galvanização eletrolítica Ø 3/8" x 1.1/4"</v>
          </cell>
          <cell r="C163" t="str">
            <v>pc</v>
          </cell>
          <cell r="D163">
            <v>0.21</v>
          </cell>
          <cell r="E163">
            <v>0.1</v>
          </cell>
        </row>
        <row r="164">
          <cell r="A164">
            <v>120</v>
          </cell>
          <cell r="B164" t="str">
            <v>Para-raio tipo Franklin em latao cromado 1 descida h=315mm</v>
          </cell>
          <cell r="C164" t="str">
            <v>pc</v>
          </cell>
          <cell r="D164">
            <v>24</v>
          </cell>
          <cell r="E164">
            <v>15</v>
          </cell>
        </row>
        <row r="165">
          <cell r="A165">
            <v>121</v>
          </cell>
          <cell r="B165" t="str">
            <v>Perfilado perfurado galvanização eletrolitica dim 38 x 38mm</v>
          </cell>
          <cell r="C165" t="str">
            <v>m</v>
          </cell>
          <cell r="D165">
            <v>5.46</v>
          </cell>
          <cell r="E165">
            <v>0.4</v>
          </cell>
        </row>
        <row r="166">
          <cell r="A166">
            <v>122</v>
          </cell>
          <cell r="B166" t="str">
            <v>Plugue 2P + T 15A/250V</v>
          </cell>
          <cell r="C166" t="str">
            <v>pc</v>
          </cell>
          <cell r="D166">
            <v>4.8899999999999997</v>
          </cell>
          <cell r="E166">
            <v>0.25</v>
          </cell>
        </row>
        <row r="167">
          <cell r="A167">
            <v>123</v>
          </cell>
          <cell r="B167" t="str">
            <v>Porca losangular com pino  galvanização eletrolitica Ø 1/4"</v>
          </cell>
          <cell r="C167" t="str">
            <v>pc</v>
          </cell>
          <cell r="D167">
            <v>0.38</v>
          </cell>
          <cell r="E167">
            <v>0.15</v>
          </cell>
        </row>
        <row r="168">
          <cell r="A168">
            <v>124</v>
          </cell>
          <cell r="B168" t="str">
            <v>Porca sextavada galvanização eletrolitica Ø 1/4"</v>
          </cell>
          <cell r="C168" t="str">
            <v>pc</v>
          </cell>
          <cell r="D168">
            <v>0.06</v>
          </cell>
          <cell r="E168">
            <v>0.01</v>
          </cell>
        </row>
        <row r="169">
          <cell r="A169">
            <v>125</v>
          </cell>
          <cell r="B169" t="str">
            <v>Porca sextavada galvanização eletrolitica Ø 3/8"</v>
          </cell>
          <cell r="C169" t="str">
            <v>pc</v>
          </cell>
          <cell r="D169">
            <v>0.12</v>
          </cell>
          <cell r="E169">
            <v>0.01</v>
          </cell>
        </row>
        <row r="170">
          <cell r="A170">
            <v>126</v>
          </cell>
          <cell r="B170" t="str">
            <v>Presilha guia para leito galvanização eletrolítica</v>
          </cell>
          <cell r="C170" t="str">
            <v>pc</v>
          </cell>
          <cell r="D170">
            <v>0.96</v>
          </cell>
          <cell r="E170">
            <v>0.25</v>
          </cell>
        </row>
        <row r="171">
          <cell r="A171">
            <v>127</v>
          </cell>
          <cell r="B171" t="str">
            <v>Projetor com lampada Vapor de Sodio 250 W mod. Alpha</v>
          </cell>
          <cell r="C171" t="str">
            <v>pc</v>
          </cell>
          <cell r="D171">
            <v>0</v>
          </cell>
          <cell r="E171">
            <v>3</v>
          </cell>
        </row>
        <row r="172">
          <cell r="A172">
            <v>128</v>
          </cell>
          <cell r="B172" t="str">
            <v>QDAC-10</v>
          </cell>
          <cell r="C172" t="str">
            <v>un</v>
          </cell>
          <cell r="D172">
            <v>0</v>
          </cell>
          <cell r="E172">
            <v>36</v>
          </cell>
        </row>
        <row r="173">
          <cell r="A173">
            <v>129</v>
          </cell>
          <cell r="B173" t="str">
            <v>QDAC-2</v>
          </cell>
          <cell r="C173" t="str">
            <v>un</v>
          </cell>
          <cell r="D173">
            <v>0</v>
          </cell>
          <cell r="E173">
            <v>24</v>
          </cell>
        </row>
        <row r="174">
          <cell r="A174">
            <v>130</v>
          </cell>
          <cell r="B174" t="str">
            <v>QDAC-3 ao 9</v>
          </cell>
          <cell r="C174" t="str">
            <v>un</v>
          </cell>
          <cell r="D174">
            <v>0</v>
          </cell>
          <cell r="E174">
            <v>36</v>
          </cell>
        </row>
        <row r="175">
          <cell r="A175">
            <v>131</v>
          </cell>
          <cell r="B175" t="str">
            <v>QD-GEL/ILUMIN. EMERG.</v>
          </cell>
          <cell r="C175" t="str">
            <v>un</v>
          </cell>
          <cell r="D175">
            <v>0</v>
          </cell>
          <cell r="E175">
            <v>16</v>
          </cell>
        </row>
        <row r="176">
          <cell r="A176">
            <v>132</v>
          </cell>
          <cell r="B176" t="str">
            <v>QF-1</v>
          </cell>
          <cell r="C176" t="str">
            <v>un</v>
          </cell>
          <cell r="D176">
            <v>0</v>
          </cell>
          <cell r="E176">
            <v>32</v>
          </cell>
        </row>
        <row r="177">
          <cell r="A177">
            <v>133</v>
          </cell>
          <cell r="B177" t="str">
            <v>QF-2</v>
          </cell>
          <cell r="C177" t="str">
            <v>un</v>
          </cell>
          <cell r="D177">
            <v>0</v>
          </cell>
          <cell r="E177">
            <v>12</v>
          </cell>
        </row>
        <row r="178">
          <cell r="A178">
            <v>134</v>
          </cell>
          <cell r="B178" t="str">
            <v>QLT-1 SS</v>
          </cell>
          <cell r="C178" t="str">
            <v>un</v>
          </cell>
          <cell r="D178">
            <v>0</v>
          </cell>
          <cell r="E178">
            <v>16</v>
          </cell>
        </row>
        <row r="179">
          <cell r="A179">
            <v>135</v>
          </cell>
          <cell r="B179" t="str">
            <v>QLT-10</v>
          </cell>
          <cell r="C179" t="str">
            <v>un</v>
          </cell>
          <cell r="D179">
            <v>0</v>
          </cell>
          <cell r="E179">
            <v>48</v>
          </cell>
        </row>
        <row r="180">
          <cell r="A180">
            <v>136</v>
          </cell>
          <cell r="B180" t="str">
            <v xml:space="preserve">QLT-2 </v>
          </cell>
          <cell r="C180" t="str">
            <v>un</v>
          </cell>
          <cell r="D180">
            <v>0</v>
          </cell>
          <cell r="E180">
            <v>36</v>
          </cell>
        </row>
        <row r="181">
          <cell r="A181">
            <v>137</v>
          </cell>
          <cell r="B181" t="str">
            <v>QLT-2 SS</v>
          </cell>
          <cell r="C181" t="str">
            <v>un</v>
          </cell>
          <cell r="D181">
            <v>0</v>
          </cell>
          <cell r="E181">
            <v>16</v>
          </cell>
        </row>
        <row r="182">
          <cell r="A182">
            <v>138</v>
          </cell>
          <cell r="B182" t="str">
            <v>QLT-3</v>
          </cell>
          <cell r="C182" t="str">
            <v>un</v>
          </cell>
          <cell r="D182">
            <v>0</v>
          </cell>
          <cell r="E182">
            <v>24</v>
          </cell>
        </row>
        <row r="183">
          <cell r="A183">
            <v>139</v>
          </cell>
          <cell r="B183" t="str">
            <v>QLT-4</v>
          </cell>
          <cell r="C183" t="str">
            <v>un</v>
          </cell>
          <cell r="D183">
            <v>0</v>
          </cell>
          <cell r="E183">
            <v>24</v>
          </cell>
        </row>
        <row r="184">
          <cell r="A184">
            <v>140</v>
          </cell>
          <cell r="B184" t="str">
            <v>QLT-5</v>
          </cell>
          <cell r="C184" t="str">
            <v>un</v>
          </cell>
          <cell r="D184">
            <v>0</v>
          </cell>
          <cell r="E184">
            <v>24</v>
          </cell>
        </row>
        <row r="185">
          <cell r="A185">
            <v>141</v>
          </cell>
          <cell r="B185" t="str">
            <v>QLT-6</v>
          </cell>
          <cell r="C185" t="str">
            <v>un</v>
          </cell>
          <cell r="D185">
            <v>0</v>
          </cell>
          <cell r="E185">
            <v>24</v>
          </cell>
        </row>
        <row r="186">
          <cell r="A186">
            <v>142</v>
          </cell>
          <cell r="B186" t="str">
            <v>QLT-7</v>
          </cell>
          <cell r="C186" t="str">
            <v>un</v>
          </cell>
          <cell r="D186">
            <v>0</v>
          </cell>
          <cell r="E186">
            <v>24</v>
          </cell>
        </row>
        <row r="187">
          <cell r="A187">
            <v>143</v>
          </cell>
          <cell r="B187" t="str">
            <v>QLT-8</v>
          </cell>
          <cell r="C187" t="str">
            <v>un</v>
          </cell>
          <cell r="D187">
            <v>0</v>
          </cell>
          <cell r="E187">
            <v>24</v>
          </cell>
        </row>
        <row r="188">
          <cell r="A188">
            <v>144</v>
          </cell>
          <cell r="B188" t="str">
            <v>QLT-9</v>
          </cell>
          <cell r="C188" t="str">
            <v>un</v>
          </cell>
          <cell r="D188">
            <v>0</v>
          </cell>
          <cell r="E188">
            <v>24</v>
          </cell>
        </row>
        <row r="189">
          <cell r="A189">
            <v>145</v>
          </cell>
          <cell r="B189" t="str">
            <v>QLT-COBERTURA</v>
          </cell>
          <cell r="C189" t="str">
            <v>un</v>
          </cell>
          <cell r="D189">
            <v>0</v>
          </cell>
          <cell r="E189">
            <v>24</v>
          </cell>
        </row>
        <row r="190">
          <cell r="A190">
            <v>146</v>
          </cell>
          <cell r="B190" t="str">
            <v>QLT-T</v>
          </cell>
          <cell r="C190" t="str">
            <v>un</v>
          </cell>
          <cell r="D190">
            <v>0</v>
          </cell>
          <cell r="E190">
            <v>21</v>
          </cell>
        </row>
        <row r="191">
          <cell r="A191">
            <v>147</v>
          </cell>
          <cell r="B191" t="str">
            <v>QLT-TEATRO</v>
          </cell>
          <cell r="C191" t="str">
            <v>un</v>
          </cell>
          <cell r="D191">
            <v>0</v>
          </cell>
          <cell r="E191">
            <v>36</v>
          </cell>
        </row>
        <row r="192">
          <cell r="A192">
            <v>148</v>
          </cell>
          <cell r="B192" t="str">
            <v>QTA-1 - 2 SUB-SOLO</v>
          </cell>
          <cell r="C192" t="str">
            <v>un</v>
          </cell>
          <cell r="D192">
            <v>0</v>
          </cell>
          <cell r="E192">
            <v>80</v>
          </cell>
        </row>
        <row r="193">
          <cell r="A193">
            <v>149</v>
          </cell>
          <cell r="B193" t="str">
            <v>Quadro de telefone de sobrepor chapa de aço padrao telebrás dim 40 x 40 x 10cm</v>
          </cell>
          <cell r="C193" t="str">
            <v>pc</v>
          </cell>
          <cell r="D193">
            <v>76</v>
          </cell>
          <cell r="E193">
            <v>4</v>
          </cell>
        </row>
        <row r="194">
          <cell r="A194">
            <v>150</v>
          </cell>
          <cell r="B194" t="str">
            <v>Quadro de telefone de sobrepor chapa de aço padrao telebrás dim 60 x 60 x 15cm</v>
          </cell>
          <cell r="C194" t="str">
            <v>pc</v>
          </cell>
          <cell r="D194">
            <v>139</v>
          </cell>
          <cell r="E194">
            <v>6</v>
          </cell>
        </row>
        <row r="195">
          <cell r="A195">
            <v>151</v>
          </cell>
          <cell r="B195" t="str">
            <v>Repetidora para sistema de alarme (excluso, existente)</v>
          </cell>
          <cell r="C195" t="str">
            <v>cj</v>
          </cell>
          <cell r="D195">
            <v>0</v>
          </cell>
        </row>
        <row r="196">
          <cell r="A196">
            <v>152</v>
          </cell>
          <cell r="B196" t="str">
            <v>Saida final de perfilado para eletroduto galvanização eletrolitica Ø 3/4"</v>
          </cell>
          <cell r="C196" t="str">
            <v>pc</v>
          </cell>
          <cell r="D196">
            <v>1.64</v>
          </cell>
          <cell r="E196">
            <v>0.25</v>
          </cell>
        </row>
        <row r="197">
          <cell r="A197">
            <v>153</v>
          </cell>
          <cell r="B197" t="str">
            <v>Saida horizontal de perfilado dim 38 x 38mm para eletroduto galvanização eletrolítica Ø 1"</v>
          </cell>
          <cell r="C197" t="str">
            <v>pc</v>
          </cell>
          <cell r="D197">
            <v>1.63</v>
          </cell>
          <cell r="E197">
            <v>0.25</v>
          </cell>
        </row>
        <row r="198">
          <cell r="A198">
            <v>154</v>
          </cell>
          <cell r="B198" t="str">
            <v>Sapatilha para cordoalha Ø 3/8"</v>
          </cell>
          <cell r="C198" t="str">
            <v>pc</v>
          </cell>
          <cell r="D198">
            <v>1.2</v>
          </cell>
          <cell r="E198">
            <v>0.1</v>
          </cell>
        </row>
        <row r="199">
          <cell r="A199">
            <v>155</v>
          </cell>
          <cell r="B199" t="str">
            <v>Sensor de presenca mod. 64 245 da Pial instalado em Condulete em aluminio fundido duplo rosca BSP tipo E Ø 3/4"</v>
          </cell>
          <cell r="C199" t="str">
            <v>cj</v>
          </cell>
          <cell r="D199">
            <v>296</v>
          </cell>
          <cell r="E199">
            <v>0.6</v>
          </cell>
        </row>
        <row r="200">
          <cell r="A200">
            <v>156</v>
          </cell>
          <cell r="B200" t="str">
            <v>Suporte para Luminária em perfilado galvanizado eletrolitico</v>
          </cell>
          <cell r="C200" t="str">
            <v>pc</v>
          </cell>
          <cell r="D200">
            <v>0</v>
          </cell>
          <cell r="E200">
            <v>0.25</v>
          </cell>
        </row>
        <row r="201">
          <cell r="A201">
            <v>157</v>
          </cell>
          <cell r="B201" t="str">
            <v>Suporte para perfilado galvanizado eletrolitico</v>
          </cell>
          <cell r="C201" t="str">
            <v>pc</v>
          </cell>
          <cell r="D201">
            <v>0</v>
          </cell>
          <cell r="E201">
            <v>0.25</v>
          </cell>
        </row>
        <row r="202">
          <cell r="A202">
            <v>158</v>
          </cell>
          <cell r="B202" t="str">
            <v>Suporte reforcado com roldana para chumbar galvanização a fogo</v>
          </cell>
          <cell r="C202" t="str">
            <v>pc</v>
          </cell>
          <cell r="D202">
            <v>0</v>
          </cell>
          <cell r="E202">
            <v>0.8</v>
          </cell>
        </row>
        <row r="203">
          <cell r="A203">
            <v>159</v>
          </cell>
          <cell r="B203" t="str">
            <v>Suporte simples com roldana para chumbar galvanização a fogo</v>
          </cell>
          <cell r="C203" t="str">
            <v>pc</v>
          </cell>
          <cell r="D203">
            <v>0</v>
          </cell>
          <cell r="E203">
            <v>0.6</v>
          </cell>
        </row>
        <row r="204">
          <cell r="A204">
            <v>160</v>
          </cell>
          <cell r="B204" t="str">
            <v>Tala reforcada para eletrocalha lisa galvanização eletrolitica de 100 x 100mm</v>
          </cell>
          <cell r="C204" t="str">
            <v>pc</v>
          </cell>
          <cell r="D204">
            <v>1.78</v>
          </cell>
          <cell r="E204">
            <v>0.15</v>
          </cell>
        </row>
        <row r="205">
          <cell r="A205">
            <v>161</v>
          </cell>
          <cell r="B205" t="str">
            <v>Tala reforcada para eletrocalha lisa galvanização eletrolitica de 200 x100mm</v>
          </cell>
          <cell r="C205" t="str">
            <v>pc</v>
          </cell>
          <cell r="D205">
            <v>3.89</v>
          </cell>
          <cell r="E205">
            <v>0.15</v>
          </cell>
        </row>
        <row r="206">
          <cell r="A206">
            <v>162</v>
          </cell>
          <cell r="B206" t="str">
            <v>Tala reforcada para eletrocalha lisa galvanização eletrolitica de 400 x 100mm</v>
          </cell>
          <cell r="C206" t="str">
            <v>pc</v>
          </cell>
          <cell r="D206">
            <v>4.55</v>
          </cell>
          <cell r="E206">
            <v>0.15</v>
          </cell>
        </row>
        <row r="207">
          <cell r="A207">
            <v>163</v>
          </cell>
          <cell r="B207" t="str">
            <v>Te reto 90gr R320 para eletrocalha lisa galvanização eletrolitica dim 200 x 200mm</v>
          </cell>
          <cell r="C207" t="str">
            <v>pc</v>
          </cell>
          <cell r="D207">
            <v>26</v>
          </cell>
          <cell r="E207">
            <v>1.4</v>
          </cell>
        </row>
        <row r="208">
          <cell r="A208">
            <v>164</v>
          </cell>
          <cell r="B208" t="str">
            <v>Te vertical de descida 90gr R320 para eletrocalha galvanização eletrolitica dim 400 x100mm</v>
          </cell>
          <cell r="C208" t="str">
            <v>pc</v>
          </cell>
          <cell r="D208">
            <v>58</v>
          </cell>
          <cell r="E208">
            <v>1.5</v>
          </cell>
        </row>
        <row r="209">
          <cell r="A209">
            <v>165</v>
          </cell>
          <cell r="B209" t="str">
            <v>Terminal aereo em aco com base de 3/8" x 450 mm</v>
          </cell>
          <cell r="C209" t="str">
            <v>pc</v>
          </cell>
          <cell r="D209">
            <v>6.5</v>
          </cell>
          <cell r="E209">
            <v>1.5</v>
          </cell>
        </row>
        <row r="210">
          <cell r="A210">
            <v>166</v>
          </cell>
          <cell r="B210" t="str">
            <v>Terminal de compressão em cobre para cabo # 10,0 mm2</v>
          </cell>
          <cell r="C210" t="str">
            <v>pc</v>
          </cell>
          <cell r="D210">
            <v>0.79</v>
          </cell>
          <cell r="E210">
            <v>0.13</v>
          </cell>
        </row>
        <row r="211">
          <cell r="A211">
            <v>167</v>
          </cell>
          <cell r="B211" t="str">
            <v>Terminal de compressão em cobre para cabo # 16,0 mm2</v>
          </cell>
          <cell r="C211" t="str">
            <v>pc</v>
          </cell>
          <cell r="D211">
            <v>0.8</v>
          </cell>
          <cell r="E211">
            <v>0.14000000000000001</v>
          </cell>
        </row>
        <row r="212">
          <cell r="A212">
            <v>168</v>
          </cell>
          <cell r="B212" t="str">
            <v>Terminal de compressão em cobre para cabo # 25 mm2</v>
          </cell>
          <cell r="C212" t="str">
            <v>pc</v>
          </cell>
          <cell r="D212">
            <v>1.04</v>
          </cell>
          <cell r="E212">
            <v>0.18</v>
          </cell>
        </row>
        <row r="213">
          <cell r="A213">
            <v>169</v>
          </cell>
          <cell r="B213" t="str">
            <v>Terminal de compressão em cobre para cabo # 35 mm2</v>
          </cell>
          <cell r="C213" t="str">
            <v>pc</v>
          </cell>
          <cell r="D213">
            <v>1.1299999999999999</v>
          </cell>
          <cell r="E213">
            <v>0.21</v>
          </cell>
        </row>
        <row r="214">
          <cell r="A214">
            <v>170</v>
          </cell>
          <cell r="B214" t="str">
            <v>Terminal de compressão em cobre para cabo # 4,0 mm2</v>
          </cell>
          <cell r="C214" t="str">
            <v>pc</v>
          </cell>
          <cell r="D214">
            <v>0.7</v>
          </cell>
          <cell r="E214">
            <v>0.1</v>
          </cell>
        </row>
        <row r="215">
          <cell r="A215">
            <v>171</v>
          </cell>
          <cell r="B215" t="str">
            <v>Terminal de compressão em cobre para cabo # 50 mm2</v>
          </cell>
          <cell r="C215" t="str">
            <v>pc</v>
          </cell>
          <cell r="D215">
            <v>2</v>
          </cell>
          <cell r="E215">
            <v>0.24</v>
          </cell>
        </row>
        <row r="216">
          <cell r="A216">
            <v>172</v>
          </cell>
          <cell r="B216" t="str">
            <v>Terminal de compressão em cobre para cabo # 6,0 mm2</v>
          </cell>
          <cell r="C216" t="str">
            <v>pc</v>
          </cell>
          <cell r="D216">
            <v>0.75</v>
          </cell>
          <cell r="E216">
            <v>0.12</v>
          </cell>
        </row>
        <row r="217">
          <cell r="A217">
            <v>173</v>
          </cell>
          <cell r="B217" t="str">
            <v>Terminal de compressão em cobre para cabo # 70 mm2</v>
          </cell>
          <cell r="C217" t="str">
            <v>pc</v>
          </cell>
          <cell r="D217">
            <v>2.4</v>
          </cell>
          <cell r="E217">
            <v>0.26</v>
          </cell>
        </row>
        <row r="218">
          <cell r="A218">
            <v>174</v>
          </cell>
          <cell r="B218" t="str">
            <v>Terminal de compressão em cobre para cabo # 95 mm2</v>
          </cell>
          <cell r="C218" t="str">
            <v>pc</v>
          </cell>
          <cell r="D218">
            <v>2.8</v>
          </cell>
          <cell r="E218">
            <v>0.36</v>
          </cell>
        </row>
        <row r="219">
          <cell r="A219">
            <v>175</v>
          </cell>
          <cell r="B219" t="str">
            <v>Terminal para cabo em cobre dn # 150 mm2</v>
          </cell>
          <cell r="C219" t="str">
            <v>pc</v>
          </cell>
          <cell r="D219">
            <v>5.44</v>
          </cell>
          <cell r="E219">
            <v>0.5</v>
          </cell>
        </row>
        <row r="220">
          <cell r="A220">
            <v>176</v>
          </cell>
          <cell r="B220" t="str">
            <v>Terminal para cabo em cobre dn # 185 mm2</v>
          </cell>
          <cell r="C220" t="str">
            <v>pc</v>
          </cell>
          <cell r="D220">
            <v>6.2</v>
          </cell>
          <cell r="E220">
            <v>0.55000000000000004</v>
          </cell>
        </row>
        <row r="221">
          <cell r="A221">
            <v>177</v>
          </cell>
          <cell r="B221" t="str">
            <v>Terminal para cabo em cobre dn # 70 mm2</v>
          </cell>
          <cell r="C221" t="str">
            <v>pc</v>
          </cell>
          <cell r="D221">
            <v>2.4</v>
          </cell>
          <cell r="E221">
            <v>0.33</v>
          </cell>
        </row>
        <row r="222">
          <cell r="A222">
            <v>178</v>
          </cell>
          <cell r="B222" t="str">
            <v>Terminal para cabo em cobre dn # 95 mm2</v>
          </cell>
          <cell r="C222" t="str">
            <v>pc</v>
          </cell>
          <cell r="D222">
            <v>2.8</v>
          </cell>
          <cell r="E222">
            <v>0.4</v>
          </cell>
        </row>
        <row r="223">
          <cell r="A223">
            <v>179</v>
          </cell>
          <cell r="B223" t="str">
            <v>Terminal para eletrocalha lisa galvanização eletrolitica 100 x 100mm</v>
          </cell>
          <cell r="C223" t="str">
            <v>pc</v>
          </cell>
          <cell r="D223">
            <v>3.3</v>
          </cell>
          <cell r="E223">
            <v>0.15</v>
          </cell>
        </row>
        <row r="224">
          <cell r="A224">
            <v>180</v>
          </cell>
          <cell r="B224" t="str">
            <v>Terminal para leito galvanização eletrolítica dim 1000 x 100mm</v>
          </cell>
          <cell r="C224" t="str">
            <v>pc</v>
          </cell>
          <cell r="D224">
            <v>8.98</v>
          </cell>
          <cell r="E224">
            <v>0.6</v>
          </cell>
        </row>
        <row r="225">
          <cell r="A225">
            <v>181</v>
          </cell>
          <cell r="B225" t="str">
            <v>Transformador TF-1 de 750 kVA 13,2 kV/220-127 V</v>
          </cell>
          <cell r="C225" t="str">
            <v>un.</v>
          </cell>
          <cell r="D225">
            <v>0</v>
          </cell>
          <cell r="E225">
            <v>210</v>
          </cell>
        </row>
        <row r="226">
          <cell r="A226">
            <v>182</v>
          </cell>
          <cell r="B226" t="str">
            <v>Transformador TF-3 de 50 kVA 13,2 kV/380-220 V</v>
          </cell>
          <cell r="C226" t="str">
            <v>un.</v>
          </cell>
          <cell r="D226">
            <v>0</v>
          </cell>
          <cell r="E226">
            <v>100</v>
          </cell>
        </row>
        <row r="227">
          <cell r="A227">
            <v>183</v>
          </cell>
          <cell r="B227" t="str">
            <v>Vergalhão rosca total galvanização eletrolitica Ø 1/4"</v>
          </cell>
          <cell r="C227" t="str">
            <v>m</v>
          </cell>
          <cell r="D227">
            <v>1.57</v>
          </cell>
          <cell r="E227">
            <v>0.2</v>
          </cell>
        </row>
        <row r="228">
          <cell r="A228">
            <v>184</v>
          </cell>
          <cell r="B228" t="str">
            <v>Conjunto de infra-estrutura para o sistema de iluminação de emergência, composto de eletrodutos, cablagem, acessórios e suportes - Etapa 2</v>
          </cell>
          <cell r="C228" t="str">
            <v>vb</v>
          </cell>
          <cell r="D228">
            <v>9000</v>
          </cell>
          <cell r="E228">
            <v>150</v>
          </cell>
        </row>
        <row r="229">
          <cell r="A229">
            <v>185</v>
          </cell>
          <cell r="B229" t="str">
            <v>Luminária mod. PLS 532 da Intelligence com lampada Super 83</v>
          </cell>
          <cell r="C229" t="str">
            <v>pc</v>
          </cell>
          <cell r="D229">
            <v>0</v>
          </cell>
          <cell r="E229">
            <v>1</v>
          </cell>
        </row>
        <row r="230">
          <cell r="A230">
            <v>186</v>
          </cell>
          <cell r="B230" t="str">
            <v>Luminária mod. PLC 382 da Intelligence</v>
          </cell>
          <cell r="C230" t="str">
            <v>pc</v>
          </cell>
          <cell r="D230">
            <v>0</v>
          </cell>
          <cell r="E230">
            <v>1</v>
          </cell>
        </row>
        <row r="231">
          <cell r="A231">
            <v>187</v>
          </cell>
          <cell r="B231" t="str">
            <v>Luminária mod. PLR 201 da Intelligence com lampada AR 70  50 W</v>
          </cell>
          <cell r="C231" t="str">
            <v>pc</v>
          </cell>
          <cell r="D231">
            <v>0</v>
          </cell>
          <cell r="E231">
            <v>1</v>
          </cell>
        </row>
        <row r="232">
          <cell r="A232">
            <v>188</v>
          </cell>
          <cell r="B232" t="str">
            <v>Luminária mod. PLP 225 da Intelligence com lampada PAR 30   75W</v>
          </cell>
          <cell r="C232" t="str">
            <v>pc</v>
          </cell>
          <cell r="D232">
            <v>0</v>
          </cell>
          <cell r="E232">
            <v>1</v>
          </cell>
        </row>
        <row r="233">
          <cell r="A233">
            <v>189</v>
          </cell>
          <cell r="B233" t="str">
            <v>Luminária mod. PNC 211 da Intelligence com lampada FC-D  26W da Osram</v>
          </cell>
          <cell r="C233" t="str">
            <v>pc</v>
          </cell>
          <cell r="D233">
            <v>0</v>
          </cell>
          <cell r="E233">
            <v>1</v>
          </cell>
        </row>
        <row r="234">
          <cell r="A234">
            <v>190</v>
          </cell>
          <cell r="B234" t="str">
            <v>Luminária mod. PLD 210 da Intelligence com lampada DIC 50W da Osram</v>
          </cell>
          <cell r="C234" t="str">
            <v>pc</v>
          </cell>
          <cell r="D234">
            <v>0</v>
          </cell>
          <cell r="E234">
            <v>1</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ORCAMENTO"/>
      <sheetName val="Materiais (25)"/>
      <sheetName val="Materiais (24)"/>
      <sheetName val="Materiais (23)"/>
      <sheetName val="Materiais (22)"/>
      <sheetName val="Materiais (21)"/>
      <sheetName val="Materiais (20)"/>
      <sheetName val="Materiais (19)"/>
      <sheetName val="Materiais (18)"/>
      <sheetName val="Materiais (17)"/>
      <sheetName val="Materiais (16)"/>
      <sheetName val="Materiais (15)"/>
      <sheetName val="Materiais (14)"/>
      <sheetName val="Materiais (13)"/>
      <sheetName val="Materiais (12)"/>
      <sheetName val="Materiais (11)"/>
      <sheetName val="Materiais (10)"/>
      <sheetName val="Materiais (9)"/>
      <sheetName val="Materiais (8)"/>
      <sheetName val="Materiais (7)"/>
      <sheetName val="Materiais (6)"/>
      <sheetName val="Materiais (5)"/>
      <sheetName val="Materiais (4)"/>
      <sheetName val="Materiais (3)"/>
      <sheetName val="Materiais (2)"/>
      <sheetName val="Materiais (1)"/>
      <sheetName val="Materiais "/>
      <sheetName val="Propos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planilha"/>
      <sheetName val="comp civil"/>
      <sheetName val="mat civil"/>
      <sheetName val="cronograma"/>
      <sheetName val="mo"/>
      <sheetName val="di"/>
      <sheetName val="bdi"/>
      <sheetName val="acabamentos"/>
    </sheetNames>
    <sheetDataSet>
      <sheetData sheetId="0" refreshError="1"/>
      <sheetData sheetId="1"/>
      <sheetData sheetId="2">
        <row r="8">
          <cell r="A8" t="str">
            <v>Almoxarife</v>
          </cell>
        </row>
        <row r="9">
          <cell r="A9" t="str">
            <v>Apontador</v>
          </cell>
        </row>
        <row r="10">
          <cell r="A10" t="str">
            <v>Armador</v>
          </cell>
        </row>
        <row r="11">
          <cell r="A11" t="str">
            <v>Assistente administrativo</v>
          </cell>
        </row>
        <row r="12">
          <cell r="A12" t="str">
            <v>Carpinteiro</v>
          </cell>
        </row>
        <row r="13">
          <cell r="A13" t="str">
            <v>Eletricista</v>
          </cell>
        </row>
        <row r="14">
          <cell r="A14" t="str">
            <v>Encanador</v>
          </cell>
        </row>
        <row r="15">
          <cell r="A15" t="str">
            <v>Engenheiro Civil Residente</v>
          </cell>
        </row>
        <row r="16">
          <cell r="A16" t="str">
            <v>Engenheiro de Instalações</v>
          </cell>
        </row>
        <row r="17">
          <cell r="A17" t="str">
            <v>Encarregado de Instalações</v>
          </cell>
        </row>
        <row r="18">
          <cell r="A18" t="str">
            <v>Ladrilhista - m2</v>
          </cell>
        </row>
        <row r="19">
          <cell r="A19" t="str">
            <v>Mestre De Obras</v>
          </cell>
        </row>
        <row r="20">
          <cell r="A20" t="str">
            <v>Pedreiro</v>
          </cell>
        </row>
        <row r="21">
          <cell r="A21" t="str">
            <v>Pintor</v>
          </cell>
        </row>
        <row r="22">
          <cell r="A22" t="str">
            <v>Servente</v>
          </cell>
        </row>
        <row r="23">
          <cell r="A23" t="str">
            <v>Técnico De Segurança Do Trabalho</v>
          </cell>
        </row>
        <row r="27">
          <cell r="A27" t="str">
            <v>Consumo de água</v>
          </cell>
        </row>
        <row r="28">
          <cell r="A28" t="str">
            <v>Consumo de energia</v>
          </cell>
        </row>
        <row r="29">
          <cell r="A29" t="str">
            <v>Consumo de telefonia</v>
          </cell>
        </row>
        <row r="30">
          <cell r="A30" t="str">
            <v>Projeto As Built</v>
          </cell>
        </row>
        <row r="31">
          <cell r="A31" t="str">
            <v xml:space="preserve">Divisória em gesso acartonado tipo Drywall com isolamento termo acústico em lã mineral - E = 50 mm, incluso porta de 0,90 x 2,10 m. - H = 4,30 m. </v>
          </cell>
        </row>
        <row r="32">
          <cell r="A32" t="str">
            <v xml:space="preserve">Divisória comum com tratamento acústico em fibra mineral e acabamento em laminado melamínico cor gêlo e perfis brancos, incluso porta P7 - 0,80 x 2,10 m. Padrão Divulux ou equivalente - H = 2,80 m. - com terminação em forro de gesso acartonado. </v>
          </cell>
        </row>
        <row r="33">
          <cell r="A33" t="str">
            <v xml:space="preserve">Modular em fibra mineral Hunter Douglas, modêlo Saara - 1250 x 625 mm., incluso estrutura auxiliar </v>
          </cell>
        </row>
        <row r="34">
          <cell r="A34" t="str">
            <v xml:space="preserve">Forro de gesso acartonado </v>
          </cell>
        </row>
        <row r="35">
          <cell r="A35" t="str">
            <v xml:space="preserve">Piso monolítico Ancobrás tipo Keraplan EG - espessura 3 mm., específico para salas limpas, côr gêlo 9.009 </v>
          </cell>
        </row>
        <row r="36">
          <cell r="A36" t="str">
            <v>Jateamento captivo</v>
          </cell>
        </row>
        <row r="37">
          <cell r="A37" t="str">
            <v xml:space="preserve">Granilite - granulo branco, com junta de dilatação com perfis plásticos cinza a cada 1,50 m., polido </v>
          </cell>
        </row>
        <row r="38">
          <cell r="A38" t="str">
            <v xml:space="preserve">Granilite lavado com 80% granulo vermelho e marrom e separador plástico vernelho </v>
          </cell>
        </row>
        <row r="39">
          <cell r="A39" t="str">
            <v xml:space="preserve">Vinílico tipoTraffic As da Fademac, côr areia AS-665 </v>
          </cell>
        </row>
        <row r="40">
          <cell r="A40" t="str">
            <v>Rodapé de granilite - granulo branco, com junta de dilatação com perfis plásticos cinza a cada 1,50 m., polido</v>
          </cell>
        </row>
        <row r="41">
          <cell r="A41" t="str">
            <v>Rodapé monolítico Ancobrás tipo Keraplan EG - espessura 3 mm., específico para salas limpas, côr gêlo 9.009</v>
          </cell>
        </row>
        <row r="42">
          <cell r="A42" t="str">
            <v>Rodapé vinílico tipoTraffic As da Fademac, côr areia AS-665 - padrão hospitalar</v>
          </cell>
        </row>
        <row r="43">
          <cell r="A43" t="str">
            <v>Soleira em granilite - granulo branco, com junta de dilatação com perfis plásticos cinza a cada 1,50 m., polido</v>
          </cell>
        </row>
        <row r="44">
          <cell r="A44" t="str">
            <v>Soleira em monolítico Ancobrás tipo Keraplan EG - espessura 3 mm., específico para salas limpas, côr gêlo 9.009</v>
          </cell>
        </row>
        <row r="45">
          <cell r="A45" t="str">
            <v>Soleira em vinílico tipoTraffic As da Fademac, côr areia AS-665 - padrão hospitalar</v>
          </cell>
        </row>
        <row r="46">
          <cell r="A46" t="str">
            <v>Mão de obra colocação de portas sanitárias</v>
          </cell>
        </row>
        <row r="50">
          <cell r="A50" t="str">
            <v>Caminhão basculante (entulho)</v>
          </cell>
        </row>
        <row r="51">
          <cell r="A51" t="str">
            <v>Locação de container escritório com sanitário</v>
          </cell>
        </row>
        <row r="52">
          <cell r="A52" t="str">
            <v>Locação de container vestiário sanitário</v>
          </cell>
        </row>
        <row r="53">
          <cell r="A53" t="str">
            <v>Locação de container almoxarifado</v>
          </cell>
        </row>
        <row r="54">
          <cell r="A54" t="str">
            <v>Transporte de container</v>
          </cell>
        </row>
        <row r="58">
          <cell r="A58" t="str">
            <v>Tábua 1 x 12 - m2</v>
          </cell>
        </row>
        <row r="59">
          <cell r="A59" t="str">
            <v>Chapa resinada 12 mm</v>
          </cell>
        </row>
        <row r="60">
          <cell r="A60" t="str">
            <v>Ripa 7 x 1</v>
          </cell>
        </row>
        <row r="61">
          <cell r="A61" t="str">
            <v>P1 - 0,62 x 1,80 m. (divisórias de granilite)</v>
          </cell>
        </row>
        <row r="62">
          <cell r="A62" t="str">
            <v>P2 - 0,82 x 1,80 m. (divisórisa de granilite)</v>
          </cell>
        </row>
        <row r="63">
          <cell r="A63" t="str">
            <v>P3 - 1,10 x 1,80 m. (divisórias de granilite)</v>
          </cell>
        </row>
        <row r="64">
          <cell r="A64" t="str">
            <v>P4 - 1,30 x 2,15 m.</v>
          </cell>
        </row>
        <row r="65">
          <cell r="A65" t="str">
            <v>P5 - 0,90 x 2,15 m.</v>
          </cell>
        </row>
        <row r="66">
          <cell r="A66" t="str">
            <v>P6 - 0,90 x 2,15 m.</v>
          </cell>
        </row>
        <row r="67">
          <cell r="A67" t="str">
            <v>P9 - 1,30 x 2,15 m.</v>
          </cell>
        </row>
        <row r="68">
          <cell r="A68" t="str">
            <v>P10 - 1,30 x 2,15 m.</v>
          </cell>
        </row>
        <row r="69">
          <cell r="A69" t="str">
            <v>P11 - 1,30 x 2,15 m.</v>
          </cell>
        </row>
        <row r="70">
          <cell r="A70" t="str">
            <v>P12 - 1,30 x 2,15 m.</v>
          </cell>
        </row>
        <row r="71">
          <cell r="A71" t="str">
            <v>P13 - 0,80 x 2,15 m.</v>
          </cell>
        </row>
        <row r="72">
          <cell r="A72" t="str">
            <v>P15 - 0,90 x 2,15 m.</v>
          </cell>
        </row>
        <row r="73">
          <cell r="A73" t="str">
            <v>C1 - 3,48 x 1,20 m.</v>
          </cell>
        </row>
        <row r="74">
          <cell r="A74" t="str">
            <v>C2 - 2,00 x 1,10 m.</v>
          </cell>
        </row>
        <row r="75">
          <cell r="A75" t="str">
            <v>C3 - 1,60 X 1,10 m.</v>
          </cell>
        </row>
        <row r="76">
          <cell r="A76" t="str">
            <v>P8 - 0,75 x 1,25 m.</v>
          </cell>
        </row>
        <row r="77">
          <cell r="A77" t="str">
            <v>P14 - 1,30 x 2,15 m. (PCF)</v>
          </cell>
        </row>
        <row r="78">
          <cell r="A78" t="str">
            <v>P16 - 1,30 x 2,15 m. (PCF)</v>
          </cell>
        </row>
        <row r="79">
          <cell r="A79" t="str">
            <v>P17 - 1,30 x 2,15 m. (PCF)</v>
          </cell>
        </row>
        <row r="80">
          <cell r="A80" t="str">
            <v>C4 - 2,75 x 1,20 m.</v>
          </cell>
        </row>
        <row r="81">
          <cell r="A81" t="str">
            <v>C5 - 3,30 x 1,20 m.</v>
          </cell>
        </row>
        <row r="82">
          <cell r="A82" t="str">
            <v>C6 - 3,40 x 1,70 m.</v>
          </cell>
        </row>
        <row r="83">
          <cell r="A83" t="str">
            <v>C7 - 2,00 x 1,70 m.</v>
          </cell>
        </row>
        <row r="84">
          <cell r="A84" t="str">
            <v>C8 - 3,40 x 1,70 m.</v>
          </cell>
        </row>
        <row r="85">
          <cell r="A85" t="str">
            <v>C9 - 2,75 x 0,60 m.</v>
          </cell>
        </row>
        <row r="86">
          <cell r="A86" t="str">
            <v>C10 - 3,40 x 0,60 m.</v>
          </cell>
        </row>
        <row r="87">
          <cell r="A87" t="str">
            <v>C11 - 1,40 x 1,10 m.</v>
          </cell>
        </row>
        <row r="88">
          <cell r="A88" t="str">
            <v>C12 - 0,80 x 2,90 m.</v>
          </cell>
        </row>
        <row r="89">
          <cell r="A89" t="str">
            <v>C13 - 2,60 x 1,10 m.</v>
          </cell>
        </row>
        <row r="90">
          <cell r="A90" t="str">
            <v>C14 - 2,00 x 1,10 m.</v>
          </cell>
        </row>
        <row r="91">
          <cell r="A91" t="str">
            <v>C15 - 1,80 x 1,10 m.</v>
          </cell>
        </row>
        <row r="92">
          <cell r="A92" t="str">
            <v>C16 - 1,60 x 1,10 m.</v>
          </cell>
        </row>
        <row r="93">
          <cell r="A93" t="str">
            <v>C17 - 2,00 x 1,10 m.</v>
          </cell>
        </row>
        <row r="94">
          <cell r="A94" t="str">
            <v>C18 - 3,40 x 0,60 m.</v>
          </cell>
        </row>
        <row r="95">
          <cell r="A95" t="str">
            <v>C19 - 2,75 x 1,20 m.</v>
          </cell>
        </row>
        <row r="96">
          <cell r="A96" t="str">
            <v>C20 - 1,20 x 1,10 m.</v>
          </cell>
        </row>
        <row r="97">
          <cell r="A97" t="str">
            <v>C21 - 0,80 x 1,10 m.</v>
          </cell>
        </row>
        <row r="98">
          <cell r="A98" t="str">
            <v>C22 - 2,60 x 1,10 m.</v>
          </cell>
        </row>
        <row r="99">
          <cell r="A99" t="str">
            <v>C23 - 3,50 x 0,80 m.</v>
          </cell>
        </row>
        <row r="100">
          <cell r="A100" t="str">
            <v>Conjunto de corrimão para saguão de entrada</v>
          </cell>
        </row>
        <row r="101">
          <cell r="A101" t="str">
            <v>Corrimão para escadas de acesso o pavimento superior</v>
          </cell>
        </row>
        <row r="102">
          <cell r="A102" t="str">
            <v>Refletivo bronze - 6,00 mm</v>
          </cell>
        </row>
        <row r="103">
          <cell r="A103" t="str">
            <v>Cristal liso - 4 mm.</v>
          </cell>
        </row>
        <row r="104">
          <cell r="A104" t="str">
            <v>Aramado</v>
          </cell>
        </row>
        <row r="105">
          <cell r="A105" t="str">
            <v>Águarraz</v>
          </cell>
        </row>
        <row r="106">
          <cell r="A106" t="str">
            <v>Lixa 100</v>
          </cell>
        </row>
        <row r="107">
          <cell r="A107" t="str">
            <v>Liquibase</v>
          </cell>
        </row>
        <row r="108">
          <cell r="A108" t="str">
            <v>Latex acrílico</v>
          </cell>
        </row>
        <row r="109">
          <cell r="A109" t="str">
            <v>Fundo nivelador</v>
          </cell>
        </row>
        <row r="110">
          <cell r="A110" t="str">
            <v>Massa acrílica</v>
          </cell>
        </row>
        <row r="111">
          <cell r="A111" t="str">
            <v>Esmalte sintético</v>
          </cell>
        </row>
        <row r="112">
          <cell r="A112" t="str">
            <v>Zarcão</v>
          </cell>
        </row>
        <row r="113">
          <cell r="A113" t="str">
            <v>Aço CA 50</v>
          </cell>
        </row>
        <row r="114">
          <cell r="A114" t="str">
            <v>Arame recozido 18</v>
          </cell>
        </row>
        <row r="115">
          <cell r="A115" t="str">
            <v>Tampa em ferro fundido</v>
          </cell>
        </row>
        <row r="116">
          <cell r="A116" t="str">
            <v>Tijolo maciço</v>
          </cell>
        </row>
        <row r="117">
          <cell r="A117" t="str">
            <v>Areia</v>
          </cell>
        </row>
        <row r="118">
          <cell r="A118" t="str">
            <v>Pedra</v>
          </cell>
        </row>
        <row r="119">
          <cell r="A119" t="str">
            <v>Cal hidratada</v>
          </cell>
        </row>
        <row r="120">
          <cell r="A120" t="str">
            <v>Cimento</v>
          </cell>
        </row>
        <row r="121">
          <cell r="A121" t="str">
            <v>Cimento branco</v>
          </cell>
        </row>
        <row r="122">
          <cell r="A122" t="str">
            <v>Massa pronta</v>
          </cell>
        </row>
        <row r="123">
          <cell r="A123" t="str">
            <v>Massa fina</v>
          </cell>
        </row>
        <row r="124">
          <cell r="A124" t="str">
            <v>Argamassa de assentamento e rejunte de pastilha</v>
          </cell>
        </row>
        <row r="125">
          <cell r="A125" t="str">
            <v>Neutrol</v>
          </cell>
        </row>
        <row r="126">
          <cell r="A126" t="str">
            <v>Pastilha de porcelana, formato 2,5 x 2,5 mm, coleção Jatobá Natural, JN 6602 - 3/4 e JN 6808 - 1/4</v>
          </cell>
        </row>
        <row r="127">
          <cell r="A127" t="str">
            <v>Divisórias de granilite  - E = 3 cm.</v>
          </cell>
        </row>
        <row r="128">
          <cell r="A128" t="str">
            <v>MO Colocação de Divisória de Granilite</v>
          </cell>
        </row>
        <row r="129">
          <cell r="A129" t="str">
            <v>Batente de alumínio</v>
          </cell>
        </row>
        <row r="130">
          <cell r="A130" t="str">
            <v>Junta plásica cinza</v>
          </cell>
        </row>
        <row r="131">
          <cell r="A131" t="str">
            <v xml:space="preserve">Tátil de alerta - Podotátil da Tecnogran </v>
          </cell>
        </row>
      </sheetData>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B1:AC19"/>
  <sheetViews>
    <sheetView workbookViewId="0"/>
  </sheetViews>
  <sheetFormatPr defaultRowHeight="15.6"/>
  <cols>
    <col min="2" max="2" width="28.8984375" customWidth="1"/>
    <col min="3" max="3" width="6.59765625" style="92" bestFit="1" customWidth="1"/>
    <col min="4" max="4" width="1.69921875" bestFit="1" customWidth="1"/>
    <col min="5" max="5" width="7.59765625" style="92" bestFit="1" customWidth="1"/>
    <col min="6" max="6" width="9.19921875" bestFit="1" customWidth="1"/>
    <col min="7" max="7" width="9.8984375" bestFit="1" customWidth="1"/>
    <col min="8" max="8" width="3" style="95" bestFit="1" customWidth="1"/>
    <col min="9" max="9" width="9.19921875" bestFit="1" customWidth="1"/>
    <col min="10" max="10" width="3.09765625" customWidth="1"/>
    <col min="11" max="11" width="10.19921875" customWidth="1"/>
    <col min="12" max="12" width="3.59765625" customWidth="1"/>
    <col min="13" max="13" width="9.5" bestFit="1" customWidth="1"/>
    <col min="14" max="14" width="2.69921875" customWidth="1"/>
    <col min="15" max="15" width="8.59765625" bestFit="1" customWidth="1"/>
    <col min="16" max="16" width="3.19921875" customWidth="1"/>
    <col min="17" max="17" width="8.59765625" customWidth="1"/>
    <col min="18" max="18" width="2.8984375" customWidth="1"/>
    <col min="19" max="19" width="7.19921875" bestFit="1" customWidth="1"/>
    <col min="20" max="20" width="3" bestFit="1" customWidth="1"/>
    <col min="21" max="21" width="10.3984375" customWidth="1"/>
    <col min="22" max="22" width="3" bestFit="1" customWidth="1"/>
    <col min="23" max="23" width="9.3984375" bestFit="1" customWidth="1"/>
    <col min="24" max="24" width="3.8984375" customWidth="1"/>
    <col min="26" max="26" width="5.19921875" customWidth="1"/>
    <col min="28" max="28" width="5.09765625" customWidth="1"/>
  </cols>
  <sheetData>
    <row r="1" spans="2:29">
      <c r="B1" s="996" t="s">
        <v>2656</v>
      </c>
      <c r="C1" s="996"/>
      <c r="D1" s="996"/>
      <c r="E1" s="996"/>
      <c r="F1" s="996"/>
      <c r="G1" s="996"/>
      <c r="H1" s="996"/>
      <c r="I1" s="996"/>
      <c r="J1" s="996"/>
      <c r="K1" s="996"/>
      <c r="L1" s="996"/>
      <c r="M1" s="996"/>
      <c r="N1" s="996"/>
      <c r="O1" s="996"/>
      <c r="P1" s="996"/>
      <c r="Q1" s="996"/>
      <c r="R1" s="996"/>
      <c r="S1" s="996"/>
      <c r="T1" s="996"/>
      <c r="U1" s="996"/>
      <c r="V1" s="996"/>
      <c r="W1" s="996"/>
    </row>
    <row r="3" spans="2:29" s="497" customFormat="1" ht="32.4" customHeight="1">
      <c r="B3" s="495" t="s">
        <v>951</v>
      </c>
      <c r="C3" s="496" t="s">
        <v>952</v>
      </c>
      <c r="D3" s="495"/>
      <c r="E3" s="496" t="s">
        <v>953</v>
      </c>
      <c r="F3" s="495" t="s">
        <v>584</v>
      </c>
      <c r="G3" s="495" t="s">
        <v>954</v>
      </c>
      <c r="H3" s="994" t="s">
        <v>2657</v>
      </c>
      <c r="I3" s="995"/>
      <c r="J3" s="997" t="s">
        <v>2662</v>
      </c>
      <c r="K3" s="998"/>
      <c r="L3" s="994" t="s">
        <v>2663</v>
      </c>
      <c r="M3" s="995"/>
      <c r="N3" s="994" t="s">
        <v>1564</v>
      </c>
      <c r="O3" s="995"/>
      <c r="P3" s="994" t="s">
        <v>2482</v>
      </c>
      <c r="Q3" s="995"/>
      <c r="R3" s="994" t="s">
        <v>1565</v>
      </c>
      <c r="S3" s="995"/>
      <c r="T3" s="999" t="s">
        <v>1518</v>
      </c>
      <c r="U3" s="1000"/>
      <c r="V3" s="999" t="s">
        <v>1059</v>
      </c>
      <c r="W3" s="1000"/>
      <c r="X3" s="994" t="s">
        <v>2107</v>
      </c>
      <c r="Y3" s="995"/>
      <c r="Z3" s="994" t="s">
        <v>2108</v>
      </c>
      <c r="AA3" s="995"/>
      <c r="AB3" s="994" t="s">
        <v>2109</v>
      </c>
      <c r="AC3" s="995"/>
    </row>
    <row r="4" spans="2:29">
      <c r="B4" s="96" t="s">
        <v>956</v>
      </c>
      <c r="C4" s="97"/>
      <c r="D4" s="97"/>
      <c r="E4" s="97"/>
      <c r="F4" s="97"/>
      <c r="G4" s="97"/>
      <c r="H4" s="98"/>
      <c r="I4" s="97"/>
      <c r="J4" s="97"/>
      <c r="K4" s="97"/>
      <c r="L4" s="97"/>
      <c r="M4" s="97"/>
      <c r="N4" s="97"/>
      <c r="O4" s="97"/>
      <c r="P4" s="97"/>
      <c r="Q4" s="97"/>
      <c r="R4" s="97"/>
      <c r="S4" s="97"/>
      <c r="T4" s="97"/>
      <c r="U4" s="97"/>
      <c r="V4" s="97"/>
      <c r="W4" s="99"/>
      <c r="X4" s="97"/>
      <c r="Y4" s="99"/>
      <c r="Z4" s="97"/>
      <c r="AA4" s="99"/>
      <c r="AB4" s="97"/>
      <c r="AC4" s="99"/>
    </row>
    <row r="5" spans="2:29">
      <c r="B5" s="96" t="s">
        <v>958</v>
      </c>
      <c r="C5" s="97"/>
      <c r="D5" s="97"/>
      <c r="E5" s="97"/>
      <c r="F5" s="97"/>
      <c r="G5" s="97"/>
      <c r="H5" s="98"/>
      <c r="I5" s="97"/>
      <c r="J5" s="98"/>
      <c r="K5" s="91" t="str">
        <f>IF(J5="x",G5,"")</f>
        <v/>
      </c>
      <c r="L5" s="97"/>
      <c r="M5" s="97"/>
      <c r="N5" s="97"/>
      <c r="O5" s="97"/>
      <c r="P5" s="97"/>
      <c r="Q5" s="91" t="str">
        <f>IF(P5="x",G5,"")</f>
        <v/>
      </c>
      <c r="R5" s="97"/>
      <c r="S5" s="97"/>
      <c r="T5" s="97"/>
      <c r="U5" s="97"/>
      <c r="V5" s="97"/>
      <c r="W5" s="97"/>
      <c r="X5" s="97"/>
      <c r="Y5" s="97"/>
      <c r="Z5" s="97"/>
      <c r="AA5" s="91" t="str">
        <f>IF(Z5="x",F5,"")</f>
        <v/>
      </c>
      <c r="AB5" s="97"/>
      <c r="AC5" s="91" t="str">
        <f>IF(AB5="x",F5,"")</f>
        <v/>
      </c>
    </row>
    <row r="6" spans="2:29">
      <c r="B6" s="102" t="s">
        <v>959</v>
      </c>
      <c r="C6" s="91"/>
      <c r="D6" s="88"/>
      <c r="E6" s="91"/>
      <c r="F6" s="91"/>
      <c r="G6" s="91"/>
      <c r="H6" s="101"/>
      <c r="I6" s="91">
        <v>360.55</v>
      </c>
      <c r="J6" s="101"/>
      <c r="K6" s="91" t="str">
        <f>IF(J6="x",G6,"")</f>
        <v/>
      </c>
      <c r="L6" s="91"/>
      <c r="M6" s="91"/>
      <c r="N6" s="91"/>
      <c r="O6" s="91" t="str">
        <f>IF(N6="x",F6,"")</f>
        <v/>
      </c>
      <c r="P6" s="91"/>
      <c r="Q6" s="91" t="str">
        <f>IF(P6="x",G6,"")</f>
        <v/>
      </c>
      <c r="R6" s="91"/>
      <c r="S6" s="91" t="str">
        <f>IF(R6="x",F6,"")</f>
        <v/>
      </c>
      <c r="T6" s="91"/>
      <c r="U6" s="91"/>
      <c r="V6" s="91"/>
      <c r="W6" s="91"/>
      <c r="X6" s="91"/>
      <c r="Y6" s="91"/>
      <c r="Z6" s="91"/>
      <c r="AA6" s="91" t="str">
        <f>IF(Z6="x",F6,"")</f>
        <v/>
      </c>
      <c r="AB6" s="91"/>
      <c r="AC6" s="91" t="str">
        <f>IF(AB6="x",F6,"")</f>
        <v/>
      </c>
    </row>
    <row r="7" spans="2:29">
      <c r="B7" s="103" t="s">
        <v>960</v>
      </c>
      <c r="C7" s="104"/>
      <c r="D7" s="103"/>
      <c r="E7" s="104"/>
      <c r="F7" s="104"/>
      <c r="G7" s="105"/>
      <c r="H7" s="106"/>
      <c r="I7" s="105">
        <v>193.54</v>
      </c>
      <c r="J7" s="106"/>
      <c r="K7" s="91"/>
      <c r="L7" s="105"/>
      <c r="M7" s="105"/>
      <c r="N7" s="105"/>
      <c r="O7" s="105"/>
      <c r="P7" s="105"/>
      <c r="Q7" s="91"/>
      <c r="R7" s="105"/>
      <c r="S7" s="105"/>
      <c r="T7" s="105"/>
      <c r="U7" s="105"/>
      <c r="V7" s="105"/>
      <c r="W7" s="105"/>
      <c r="X7" s="105"/>
      <c r="Y7" s="91"/>
      <c r="Z7" s="105"/>
      <c r="AA7" s="91"/>
      <c r="AB7" s="105"/>
      <c r="AC7" s="91"/>
    </row>
    <row r="8" spans="2:29">
      <c r="B8" s="103" t="s">
        <v>961</v>
      </c>
      <c r="C8" s="104"/>
      <c r="D8" s="103"/>
      <c r="E8" s="104"/>
      <c r="F8" s="104"/>
      <c r="G8" s="105"/>
      <c r="H8" s="106"/>
      <c r="I8" s="105">
        <v>273.62</v>
      </c>
      <c r="J8" s="106"/>
      <c r="K8" s="91"/>
      <c r="L8" s="105"/>
      <c r="M8" s="105"/>
      <c r="N8" s="105"/>
      <c r="O8" s="105"/>
      <c r="P8" s="105"/>
      <c r="Q8" s="91"/>
      <c r="R8" s="105"/>
      <c r="S8" s="105"/>
      <c r="T8" s="105"/>
      <c r="U8" s="105"/>
      <c r="V8" s="105"/>
      <c r="W8" s="105"/>
      <c r="X8" s="105"/>
      <c r="Y8" s="91"/>
      <c r="Z8" s="105"/>
      <c r="AA8" s="91"/>
      <c r="AB8" s="105"/>
      <c r="AC8" s="91"/>
    </row>
    <row r="9" spans="2:29">
      <c r="B9" s="103" t="s">
        <v>962</v>
      </c>
      <c r="C9" s="104"/>
      <c r="D9" s="103"/>
      <c r="E9" s="104"/>
      <c r="F9" s="104"/>
      <c r="G9" s="105"/>
      <c r="H9" s="106"/>
      <c r="I9" s="105">
        <v>536.85</v>
      </c>
      <c r="J9" s="106"/>
      <c r="K9" s="91"/>
      <c r="L9" s="105"/>
      <c r="M9" s="105"/>
      <c r="N9" s="105"/>
      <c r="O9" s="105"/>
      <c r="P9" s="105"/>
      <c r="Q9" s="91"/>
      <c r="R9" s="105"/>
      <c r="S9" s="105"/>
      <c r="T9" s="105"/>
      <c r="U9" s="105"/>
      <c r="V9" s="105"/>
      <c r="W9" s="105"/>
      <c r="X9" s="105"/>
      <c r="Y9" s="91"/>
      <c r="Z9" s="105"/>
      <c r="AA9" s="91"/>
      <c r="AB9" s="105"/>
      <c r="AC9" s="91"/>
    </row>
    <row r="10" spans="2:29">
      <c r="B10" s="103" t="s">
        <v>963</v>
      </c>
      <c r="C10" s="104"/>
      <c r="D10" s="103"/>
      <c r="E10" s="105"/>
      <c r="F10" s="104"/>
      <c r="G10" s="105"/>
      <c r="H10" s="106"/>
      <c r="I10" s="105">
        <v>501.16</v>
      </c>
      <c r="J10" s="106"/>
      <c r="K10" s="91"/>
      <c r="L10" s="105"/>
      <c r="M10" s="105"/>
      <c r="N10" s="105"/>
      <c r="O10" s="105"/>
      <c r="P10" s="105"/>
      <c r="Q10" s="91"/>
      <c r="R10" s="105"/>
      <c r="S10" s="105"/>
      <c r="T10" s="105"/>
      <c r="U10" s="105"/>
      <c r="V10" s="105"/>
      <c r="W10" s="105"/>
      <c r="X10" s="105"/>
      <c r="Y10" s="91"/>
      <c r="Z10" s="105"/>
      <c r="AA10" s="91"/>
      <c r="AB10" s="105"/>
      <c r="AC10" s="91"/>
    </row>
    <row r="11" spans="2:29">
      <c r="B11" s="103" t="s">
        <v>964</v>
      </c>
      <c r="C11" s="104"/>
      <c r="D11" s="103"/>
      <c r="E11" s="104"/>
      <c r="F11" s="104"/>
      <c r="G11" s="105"/>
      <c r="H11" s="106"/>
      <c r="I11" s="105">
        <v>263.91000000000003</v>
      </c>
      <c r="J11" s="106"/>
      <c r="K11" s="91"/>
      <c r="L11" s="105"/>
      <c r="M11" s="105"/>
      <c r="N11" s="105"/>
      <c r="O11" s="105"/>
      <c r="P11" s="105"/>
      <c r="Q11" s="91"/>
      <c r="R11" s="105"/>
      <c r="S11" s="105"/>
      <c r="T11" s="105"/>
      <c r="U11" s="105"/>
      <c r="V11" s="105"/>
      <c r="W11" s="105"/>
      <c r="X11" s="105"/>
      <c r="Y11" s="91"/>
      <c r="Z11" s="105"/>
      <c r="AA11" s="91"/>
      <c r="AB11" s="105"/>
      <c r="AC11" s="91"/>
    </row>
    <row r="12" spans="2:29">
      <c r="B12" s="103" t="s">
        <v>586</v>
      </c>
      <c r="C12" s="104"/>
      <c r="D12" s="103"/>
      <c r="E12" s="104"/>
      <c r="F12" s="104"/>
      <c r="G12" s="105"/>
      <c r="H12" s="106"/>
      <c r="I12" s="105"/>
      <c r="J12" s="106"/>
      <c r="K12" s="91"/>
      <c r="L12" s="105"/>
      <c r="M12" s="105"/>
      <c r="N12" s="105"/>
      <c r="O12" s="105"/>
      <c r="P12" s="105"/>
      <c r="Q12" s="91"/>
      <c r="R12" s="105"/>
      <c r="S12" s="105"/>
      <c r="T12" s="105"/>
      <c r="U12" s="105"/>
      <c r="V12" s="105"/>
      <c r="W12" s="105"/>
      <c r="X12" s="105"/>
      <c r="Y12" s="91"/>
      <c r="Z12" s="105"/>
      <c r="AA12" s="91"/>
      <c r="AB12" s="105"/>
      <c r="AC12" s="91"/>
    </row>
    <row r="13" spans="2:29">
      <c r="B13" s="93" t="s">
        <v>2658</v>
      </c>
      <c r="C13" s="107"/>
      <c r="D13" s="108"/>
      <c r="E13" s="107"/>
      <c r="F13" s="107"/>
      <c r="G13" s="107"/>
      <c r="H13" s="101"/>
      <c r="I13" s="91"/>
      <c r="J13" s="101"/>
      <c r="K13" s="91">
        <f>50.03+31.09*7+10.21+739.94</f>
        <v>1017.81</v>
      </c>
      <c r="L13" s="91"/>
      <c r="M13" s="91">
        <f>274.19+345.28</f>
        <v>619.47</v>
      </c>
      <c r="N13" s="91"/>
      <c r="O13" s="91"/>
      <c r="P13" s="91"/>
      <c r="Q13" s="91"/>
      <c r="R13" s="91"/>
      <c r="S13" s="91"/>
      <c r="T13" s="91"/>
      <c r="U13" s="91"/>
      <c r="V13" s="91"/>
      <c r="W13" s="91"/>
      <c r="X13" s="91"/>
      <c r="Y13" s="91"/>
      <c r="Z13" s="91"/>
      <c r="AA13" s="91"/>
      <c r="AB13" s="91"/>
      <c r="AC13" s="91"/>
    </row>
    <row r="14" spans="2:29">
      <c r="B14" s="88" t="s">
        <v>2659</v>
      </c>
      <c r="C14" s="91"/>
      <c r="D14" s="108"/>
      <c r="E14" s="91"/>
      <c r="F14" s="91"/>
      <c r="G14" s="91"/>
      <c r="H14" s="101"/>
      <c r="I14" s="91"/>
      <c r="J14" s="101"/>
      <c r="K14" s="91">
        <f>177.74+108.47*5+108.47+108.47+35.64</f>
        <v>972.67000000000007</v>
      </c>
      <c r="L14" s="91"/>
      <c r="M14" s="91">
        <v>268.60000000000002</v>
      </c>
      <c r="N14" s="91"/>
      <c r="O14" s="91"/>
      <c r="P14" s="91"/>
      <c r="Q14" s="91"/>
      <c r="R14" s="91"/>
      <c r="S14" s="91"/>
      <c r="T14" s="91"/>
      <c r="U14" s="91"/>
      <c r="V14" s="91"/>
      <c r="W14" s="91"/>
      <c r="X14" s="91"/>
      <c r="Y14" s="91"/>
      <c r="Z14" s="91"/>
      <c r="AA14" s="91"/>
      <c r="AB14" s="91"/>
      <c r="AC14" s="91"/>
    </row>
    <row r="15" spans="2:29">
      <c r="B15" s="93" t="s">
        <v>2660</v>
      </c>
      <c r="C15" s="107"/>
      <c r="D15" s="108"/>
      <c r="E15" s="107"/>
      <c r="F15" s="107"/>
      <c r="G15" s="107"/>
      <c r="H15" s="101"/>
      <c r="I15" s="91"/>
      <c r="J15" s="101"/>
      <c r="K15" s="91"/>
      <c r="L15" s="91"/>
      <c r="M15" s="91">
        <f>923.54+71.6+25.36</f>
        <v>1020.5</v>
      </c>
      <c r="N15" s="91"/>
      <c r="O15" s="91"/>
      <c r="P15" s="91"/>
      <c r="Q15" s="91"/>
      <c r="R15" s="91"/>
      <c r="S15" s="91"/>
      <c r="T15" s="91"/>
      <c r="U15" s="91"/>
      <c r="V15" s="91"/>
      <c r="W15" s="91"/>
      <c r="X15" s="91"/>
      <c r="Y15" s="91"/>
      <c r="Z15" s="91"/>
      <c r="AA15" s="91"/>
      <c r="AB15" s="91"/>
      <c r="AC15" s="91"/>
    </row>
    <row r="16" spans="2:29">
      <c r="B16" s="93" t="s">
        <v>2661</v>
      </c>
      <c r="C16" s="107"/>
      <c r="D16" s="108"/>
      <c r="E16" s="107"/>
      <c r="F16" s="107"/>
      <c r="G16" s="107"/>
      <c r="H16" s="101"/>
      <c r="I16" s="91"/>
      <c r="J16" s="101"/>
      <c r="K16" s="91">
        <v>1095.04</v>
      </c>
      <c r="L16" s="91"/>
      <c r="M16" s="91">
        <f>116.02+164-3.4*12</f>
        <v>239.21999999999997</v>
      </c>
      <c r="N16" s="91"/>
      <c r="O16" s="91"/>
      <c r="P16" s="91"/>
      <c r="Q16" s="91"/>
      <c r="R16" s="91"/>
      <c r="S16" s="91"/>
      <c r="T16" s="91"/>
      <c r="U16" s="91"/>
      <c r="V16" s="91"/>
      <c r="W16" s="91"/>
      <c r="X16" s="91"/>
      <c r="Y16" s="91"/>
      <c r="Z16" s="91"/>
      <c r="AA16" s="91"/>
      <c r="AB16" s="91"/>
      <c r="AC16" s="91"/>
    </row>
    <row r="17" spans="2:29">
      <c r="B17" s="93"/>
      <c r="C17" s="107"/>
      <c r="D17" s="108"/>
      <c r="E17" s="107"/>
      <c r="F17" s="107"/>
      <c r="G17" s="107"/>
      <c r="H17" s="101"/>
      <c r="I17" s="91"/>
      <c r="J17" s="101"/>
      <c r="K17" s="91"/>
      <c r="L17" s="91"/>
      <c r="M17" s="91"/>
      <c r="N17" s="91"/>
      <c r="O17" s="91"/>
      <c r="P17" s="91"/>
      <c r="Q17" s="91"/>
      <c r="R17" s="91"/>
      <c r="S17" s="91"/>
      <c r="T17" s="91"/>
      <c r="U17" s="91"/>
      <c r="V17" s="91"/>
      <c r="W17" s="91"/>
      <c r="X17" s="91"/>
      <c r="Y17" s="91"/>
      <c r="Z17" s="91"/>
      <c r="AA17" s="91"/>
      <c r="AB17" s="91"/>
      <c r="AC17" s="91"/>
    </row>
    <row r="18" spans="2:29" s="521" customFormat="1" ht="12">
      <c r="B18" s="517" t="s">
        <v>948</v>
      </c>
      <c r="C18" s="518"/>
      <c r="D18" s="517"/>
      <c r="E18" s="518"/>
      <c r="F18" s="519">
        <f>SUM(F4:F17)</f>
        <v>0</v>
      </c>
      <c r="G18" s="519">
        <f>SUM(G4:G17)</f>
        <v>0</v>
      </c>
      <c r="H18" s="520"/>
      <c r="I18" s="519">
        <f>SUM(I4:I17)</f>
        <v>2129.63</v>
      </c>
      <c r="J18" s="519"/>
      <c r="K18" s="519">
        <f>SUM(K4:K17)</f>
        <v>3085.52</v>
      </c>
      <c r="L18" s="519"/>
      <c r="M18" s="519">
        <f>SUM(M4:M17)</f>
        <v>2147.79</v>
      </c>
      <c r="N18" s="519"/>
      <c r="O18" s="519">
        <f>SUM(O4:O17)</f>
        <v>0</v>
      </c>
      <c r="P18" s="519"/>
      <c r="Q18" s="519">
        <f>SUM(Q4:Q17)</f>
        <v>0</v>
      </c>
      <c r="R18" s="519"/>
      <c r="S18" s="519">
        <f>SUM(S4:S17)</f>
        <v>0</v>
      </c>
      <c r="T18" s="517"/>
      <c r="U18" s="519">
        <f>SUM(U4:U17)</f>
        <v>0</v>
      </c>
      <c r="V18" s="517"/>
      <c r="W18" s="519">
        <f>SUM(W4:W17)</f>
        <v>0</v>
      </c>
      <c r="X18" s="517"/>
      <c r="Y18" s="519">
        <f>SUM(Y4:Y17)</f>
        <v>0</v>
      </c>
      <c r="Z18" s="517"/>
      <c r="AA18" s="519">
        <f>SUM(AA4:AA17)</f>
        <v>0</v>
      </c>
      <c r="AB18" s="517"/>
      <c r="AC18" s="519">
        <f>SUM(AC4:AC17)</f>
        <v>0</v>
      </c>
    </row>
    <row r="19" spans="2:29">
      <c r="B19" s="270" t="s">
        <v>1519</v>
      </c>
      <c r="C19" s="271">
        <f>COUNT(F5:F17)</f>
        <v>0</v>
      </c>
    </row>
  </sheetData>
  <mergeCells count="12">
    <mergeCell ref="X3:Y3"/>
    <mergeCell ref="Z3:AA3"/>
    <mergeCell ref="AB3:AC3"/>
    <mergeCell ref="B1:W1"/>
    <mergeCell ref="H3:I3"/>
    <mergeCell ref="J3:K3"/>
    <mergeCell ref="L3:M3"/>
    <mergeCell ref="N3:O3"/>
    <mergeCell ref="P3:Q3"/>
    <mergeCell ref="R3:S3"/>
    <mergeCell ref="T3:U3"/>
    <mergeCell ref="V3:W3"/>
  </mergeCells>
  <printOptions horizontalCentered="1"/>
  <pageMargins left="0.51181102362204722" right="0.51181102362204722" top="0.78740157480314965" bottom="0.78740157480314965" header="0.31496062992125984" footer="0.31496062992125984"/>
  <pageSetup paperSize="9" scale="59" orientation="landscape" r:id="rId1"/>
</worksheet>
</file>

<file path=xl/worksheets/sheet10.xml><?xml version="1.0" encoding="utf-8"?>
<worksheet xmlns="http://schemas.openxmlformats.org/spreadsheetml/2006/main" xmlns:r="http://schemas.openxmlformats.org/officeDocument/2006/relationships">
  <sheetPr>
    <pageSetUpPr fitToPage="1"/>
  </sheetPr>
  <dimension ref="A1:J631"/>
  <sheetViews>
    <sheetView view="pageBreakPreview" topLeftCell="A219" zoomScaleNormal="100" zoomScaleSheetLayoutView="100" workbookViewId="0">
      <selection activeCell="I215" sqref="I215"/>
    </sheetView>
  </sheetViews>
  <sheetFormatPr defaultColWidth="9" defaultRowHeight="10.199999999999999" outlineLevelRow="1"/>
  <cols>
    <col min="1" max="1" width="15.69921875" style="476" customWidth="1"/>
    <col min="2" max="2" width="10.69921875" style="476" customWidth="1"/>
    <col min="3" max="3" width="50.8984375" style="476" customWidth="1"/>
    <col min="4" max="4" width="4.8984375" style="508" customWidth="1"/>
    <col min="5" max="5" width="9.5" style="671" bestFit="1" customWidth="1"/>
    <col min="6" max="6" width="8.69921875" style="479" bestFit="1" customWidth="1"/>
    <col min="7" max="7" width="12" style="650" customWidth="1"/>
    <col min="8" max="16384" width="9" style="476"/>
  </cols>
  <sheetData>
    <row r="1" spans="1:7" ht="18">
      <c r="A1" s="1085" t="s">
        <v>1797</v>
      </c>
      <c r="B1" s="1085"/>
      <c r="C1" s="1085"/>
      <c r="D1" s="1085"/>
      <c r="E1" s="1085"/>
      <c r="F1" s="1085"/>
      <c r="G1" s="1085"/>
    </row>
    <row r="4" spans="1:7">
      <c r="A4" s="463"/>
      <c r="B4" s="463" t="s">
        <v>1790</v>
      </c>
      <c r="C4" s="464" t="s">
        <v>1601</v>
      </c>
      <c r="D4" s="506" t="s">
        <v>1536</v>
      </c>
      <c r="E4" s="669"/>
      <c r="F4" s="477" t="s">
        <v>122</v>
      </c>
      <c r="G4" s="648">
        <f>SUM(G5:G11)</f>
        <v>100.34</v>
      </c>
    </row>
    <row r="5" spans="1:7" outlineLevel="1">
      <c r="A5" s="465" t="s">
        <v>628</v>
      </c>
      <c r="B5" s="465">
        <v>82261</v>
      </c>
      <c r="C5" s="466" t="s">
        <v>1599</v>
      </c>
      <c r="D5" s="507" t="s">
        <v>1592</v>
      </c>
      <c r="E5" s="670">
        <v>0.6</v>
      </c>
      <c r="F5" s="478">
        <v>15.15</v>
      </c>
      <c r="G5" s="649">
        <f>ROUND(F5*E5,2)</f>
        <v>9.09</v>
      </c>
    </row>
    <row r="6" spans="1:7" outlineLevel="1">
      <c r="A6" s="465" t="s">
        <v>628</v>
      </c>
      <c r="B6" s="465">
        <v>88239</v>
      </c>
      <c r="C6" s="466" t="s">
        <v>1598</v>
      </c>
      <c r="D6" s="507" t="s">
        <v>1592</v>
      </c>
      <c r="E6" s="670">
        <v>0.6</v>
      </c>
      <c r="F6" s="478">
        <v>12.05</v>
      </c>
      <c r="G6" s="649">
        <f t="shared" ref="G6:G11" si="0">ROUND(F6*E6,2)</f>
        <v>7.23</v>
      </c>
    </row>
    <row r="7" spans="1:7" outlineLevel="1">
      <c r="A7" s="465" t="s">
        <v>628</v>
      </c>
      <c r="B7" s="465">
        <v>5061</v>
      </c>
      <c r="C7" s="466" t="s">
        <v>1593</v>
      </c>
      <c r="D7" s="507" t="s">
        <v>1594</v>
      </c>
      <c r="E7" s="670">
        <v>0.03</v>
      </c>
      <c r="F7" s="478">
        <v>7.93</v>
      </c>
      <c r="G7" s="649">
        <f t="shared" si="0"/>
        <v>0.24</v>
      </c>
    </row>
    <row r="8" spans="1:7" outlineLevel="1">
      <c r="A8" s="465" t="s">
        <v>628</v>
      </c>
      <c r="B8" s="465">
        <v>4791</v>
      </c>
      <c r="C8" s="466" t="s">
        <v>1595</v>
      </c>
      <c r="D8" s="507" t="s">
        <v>1594</v>
      </c>
      <c r="E8" s="670">
        <v>0.1</v>
      </c>
      <c r="F8" s="478">
        <v>40.19</v>
      </c>
      <c r="G8" s="649">
        <f t="shared" si="0"/>
        <v>4.0199999999999996</v>
      </c>
    </row>
    <row r="9" spans="1:7" outlineLevel="1">
      <c r="A9" s="465" t="s">
        <v>628</v>
      </c>
      <c r="B9" s="465">
        <v>20205</v>
      </c>
      <c r="C9" s="466" t="s">
        <v>1596</v>
      </c>
      <c r="D9" s="507" t="s">
        <v>217</v>
      </c>
      <c r="E9" s="670">
        <v>2.6</v>
      </c>
      <c r="F9" s="478">
        <v>2.04</v>
      </c>
      <c r="G9" s="649">
        <f t="shared" si="0"/>
        <v>5.3</v>
      </c>
    </row>
    <row r="10" spans="1:7" outlineLevel="1">
      <c r="A10" s="465" t="s">
        <v>628</v>
      </c>
      <c r="B10" s="465">
        <v>90826</v>
      </c>
      <c r="C10" s="466" t="s">
        <v>1597</v>
      </c>
      <c r="D10" s="507" t="s">
        <v>1536</v>
      </c>
      <c r="E10" s="670">
        <v>2</v>
      </c>
      <c r="F10" s="478">
        <v>21.03</v>
      </c>
      <c r="G10" s="649">
        <f t="shared" si="0"/>
        <v>42.06</v>
      </c>
    </row>
    <row r="11" spans="1:7" outlineLevel="1">
      <c r="A11" s="465" t="s">
        <v>628</v>
      </c>
      <c r="B11" s="465">
        <v>10492</v>
      </c>
      <c r="C11" s="466" t="s">
        <v>1600</v>
      </c>
      <c r="D11" s="507" t="s">
        <v>1535</v>
      </c>
      <c r="E11" s="670">
        <v>0.36</v>
      </c>
      <c r="F11" s="478">
        <v>89.99</v>
      </c>
      <c r="G11" s="649">
        <f t="shared" si="0"/>
        <v>32.4</v>
      </c>
    </row>
    <row r="13" spans="1:7">
      <c r="A13" s="463"/>
      <c r="B13" s="463" t="s">
        <v>1791</v>
      </c>
      <c r="C13" s="464" t="s">
        <v>2050</v>
      </c>
      <c r="D13" s="506" t="s">
        <v>1536</v>
      </c>
      <c r="E13" s="669"/>
      <c r="F13" s="477" t="s">
        <v>122</v>
      </c>
      <c r="G13" s="648">
        <f>SUM(G14:G20)</f>
        <v>86.5</v>
      </c>
    </row>
    <row r="14" spans="1:7" outlineLevel="1">
      <c r="A14" s="465" t="s">
        <v>628</v>
      </c>
      <c r="B14" s="465">
        <v>82261</v>
      </c>
      <c r="C14" s="466" t="s">
        <v>1599</v>
      </c>
      <c r="D14" s="507" t="s">
        <v>1592</v>
      </c>
      <c r="E14" s="670">
        <v>0.6</v>
      </c>
      <c r="F14" s="478">
        <v>15.15</v>
      </c>
      <c r="G14" s="649">
        <f t="shared" ref="G14:G20" si="1">ROUND(F14*E14,2)</f>
        <v>9.09</v>
      </c>
    </row>
    <row r="15" spans="1:7" outlineLevel="1">
      <c r="A15" s="465" t="s">
        <v>628</v>
      </c>
      <c r="B15" s="465">
        <v>88239</v>
      </c>
      <c r="C15" s="466" t="s">
        <v>1598</v>
      </c>
      <c r="D15" s="507" t="s">
        <v>1592</v>
      </c>
      <c r="E15" s="670">
        <v>0.6</v>
      </c>
      <c r="F15" s="478">
        <v>12.05</v>
      </c>
      <c r="G15" s="649">
        <f t="shared" si="1"/>
        <v>7.23</v>
      </c>
    </row>
    <row r="16" spans="1:7" outlineLevel="1">
      <c r="A16" s="465" t="s">
        <v>628</v>
      </c>
      <c r="B16" s="465">
        <v>5061</v>
      </c>
      <c r="C16" s="466" t="s">
        <v>1593</v>
      </c>
      <c r="D16" s="507" t="s">
        <v>1594</v>
      </c>
      <c r="E16" s="670">
        <v>0.03</v>
      </c>
      <c r="F16" s="478">
        <v>8.5</v>
      </c>
      <c r="G16" s="649">
        <f t="shared" si="1"/>
        <v>0.26</v>
      </c>
    </row>
    <row r="17" spans="1:7" outlineLevel="1">
      <c r="A17" s="465" t="s">
        <v>628</v>
      </c>
      <c r="B17" s="465">
        <v>4791</v>
      </c>
      <c r="C17" s="466" t="s">
        <v>1595</v>
      </c>
      <c r="D17" s="507" t="s">
        <v>1594</v>
      </c>
      <c r="E17" s="670">
        <v>0.1</v>
      </c>
      <c r="F17" s="478">
        <v>14.36</v>
      </c>
      <c r="G17" s="649">
        <f t="shared" si="1"/>
        <v>1.44</v>
      </c>
    </row>
    <row r="18" spans="1:7" outlineLevel="1">
      <c r="A18" s="465" t="s">
        <v>628</v>
      </c>
      <c r="B18" s="465">
        <v>20205</v>
      </c>
      <c r="C18" s="466" t="s">
        <v>1596</v>
      </c>
      <c r="D18" s="507" t="s">
        <v>217</v>
      </c>
      <c r="E18" s="670">
        <v>2.4</v>
      </c>
      <c r="F18" s="478">
        <v>2.04</v>
      </c>
      <c r="G18" s="649">
        <f t="shared" si="1"/>
        <v>4.9000000000000004</v>
      </c>
    </row>
    <row r="19" spans="1:7" outlineLevel="1">
      <c r="A19" s="465" t="s">
        <v>628</v>
      </c>
      <c r="B19" s="465">
        <v>90826</v>
      </c>
      <c r="C19" s="466" t="s">
        <v>1597</v>
      </c>
      <c r="D19" s="507" t="s">
        <v>1536</v>
      </c>
      <c r="E19" s="670">
        <v>2</v>
      </c>
      <c r="F19" s="478">
        <v>23.39</v>
      </c>
      <c r="G19" s="649">
        <f t="shared" si="1"/>
        <v>46.78</v>
      </c>
    </row>
    <row r="20" spans="1:7" outlineLevel="1">
      <c r="A20" s="465" t="s">
        <v>628</v>
      </c>
      <c r="B20" s="465">
        <v>10492</v>
      </c>
      <c r="C20" s="466" t="s">
        <v>1600</v>
      </c>
      <c r="D20" s="507" t="s">
        <v>1535</v>
      </c>
      <c r="E20" s="670">
        <v>0.18</v>
      </c>
      <c r="F20" s="478">
        <v>93.33</v>
      </c>
      <c r="G20" s="649">
        <f t="shared" si="1"/>
        <v>16.8</v>
      </c>
    </row>
    <row r="22" spans="1:7" ht="41.4">
      <c r="A22" s="467" t="s">
        <v>1724</v>
      </c>
      <c r="B22" s="467" t="s">
        <v>1792</v>
      </c>
      <c r="C22" s="396" t="s">
        <v>2119</v>
      </c>
      <c r="D22" s="467" t="s">
        <v>1535</v>
      </c>
      <c r="E22" s="672" t="s">
        <v>122</v>
      </c>
      <c r="F22" s="480"/>
      <c r="G22" s="645">
        <f>SUM(G23:G26)</f>
        <v>174.54</v>
      </c>
    </row>
    <row r="23" spans="1:7" outlineLevel="1">
      <c r="A23" s="467" t="s">
        <v>1725</v>
      </c>
      <c r="B23" s="467" t="s">
        <v>1726</v>
      </c>
      <c r="C23" s="468" t="s">
        <v>1727</v>
      </c>
      <c r="D23" s="467" t="s">
        <v>1592</v>
      </c>
      <c r="E23" s="672">
        <v>0.17</v>
      </c>
      <c r="F23" s="481">
        <v>15.15</v>
      </c>
      <c r="G23" s="649">
        <f t="shared" ref="G23:G26" si="2">ROUND(F23*E23,2)</f>
        <v>2.58</v>
      </c>
    </row>
    <row r="24" spans="1:7" outlineLevel="1">
      <c r="A24" s="467" t="s">
        <v>1725</v>
      </c>
      <c r="B24" s="467" t="s">
        <v>1728</v>
      </c>
      <c r="C24" s="468" t="s">
        <v>1729</v>
      </c>
      <c r="D24" s="467" t="s">
        <v>1592</v>
      </c>
      <c r="E24" s="672">
        <v>0.17</v>
      </c>
      <c r="F24" s="481">
        <v>12.05</v>
      </c>
      <c r="G24" s="649">
        <f t="shared" si="2"/>
        <v>2.0499999999999998</v>
      </c>
    </row>
    <row r="25" spans="1:7" ht="28.8" outlineLevel="1">
      <c r="A25" s="467" t="s">
        <v>1730</v>
      </c>
      <c r="B25" s="467" t="s">
        <v>1733</v>
      </c>
      <c r="C25" s="468" t="s">
        <v>2117</v>
      </c>
      <c r="D25" s="467" t="s">
        <v>1535</v>
      </c>
      <c r="E25" s="672">
        <v>1.05</v>
      </c>
      <c r="F25" s="481">
        <v>159.9</v>
      </c>
      <c r="G25" s="649">
        <f t="shared" si="2"/>
        <v>167.9</v>
      </c>
    </row>
    <row r="26" spans="1:7" outlineLevel="1">
      <c r="A26" s="467" t="s">
        <v>1730</v>
      </c>
      <c r="B26" s="467" t="s">
        <v>1731</v>
      </c>
      <c r="C26" s="468" t="s">
        <v>1732</v>
      </c>
      <c r="D26" s="467" t="s">
        <v>1594</v>
      </c>
      <c r="E26" s="672">
        <v>0.14000000000000001</v>
      </c>
      <c r="F26" s="481">
        <v>14.36</v>
      </c>
      <c r="G26" s="649">
        <f t="shared" si="2"/>
        <v>2.0099999999999998</v>
      </c>
    </row>
    <row r="28" spans="1:7" ht="19.2">
      <c r="A28" s="467" t="s">
        <v>1724</v>
      </c>
      <c r="B28" s="467" t="s">
        <v>1793</v>
      </c>
      <c r="C28" s="468" t="s">
        <v>2120</v>
      </c>
      <c r="D28" s="467" t="s">
        <v>1535</v>
      </c>
      <c r="E28" s="672" t="s">
        <v>122</v>
      </c>
      <c r="F28" s="480"/>
      <c r="G28" s="645">
        <f>SUM(G29:G32)</f>
        <v>198.69</v>
      </c>
    </row>
    <row r="29" spans="1:7" outlineLevel="1">
      <c r="A29" s="467" t="s">
        <v>1725</v>
      </c>
      <c r="B29" s="467" t="s">
        <v>1726</v>
      </c>
      <c r="C29" s="468" t="s">
        <v>1727</v>
      </c>
      <c r="D29" s="467" t="s">
        <v>1592</v>
      </c>
      <c r="E29" s="672">
        <v>0.17</v>
      </c>
      <c r="F29" s="481">
        <v>15.15</v>
      </c>
      <c r="G29" s="649">
        <f t="shared" ref="G29:G32" si="3">ROUND(F29*E29,2)</f>
        <v>2.58</v>
      </c>
    </row>
    <row r="30" spans="1:7" outlineLevel="1">
      <c r="A30" s="467" t="s">
        <v>1725</v>
      </c>
      <c r="B30" s="467" t="s">
        <v>1728</v>
      </c>
      <c r="C30" s="468" t="s">
        <v>1729</v>
      </c>
      <c r="D30" s="467" t="s">
        <v>1592</v>
      </c>
      <c r="E30" s="672">
        <v>0.17</v>
      </c>
      <c r="F30" s="481">
        <v>12.05</v>
      </c>
      <c r="G30" s="649">
        <f t="shared" si="3"/>
        <v>2.0499999999999998</v>
      </c>
    </row>
    <row r="31" spans="1:7" outlineLevel="1">
      <c r="A31" s="467" t="s">
        <v>1730</v>
      </c>
      <c r="B31" s="467" t="s">
        <v>1733</v>
      </c>
      <c r="C31" s="468" t="s">
        <v>1734</v>
      </c>
      <c r="D31" s="467" t="s">
        <v>1535</v>
      </c>
      <c r="E31" s="672">
        <v>1.05</v>
      </c>
      <c r="F31" s="481">
        <v>182.9</v>
      </c>
      <c r="G31" s="649">
        <f t="shared" si="3"/>
        <v>192.05</v>
      </c>
    </row>
    <row r="32" spans="1:7" outlineLevel="1">
      <c r="A32" s="467" t="s">
        <v>1730</v>
      </c>
      <c r="B32" s="467" t="s">
        <v>1731</v>
      </c>
      <c r="C32" s="468" t="s">
        <v>1732</v>
      </c>
      <c r="D32" s="467" t="s">
        <v>1594</v>
      </c>
      <c r="E32" s="672">
        <v>0.14000000000000001</v>
      </c>
      <c r="F32" s="481">
        <v>14.36</v>
      </c>
      <c r="G32" s="649">
        <f t="shared" si="3"/>
        <v>2.0099999999999998</v>
      </c>
    </row>
    <row r="34" spans="1:7" ht="13.2">
      <c r="A34" s="467" t="s">
        <v>1785</v>
      </c>
      <c r="B34" s="467" t="s">
        <v>1794</v>
      </c>
      <c r="C34" s="397" t="s">
        <v>2459</v>
      </c>
      <c r="D34" s="467" t="s">
        <v>1536</v>
      </c>
      <c r="E34" s="672" t="s">
        <v>122</v>
      </c>
      <c r="F34" s="480"/>
      <c r="G34" s="645">
        <f>SUM(G35:G39)</f>
        <v>608.31999999999994</v>
      </c>
    </row>
    <row r="35" spans="1:7" outlineLevel="1">
      <c r="A35" s="467" t="s">
        <v>1725</v>
      </c>
      <c r="B35" s="467" t="s">
        <v>1786</v>
      </c>
      <c r="C35" s="468" t="s">
        <v>1787</v>
      </c>
      <c r="D35" s="467" t="s">
        <v>1592</v>
      </c>
      <c r="E35" s="672">
        <v>0.8</v>
      </c>
      <c r="F35" s="480">
        <v>12.56</v>
      </c>
      <c r="G35" s="649">
        <f t="shared" ref="G35:G39" si="4">ROUND(F35*E35,2)</f>
        <v>10.050000000000001</v>
      </c>
    </row>
    <row r="36" spans="1:7" outlineLevel="1">
      <c r="A36" s="467" t="s">
        <v>1725</v>
      </c>
      <c r="B36" s="467" t="s">
        <v>1788</v>
      </c>
      <c r="C36" s="468" t="s">
        <v>1789</v>
      </c>
      <c r="D36" s="467" t="s">
        <v>1592</v>
      </c>
      <c r="E36" s="672">
        <v>0.8</v>
      </c>
      <c r="F36" s="480">
        <v>15.34</v>
      </c>
      <c r="G36" s="649">
        <f t="shared" si="4"/>
        <v>12.27</v>
      </c>
    </row>
    <row r="37" spans="1:7" outlineLevel="1">
      <c r="A37" s="467" t="s">
        <v>2194</v>
      </c>
      <c r="B37" s="467"/>
      <c r="C37" s="468" t="s">
        <v>2462</v>
      </c>
      <c r="D37" s="467" t="s">
        <v>1536</v>
      </c>
      <c r="E37" s="672">
        <v>1</v>
      </c>
      <c r="F37" s="480">
        <v>162</v>
      </c>
      <c r="G37" s="649">
        <f t="shared" si="4"/>
        <v>162</v>
      </c>
    </row>
    <row r="38" spans="1:7" ht="19.2" outlineLevel="1">
      <c r="A38" s="467" t="s">
        <v>2194</v>
      </c>
      <c r="B38" s="467"/>
      <c r="C38" s="468" t="s">
        <v>2460</v>
      </c>
      <c r="D38" s="467" t="s">
        <v>1536</v>
      </c>
      <c r="E38" s="672">
        <v>1</v>
      </c>
      <c r="F38" s="480">
        <v>215</v>
      </c>
      <c r="G38" s="649">
        <f t="shared" si="4"/>
        <v>215</v>
      </c>
    </row>
    <row r="39" spans="1:7" outlineLevel="1">
      <c r="A39" s="467" t="s">
        <v>2194</v>
      </c>
      <c r="B39" s="467"/>
      <c r="C39" s="468" t="s">
        <v>2195</v>
      </c>
      <c r="D39" s="467" t="s">
        <v>1536</v>
      </c>
      <c r="E39" s="672">
        <v>1</v>
      </c>
      <c r="F39" s="480">
        <v>209</v>
      </c>
      <c r="G39" s="649">
        <f t="shared" si="4"/>
        <v>209</v>
      </c>
    </row>
    <row r="41" spans="1:7">
      <c r="A41" s="467" t="s">
        <v>1806</v>
      </c>
      <c r="B41" s="467" t="s">
        <v>1807</v>
      </c>
      <c r="C41" s="468" t="s">
        <v>1808</v>
      </c>
      <c r="D41" s="467" t="s">
        <v>217</v>
      </c>
      <c r="E41" s="672" t="s">
        <v>122</v>
      </c>
      <c r="F41" s="480"/>
      <c r="G41" s="645">
        <f>SUM(G42:G45)</f>
        <v>107.86999999999999</v>
      </c>
    </row>
    <row r="42" spans="1:7" outlineLevel="1">
      <c r="A42" s="467" t="s">
        <v>1725</v>
      </c>
      <c r="B42" s="467" t="s">
        <v>1726</v>
      </c>
      <c r="C42" s="468" t="s">
        <v>1727</v>
      </c>
      <c r="D42" s="467" t="s">
        <v>1592</v>
      </c>
      <c r="E42" s="672">
        <v>0.3</v>
      </c>
      <c r="F42" s="481">
        <v>15.15</v>
      </c>
      <c r="G42" s="649">
        <f t="shared" ref="G42:G45" si="5">ROUND(F42*E42,2)</f>
        <v>4.55</v>
      </c>
    </row>
    <row r="43" spans="1:7" outlineLevel="1">
      <c r="A43" s="467" t="s">
        <v>1725</v>
      </c>
      <c r="B43" s="467" t="s">
        <v>1728</v>
      </c>
      <c r="C43" s="468" t="s">
        <v>1729</v>
      </c>
      <c r="D43" s="467" t="s">
        <v>1592</v>
      </c>
      <c r="E43" s="672">
        <v>0.3</v>
      </c>
      <c r="F43" s="481">
        <v>12.05</v>
      </c>
      <c r="G43" s="649">
        <f t="shared" si="5"/>
        <v>3.62</v>
      </c>
    </row>
    <row r="44" spans="1:7" outlineLevel="1">
      <c r="A44" s="467" t="s">
        <v>1730</v>
      </c>
      <c r="B44" s="467" t="s">
        <v>1733</v>
      </c>
      <c r="C44" s="468" t="s">
        <v>1808</v>
      </c>
      <c r="D44" s="467" t="s">
        <v>217</v>
      </c>
      <c r="E44" s="672">
        <v>1.1000000000000001</v>
      </c>
      <c r="F44" s="481">
        <v>85.52</v>
      </c>
      <c r="G44" s="649">
        <f t="shared" si="5"/>
        <v>94.07</v>
      </c>
    </row>
    <row r="45" spans="1:7" outlineLevel="1">
      <c r="A45" s="467" t="s">
        <v>1730</v>
      </c>
      <c r="B45" s="467" t="s">
        <v>1731</v>
      </c>
      <c r="C45" s="468" t="s">
        <v>1732</v>
      </c>
      <c r="D45" s="467" t="s">
        <v>1594</v>
      </c>
      <c r="E45" s="672">
        <v>0.14000000000000001</v>
      </c>
      <c r="F45" s="481">
        <v>40.19</v>
      </c>
      <c r="G45" s="649">
        <f t="shared" si="5"/>
        <v>5.63</v>
      </c>
    </row>
    <row r="47" spans="1:7">
      <c r="A47" s="467" t="s">
        <v>1806</v>
      </c>
      <c r="B47" s="467" t="s">
        <v>1815</v>
      </c>
      <c r="C47" s="468" t="s">
        <v>1816</v>
      </c>
      <c r="D47" s="467" t="s">
        <v>1535</v>
      </c>
      <c r="E47" s="672" t="s">
        <v>122</v>
      </c>
      <c r="F47" s="480"/>
      <c r="G47" s="645">
        <f>SUM(G48:G50)</f>
        <v>794.52</v>
      </c>
    </row>
    <row r="48" spans="1:7" outlineLevel="1">
      <c r="A48" s="467" t="s">
        <v>1725</v>
      </c>
      <c r="B48" s="467">
        <v>85010</v>
      </c>
      <c r="C48" s="468" t="s">
        <v>1817</v>
      </c>
      <c r="D48" s="467" t="s">
        <v>1535</v>
      </c>
      <c r="E48" s="672">
        <v>1</v>
      </c>
      <c r="F48" s="481">
        <v>347.78</v>
      </c>
      <c r="G48" s="649">
        <f t="shared" ref="G48:G49" si="6">ROUND(F48*E48,2)</f>
        <v>347.78</v>
      </c>
    </row>
    <row r="49" spans="1:7" ht="19.2" outlineLevel="1">
      <c r="A49" s="467" t="s">
        <v>1850</v>
      </c>
      <c r="B49" s="467">
        <v>34391</v>
      </c>
      <c r="C49" s="468" t="s">
        <v>2040</v>
      </c>
      <c r="D49" s="467" t="s">
        <v>1535</v>
      </c>
      <c r="E49" s="672">
        <v>1</v>
      </c>
      <c r="F49" s="481">
        <v>446.74</v>
      </c>
      <c r="G49" s="649">
        <f t="shared" si="6"/>
        <v>446.74</v>
      </c>
    </row>
    <row r="50" spans="1:7">
      <c r="A50" s="467"/>
      <c r="B50" s="467"/>
      <c r="C50" s="468"/>
      <c r="D50" s="467"/>
      <c r="E50" s="672"/>
      <c r="F50" s="481"/>
      <c r="G50" s="649"/>
    </row>
    <row r="51" spans="1:7">
      <c r="A51" s="467" t="s">
        <v>1842</v>
      </c>
      <c r="B51" s="467" t="s">
        <v>1843</v>
      </c>
      <c r="C51" s="468" t="s">
        <v>1844</v>
      </c>
      <c r="D51" s="467" t="s">
        <v>1535</v>
      </c>
      <c r="E51" s="672" t="s">
        <v>122</v>
      </c>
      <c r="F51" s="480"/>
      <c r="G51" s="645">
        <f>SUM(G52:G56)</f>
        <v>0.65</v>
      </c>
    </row>
    <row r="52" spans="1:7" outlineLevel="1">
      <c r="A52" s="467" t="s">
        <v>1725</v>
      </c>
      <c r="B52" s="469">
        <v>88253</v>
      </c>
      <c r="C52" s="482" t="s">
        <v>1848</v>
      </c>
      <c r="D52" s="467" t="s">
        <v>1592</v>
      </c>
      <c r="E52" s="672">
        <v>5.0000000000000001E-3</v>
      </c>
      <c r="F52" s="478">
        <v>22.11</v>
      </c>
      <c r="G52" s="649">
        <f t="shared" ref="G52:G56" si="7">ROUND(F52*E52,2)</f>
        <v>0.11</v>
      </c>
    </row>
    <row r="53" spans="1:7" outlineLevel="1">
      <c r="A53" s="467" t="s">
        <v>1725</v>
      </c>
      <c r="B53" s="469">
        <v>90781</v>
      </c>
      <c r="C53" s="482" t="s">
        <v>1847</v>
      </c>
      <c r="D53" s="467" t="s">
        <v>1592</v>
      </c>
      <c r="E53" s="672">
        <v>5.0000000000000001E-3</v>
      </c>
      <c r="F53" s="478">
        <v>26.5</v>
      </c>
      <c r="G53" s="649">
        <f t="shared" si="7"/>
        <v>0.13</v>
      </c>
    </row>
    <row r="54" spans="1:7" outlineLevel="1">
      <c r="A54" s="467" t="s">
        <v>1850</v>
      </c>
      <c r="B54" s="469">
        <v>4492</v>
      </c>
      <c r="C54" s="482" t="s">
        <v>1849</v>
      </c>
      <c r="D54" s="467" t="s">
        <v>217</v>
      </c>
      <c r="E54" s="672">
        <v>2.4E-2</v>
      </c>
      <c r="F54" s="478">
        <v>12.12</v>
      </c>
      <c r="G54" s="649">
        <f t="shared" si="7"/>
        <v>0.28999999999999998</v>
      </c>
    </row>
    <row r="55" spans="1:7" outlineLevel="1">
      <c r="A55" s="467" t="s">
        <v>1850</v>
      </c>
      <c r="B55" s="469">
        <v>5074</v>
      </c>
      <c r="C55" s="482" t="s">
        <v>1845</v>
      </c>
      <c r="D55" s="467" t="s">
        <v>1594</v>
      </c>
      <c r="E55" s="672">
        <v>5.0000000000000001E-4</v>
      </c>
      <c r="F55" s="478">
        <v>9.68</v>
      </c>
      <c r="G55" s="649">
        <f t="shared" si="7"/>
        <v>0</v>
      </c>
    </row>
    <row r="56" spans="1:7" outlineLevel="1">
      <c r="A56" s="470" t="s">
        <v>605</v>
      </c>
      <c r="B56" s="471">
        <v>88316</v>
      </c>
      <c r="C56" s="470" t="s">
        <v>1846</v>
      </c>
      <c r="D56" s="509" t="s">
        <v>1592</v>
      </c>
      <c r="E56" s="670">
        <v>0.01</v>
      </c>
      <c r="F56" s="478">
        <v>12.05</v>
      </c>
      <c r="G56" s="649">
        <f t="shared" si="7"/>
        <v>0.12</v>
      </c>
    </row>
    <row r="58" spans="1:7">
      <c r="A58" s="467" t="s">
        <v>1842</v>
      </c>
      <c r="B58" s="467" t="s">
        <v>1856</v>
      </c>
      <c r="C58" s="468" t="s">
        <v>1857</v>
      </c>
      <c r="D58" s="467" t="s">
        <v>1535</v>
      </c>
      <c r="E58" s="672" t="s">
        <v>122</v>
      </c>
      <c r="F58" s="480"/>
      <c r="G58" s="645">
        <f>SUM(G59:G61)</f>
        <v>54.67</v>
      </c>
    </row>
    <row r="59" spans="1:7" outlineLevel="1">
      <c r="A59" s="467" t="s">
        <v>1725</v>
      </c>
      <c r="B59" s="469">
        <v>72224</v>
      </c>
      <c r="C59" s="482" t="s">
        <v>1858</v>
      </c>
      <c r="D59" s="467" t="s">
        <v>1535</v>
      </c>
      <c r="E59" s="672">
        <v>1</v>
      </c>
      <c r="F59" s="478">
        <v>7.23</v>
      </c>
      <c r="G59" s="649">
        <f t="shared" ref="G59:G61" si="8">ROUND(F59*E59,2)</f>
        <v>7.23</v>
      </c>
    </row>
    <row r="60" spans="1:7" outlineLevel="1">
      <c r="A60" s="467" t="s">
        <v>1725</v>
      </c>
      <c r="B60" s="469">
        <v>72228</v>
      </c>
      <c r="C60" s="482" t="s">
        <v>1859</v>
      </c>
      <c r="D60" s="467" t="s">
        <v>1535</v>
      </c>
      <c r="E60" s="672">
        <v>1</v>
      </c>
      <c r="F60" s="478">
        <v>13.52</v>
      </c>
      <c r="G60" s="649">
        <f t="shared" si="8"/>
        <v>13.52</v>
      </c>
    </row>
    <row r="61" spans="1:7" outlineLevel="1">
      <c r="A61" s="467" t="s">
        <v>1725</v>
      </c>
      <c r="B61" s="469" t="s">
        <v>1860</v>
      </c>
      <c r="C61" s="482" t="s">
        <v>1861</v>
      </c>
      <c r="D61" s="467" t="s">
        <v>646</v>
      </c>
      <c r="E61" s="672">
        <v>0.5</v>
      </c>
      <c r="F61" s="478">
        <v>67.84</v>
      </c>
      <c r="G61" s="649">
        <f t="shared" si="8"/>
        <v>33.92</v>
      </c>
    </row>
    <row r="63" spans="1:7">
      <c r="A63" s="467" t="s">
        <v>1842</v>
      </c>
      <c r="B63" s="467" t="s">
        <v>1862</v>
      </c>
      <c r="C63" s="468" t="s">
        <v>1863</v>
      </c>
      <c r="D63" s="467" t="s">
        <v>1535</v>
      </c>
      <c r="E63" s="672" t="s">
        <v>122</v>
      </c>
      <c r="F63" s="480"/>
      <c r="G63" s="645">
        <f>SUM(G64:G64)</f>
        <v>10.18</v>
      </c>
    </row>
    <row r="64" spans="1:7" outlineLevel="1">
      <c r="A64" s="467" t="s">
        <v>605</v>
      </c>
      <c r="B64" s="469" t="s">
        <v>1860</v>
      </c>
      <c r="C64" s="482" t="s">
        <v>1861</v>
      </c>
      <c r="D64" s="467" t="s">
        <v>646</v>
      </c>
      <c r="E64" s="672">
        <v>0.15</v>
      </c>
      <c r="F64" s="478">
        <v>67.84</v>
      </c>
      <c r="G64" s="649">
        <f>ROUND(F64*E64,2)</f>
        <v>10.18</v>
      </c>
    </row>
    <row r="66" spans="1:7">
      <c r="A66" s="467" t="s">
        <v>1866</v>
      </c>
      <c r="B66" s="467" t="s">
        <v>1867</v>
      </c>
      <c r="C66" s="468" t="s">
        <v>1868</v>
      </c>
      <c r="D66" s="467" t="s">
        <v>1869</v>
      </c>
      <c r="E66" s="672" t="s">
        <v>122</v>
      </c>
      <c r="F66" s="480"/>
      <c r="G66" s="645">
        <f>SUM(G67:G72)</f>
        <v>3945.6499999999996</v>
      </c>
    </row>
    <row r="67" spans="1:7" outlineLevel="1">
      <c r="A67" s="467" t="s">
        <v>1725</v>
      </c>
      <c r="B67" s="469">
        <v>93557</v>
      </c>
      <c r="C67" s="482" t="s">
        <v>1870</v>
      </c>
      <c r="D67" s="467" t="s">
        <v>1869</v>
      </c>
      <c r="E67" s="672">
        <v>0.05</v>
      </c>
      <c r="F67" s="478">
        <v>209.98</v>
      </c>
      <c r="G67" s="649">
        <f t="shared" ref="G67:G72" si="9">ROUND(F67*E67,2)</f>
        <v>10.5</v>
      </c>
    </row>
    <row r="68" spans="1:7" outlineLevel="1">
      <c r="A68" s="467" t="s">
        <v>1730</v>
      </c>
      <c r="B68" s="469">
        <v>40941</v>
      </c>
      <c r="C68" s="482" t="s">
        <v>1873</v>
      </c>
      <c r="D68" s="467" t="s">
        <v>1869</v>
      </c>
      <c r="E68" s="672">
        <v>1</v>
      </c>
      <c r="F68" s="478">
        <v>3386.26</v>
      </c>
      <c r="G68" s="649">
        <f t="shared" si="9"/>
        <v>3386.26</v>
      </c>
    </row>
    <row r="69" spans="1:7" outlineLevel="1">
      <c r="A69" s="467" t="s">
        <v>1730</v>
      </c>
      <c r="B69" s="469">
        <v>40863</v>
      </c>
      <c r="C69" s="482" t="s">
        <v>1871</v>
      </c>
      <c r="D69" s="467" t="s">
        <v>1869</v>
      </c>
      <c r="E69" s="672">
        <v>1</v>
      </c>
      <c r="F69" s="478">
        <v>56.87</v>
      </c>
      <c r="G69" s="649">
        <f t="shared" si="9"/>
        <v>56.87</v>
      </c>
    </row>
    <row r="70" spans="1:7" outlineLevel="1">
      <c r="A70" s="467" t="s">
        <v>1730</v>
      </c>
      <c r="B70" s="469">
        <v>40864</v>
      </c>
      <c r="C70" s="482" t="s">
        <v>1872</v>
      </c>
      <c r="D70" s="467" t="s">
        <v>1869</v>
      </c>
      <c r="E70" s="672">
        <v>1</v>
      </c>
      <c r="F70" s="478">
        <v>12.97</v>
      </c>
      <c r="G70" s="649">
        <f t="shared" si="9"/>
        <v>12.97</v>
      </c>
    </row>
    <row r="71" spans="1:7" outlineLevel="1">
      <c r="A71" s="467" t="s">
        <v>1730</v>
      </c>
      <c r="B71" s="469">
        <v>40861</v>
      </c>
      <c r="C71" s="482" t="s">
        <v>1885</v>
      </c>
      <c r="D71" s="467" t="s">
        <v>1869</v>
      </c>
      <c r="E71" s="672">
        <v>1</v>
      </c>
      <c r="F71" s="478">
        <v>80.290000000000006</v>
      </c>
      <c r="G71" s="649">
        <f t="shared" si="9"/>
        <v>80.290000000000006</v>
      </c>
    </row>
    <row r="72" spans="1:7" outlineLevel="1">
      <c r="A72" s="470" t="s">
        <v>1730</v>
      </c>
      <c r="B72" s="469">
        <v>40862</v>
      </c>
      <c r="C72" s="470" t="s">
        <v>1884</v>
      </c>
      <c r="D72" s="509" t="s">
        <v>1869</v>
      </c>
      <c r="E72" s="670">
        <v>1</v>
      </c>
      <c r="F72" s="478">
        <v>398.76</v>
      </c>
      <c r="G72" s="649">
        <f t="shared" si="9"/>
        <v>398.76</v>
      </c>
    </row>
    <row r="74" spans="1:7">
      <c r="A74" s="467" t="s">
        <v>1866</v>
      </c>
      <c r="B74" s="467" t="s">
        <v>1874</v>
      </c>
      <c r="C74" s="468" t="s">
        <v>1875</v>
      </c>
      <c r="D74" s="467" t="s">
        <v>1869</v>
      </c>
      <c r="E74" s="672" t="s">
        <v>122</v>
      </c>
      <c r="F74" s="480"/>
      <c r="G74" s="645">
        <f>SUM(G75:G78)</f>
        <v>18883.5</v>
      </c>
    </row>
    <row r="75" spans="1:7" outlineLevel="1">
      <c r="A75" s="467" t="s">
        <v>1725</v>
      </c>
      <c r="B75" s="469">
        <v>93557</v>
      </c>
      <c r="C75" s="482" t="s">
        <v>1870</v>
      </c>
      <c r="D75" s="467" t="s">
        <v>1869</v>
      </c>
      <c r="E75" s="672">
        <v>0.05</v>
      </c>
      <c r="F75" s="478">
        <v>209.98</v>
      </c>
      <c r="G75" s="649">
        <f t="shared" ref="G75:G78" si="10">ROUND(F75*E75,2)</f>
        <v>10.5</v>
      </c>
    </row>
    <row r="76" spans="1:7" outlineLevel="1">
      <c r="A76" s="467" t="s">
        <v>1730</v>
      </c>
      <c r="B76" s="469">
        <v>40939</v>
      </c>
      <c r="C76" s="482" t="s">
        <v>1876</v>
      </c>
      <c r="D76" s="467" t="s">
        <v>1869</v>
      </c>
      <c r="E76" s="672">
        <v>1</v>
      </c>
      <c r="F76" s="478">
        <v>18803.16</v>
      </c>
      <c r="G76" s="649">
        <f t="shared" si="10"/>
        <v>18803.16</v>
      </c>
    </row>
    <row r="77" spans="1:7" outlineLevel="1">
      <c r="A77" s="467" t="s">
        <v>1730</v>
      </c>
      <c r="B77" s="469">
        <v>40863</v>
      </c>
      <c r="C77" s="482" t="s">
        <v>1871</v>
      </c>
      <c r="D77" s="467" t="s">
        <v>1869</v>
      </c>
      <c r="E77" s="672">
        <v>1</v>
      </c>
      <c r="F77" s="478">
        <v>56.87</v>
      </c>
      <c r="G77" s="649">
        <f t="shared" si="10"/>
        <v>56.87</v>
      </c>
    </row>
    <row r="78" spans="1:7" outlineLevel="1">
      <c r="A78" s="467" t="s">
        <v>1730</v>
      </c>
      <c r="B78" s="469">
        <v>40864</v>
      </c>
      <c r="C78" s="482" t="s">
        <v>1872</v>
      </c>
      <c r="D78" s="467" t="s">
        <v>1869</v>
      </c>
      <c r="E78" s="672">
        <v>1</v>
      </c>
      <c r="F78" s="478">
        <v>12.97</v>
      </c>
      <c r="G78" s="649">
        <f t="shared" si="10"/>
        <v>12.97</v>
      </c>
    </row>
    <row r="80" spans="1:7">
      <c r="A80" s="467" t="s">
        <v>1866</v>
      </c>
      <c r="B80" s="467" t="s">
        <v>1880</v>
      </c>
      <c r="C80" s="468" t="s">
        <v>1881</v>
      </c>
      <c r="D80" s="467" t="s">
        <v>1869</v>
      </c>
      <c r="E80" s="672" t="s">
        <v>122</v>
      </c>
      <c r="F80" s="480"/>
      <c r="G80" s="645">
        <f>SUM(G81:G86)</f>
        <v>2928.79</v>
      </c>
    </row>
    <row r="81" spans="1:7" outlineLevel="1">
      <c r="A81" s="467" t="s">
        <v>1725</v>
      </c>
      <c r="B81" s="469">
        <v>93557</v>
      </c>
      <c r="C81" s="482" t="s">
        <v>1870</v>
      </c>
      <c r="D81" s="467" t="s">
        <v>1869</v>
      </c>
      <c r="E81" s="672">
        <v>0.05</v>
      </c>
      <c r="F81" s="478">
        <v>209.98</v>
      </c>
      <c r="G81" s="649">
        <f t="shared" ref="G81:G86" si="11">ROUND(F81*E81,2)</f>
        <v>10.5</v>
      </c>
    </row>
    <row r="82" spans="1:7" outlineLevel="1">
      <c r="A82" s="467" t="s">
        <v>1730</v>
      </c>
      <c r="B82" s="469">
        <v>41776</v>
      </c>
      <c r="C82" s="482" t="s">
        <v>1937</v>
      </c>
      <c r="D82" s="467" t="s">
        <v>1869</v>
      </c>
      <c r="E82" s="672">
        <v>220</v>
      </c>
      <c r="F82" s="478">
        <v>10.77</v>
      </c>
      <c r="G82" s="649">
        <f t="shared" si="11"/>
        <v>2369.4</v>
      </c>
    </row>
    <row r="83" spans="1:7" outlineLevel="1">
      <c r="A83" s="467" t="s">
        <v>1730</v>
      </c>
      <c r="B83" s="469">
        <v>40863</v>
      </c>
      <c r="C83" s="482" t="s">
        <v>1871</v>
      </c>
      <c r="D83" s="467" t="s">
        <v>1869</v>
      </c>
      <c r="E83" s="672">
        <v>1</v>
      </c>
      <c r="F83" s="478">
        <v>56.87</v>
      </c>
      <c r="G83" s="649">
        <f t="shared" si="11"/>
        <v>56.87</v>
      </c>
    </row>
    <row r="84" spans="1:7" outlineLevel="1">
      <c r="A84" s="467" t="s">
        <v>1730</v>
      </c>
      <c r="B84" s="469">
        <v>40864</v>
      </c>
      <c r="C84" s="482" t="s">
        <v>1872</v>
      </c>
      <c r="D84" s="467" t="s">
        <v>1869</v>
      </c>
      <c r="E84" s="672">
        <v>1</v>
      </c>
      <c r="F84" s="478">
        <v>12.97</v>
      </c>
      <c r="G84" s="649">
        <f t="shared" si="11"/>
        <v>12.97</v>
      </c>
    </row>
    <row r="85" spans="1:7" outlineLevel="1">
      <c r="A85" s="467" t="s">
        <v>1730</v>
      </c>
      <c r="B85" s="469">
        <v>40861</v>
      </c>
      <c r="C85" s="482" t="s">
        <v>1885</v>
      </c>
      <c r="D85" s="467" t="s">
        <v>1869</v>
      </c>
      <c r="E85" s="672">
        <v>1</v>
      </c>
      <c r="F85" s="478">
        <v>80.290000000000006</v>
      </c>
      <c r="G85" s="649">
        <f t="shared" si="11"/>
        <v>80.290000000000006</v>
      </c>
    </row>
    <row r="86" spans="1:7" outlineLevel="1">
      <c r="A86" s="470" t="s">
        <v>1730</v>
      </c>
      <c r="B86" s="469">
        <v>40862</v>
      </c>
      <c r="C86" s="470" t="s">
        <v>1884</v>
      </c>
      <c r="D86" s="509" t="s">
        <v>1869</v>
      </c>
      <c r="E86" s="670">
        <v>1</v>
      </c>
      <c r="F86" s="478">
        <v>398.76</v>
      </c>
      <c r="G86" s="649">
        <f t="shared" si="11"/>
        <v>398.76</v>
      </c>
    </row>
    <row r="88" spans="1:7">
      <c r="A88" s="467" t="s">
        <v>1866</v>
      </c>
      <c r="B88" s="467" t="s">
        <v>1883</v>
      </c>
      <c r="C88" s="468" t="s">
        <v>1882</v>
      </c>
      <c r="D88" s="467" t="s">
        <v>1869</v>
      </c>
      <c r="E88" s="672" t="s">
        <v>122</v>
      </c>
      <c r="F88" s="480"/>
      <c r="G88" s="645">
        <f>SUM(G89:G94)</f>
        <v>1974.7099999999998</v>
      </c>
    </row>
    <row r="89" spans="1:7" outlineLevel="1">
      <c r="A89" s="467" t="s">
        <v>1725</v>
      </c>
      <c r="B89" s="469">
        <v>93557</v>
      </c>
      <c r="C89" s="482" t="s">
        <v>1870</v>
      </c>
      <c r="D89" s="467" t="s">
        <v>1869</v>
      </c>
      <c r="E89" s="672">
        <v>0.05</v>
      </c>
      <c r="F89" s="478">
        <v>209.98</v>
      </c>
      <c r="G89" s="649">
        <f t="shared" ref="G89:G94" si="12">ROUND(F89*E89,2)</f>
        <v>10.5</v>
      </c>
    </row>
    <row r="90" spans="1:7" outlineLevel="1">
      <c r="A90" s="467" t="s">
        <v>1730</v>
      </c>
      <c r="B90" s="469">
        <v>40908</v>
      </c>
      <c r="C90" s="482" t="s">
        <v>1882</v>
      </c>
      <c r="D90" s="467" t="s">
        <v>1869</v>
      </c>
      <c r="E90" s="672">
        <v>1</v>
      </c>
      <c r="F90" s="478">
        <v>1415.32</v>
      </c>
      <c r="G90" s="649">
        <f t="shared" si="12"/>
        <v>1415.32</v>
      </c>
    </row>
    <row r="91" spans="1:7" outlineLevel="1">
      <c r="A91" s="467" t="s">
        <v>1730</v>
      </c>
      <c r="B91" s="469">
        <v>40863</v>
      </c>
      <c r="C91" s="482" t="s">
        <v>1871</v>
      </c>
      <c r="D91" s="467" t="s">
        <v>1869</v>
      </c>
      <c r="E91" s="672">
        <v>1</v>
      </c>
      <c r="F91" s="478">
        <v>56.87</v>
      </c>
      <c r="G91" s="649">
        <f t="shared" si="12"/>
        <v>56.87</v>
      </c>
    </row>
    <row r="92" spans="1:7" outlineLevel="1">
      <c r="A92" s="467" t="s">
        <v>1730</v>
      </c>
      <c r="B92" s="469">
        <v>40864</v>
      </c>
      <c r="C92" s="482" t="s">
        <v>1872</v>
      </c>
      <c r="D92" s="467" t="s">
        <v>1869</v>
      </c>
      <c r="E92" s="672">
        <v>1</v>
      </c>
      <c r="F92" s="478">
        <v>12.97</v>
      </c>
      <c r="G92" s="649">
        <f t="shared" si="12"/>
        <v>12.97</v>
      </c>
    </row>
    <row r="93" spans="1:7" outlineLevel="1">
      <c r="A93" s="467" t="s">
        <v>1730</v>
      </c>
      <c r="B93" s="469">
        <v>40861</v>
      </c>
      <c r="C93" s="482" t="s">
        <v>1885</v>
      </c>
      <c r="D93" s="467" t="s">
        <v>1869</v>
      </c>
      <c r="E93" s="672">
        <v>1</v>
      </c>
      <c r="F93" s="478">
        <v>80.290000000000006</v>
      </c>
      <c r="G93" s="649">
        <f t="shared" si="12"/>
        <v>80.290000000000006</v>
      </c>
    </row>
    <row r="94" spans="1:7" outlineLevel="1">
      <c r="A94" s="470" t="s">
        <v>1730</v>
      </c>
      <c r="B94" s="469">
        <v>40862</v>
      </c>
      <c r="C94" s="470" t="s">
        <v>1884</v>
      </c>
      <c r="D94" s="509" t="s">
        <v>1869</v>
      </c>
      <c r="E94" s="670">
        <v>1</v>
      </c>
      <c r="F94" s="478">
        <v>398.76</v>
      </c>
      <c r="G94" s="649">
        <f t="shared" si="12"/>
        <v>398.76</v>
      </c>
    </row>
    <row r="96" spans="1:7">
      <c r="A96" s="467" t="s">
        <v>1866</v>
      </c>
      <c r="B96" s="467" t="s">
        <v>1887</v>
      </c>
      <c r="C96" s="468" t="s">
        <v>1886</v>
      </c>
      <c r="D96" s="467" t="s">
        <v>1869</v>
      </c>
      <c r="E96" s="672" t="s">
        <v>122</v>
      </c>
      <c r="F96" s="480"/>
      <c r="G96" s="651">
        <f>SUM(G97:G102)</f>
        <v>5817.46</v>
      </c>
    </row>
    <row r="97" spans="1:10" outlineLevel="1">
      <c r="A97" s="468" t="s">
        <v>1725</v>
      </c>
      <c r="B97" s="469">
        <v>93557</v>
      </c>
      <c r="C97" s="482" t="s">
        <v>1870</v>
      </c>
      <c r="D97" s="467" t="s">
        <v>1869</v>
      </c>
      <c r="E97" s="672">
        <v>0.05</v>
      </c>
      <c r="F97" s="478">
        <v>209.98</v>
      </c>
      <c r="G97" s="649">
        <f t="shared" ref="G97:G102" si="13">ROUND(F97*E97,2)</f>
        <v>10.5</v>
      </c>
    </row>
    <row r="98" spans="1:10" outlineLevel="1">
      <c r="A98" s="468" t="s">
        <v>1730</v>
      </c>
      <c r="B98" s="469">
        <v>40931</v>
      </c>
      <c r="C98" s="482" t="s">
        <v>1888</v>
      </c>
      <c r="D98" s="467" t="s">
        <v>1869</v>
      </c>
      <c r="E98" s="672">
        <v>1</v>
      </c>
      <c r="F98" s="478">
        <v>5258.07</v>
      </c>
      <c r="G98" s="649">
        <f t="shared" si="13"/>
        <v>5258.07</v>
      </c>
    </row>
    <row r="99" spans="1:10" outlineLevel="1">
      <c r="A99" s="468" t="s">
        <v>1730</v>
      </c>
      <c r="B99" s="469">
        <v>40863</v>
      </c>
      <c r="C99" s="482" t="s">
        <v>1871</v>
      </c>
      <c r="D99" s="467" t="s">
        <v>1869</v>
      </c>
      <c r="E99" s="672">
        <v>1</v>
      </c>
      <c r="F99" s="478">
        <v>56.87</v>
      </c>
      <c r="G99" s="649">
        <f t="shared" si="13"/>
        <v>56.87</v>
      </c>
    </row>
    <row r="100" spans="1:10" outlineLevel="1">
      <c r="A100" s="468" t="s">
        <v>1730</v>
      </c>
      <c r="B100" s="469">
        <v>40864</v>
      </c>
      <c r="C100" s="482" t="s">
        <v>1872</v>
      </c>
      <c r="D100" s="467" t="s">
        <v>1869</v>
      </c>
      <c r="E100" s="672">
        <v>1</v>
      </c>
      <c r="F100" s="478">
        <v>12.97</v>
      </c>
      <c r="G100" s="649">
        <f t="shared" si="13"/>
        <v>12.97</v>
      </c>
    </row>
    <row r="101" spans="1:10" outlineLevel="1">
      <c r="A101" s="468" t="s">
        <v>1730</v>
      </c>
      <c r="B101" s="469">
        <v>40861</v>
      </c>
      <c r="C101" s="482" t="s">
        <v>1885</v>
      </c>
      <c r="D101" s="467" t="s">
        <v>1869</v>
      </c>
      <c r="E101" s="672">
        <v>1</v>
      </c>
      <c r="F101" s="478">
        <v>80.290000000000006</v>
      </c>
      <c r="G101" s="649">
        <f t="shared" si="13"/>
        <v>80.290000000000006</v>
      </c>
    </row>
    <row r="102" spans="1:10" outlineLevel="1">
      <c r="A102" s="685" t="s">
        <v>1730</v>
      </c>
      <c r="B102" s="469">
        <v>40862</v>
      </c>
      <c r="C102" s="470" t="s">
        <v>1884</v>
      </c>
      <c r="D102" s="509" t="s">
        <v>1869</v>
      </c>
      <c r="E102" s="670">
        <v>1</v>
      </c>
      <c r="F102" s="478">
        <v>398.76</v>
      </c>
      <c r="G102" s="649">
        <f t="shared" si="13"/>
        <v>398.76</v>
      </c>
    </row>
    <row r="104" spans="1:10" ht="20.399999999999999">
      <c r="A104" s="467" t="s">
        <v>1866</v>
      </c>
      <c r="B104" s="467" t="s">
        <v>1930</v>
      </c>
      <c r="C104" s="472" t="s">
        <v>1931</v>
      </c>
      <c r="D104" s="510" t="s">
        <v>601</v>
      </c>
      <c r="E104" s="673" t="s">
        <v>1536</v>
      </c>
      <c r="F104" s="483"/>
      <c r="G104" s="652">
        <f>SUM(G105:G106)</f>
        <v>57.92</v>
      </c>
      <c r="H104" s="473"/>
    </row>
    <row r="105" spans="1:10" outlineLevel="1">
      <c r="A105" s="467" t="s">
        <v>1725</v>
      </c>
      <c r="B105" s="467">
        <v>88297</v>
      </c>
      <c r="C105" s="468" t="s">
        <v>1933</v>
      </c>
      <c r="D105" s="467" t="s">
        <v>1592</v>
      </c>
      <c r="E105" s="672">
        <v>1</v>
      </c>
      <c r="F105" s="481">
        <v>32.479999999999997</v>
      </c>
      <c r="G105" s="649">
        <f t="shared" ref="G105:G107" si="14">ROUND(F105*E105,2)</f>
        <v>32.479999999999997</v>
      </c>
    </row>
    <row r="106" spans="1:10" outlineLevel="1">
      <c r="A106" s="467" t="s">
        <v>1725</v>
      </c>
      <c r="B106" s="467">
        <v>88241</v>
      </c>
      <c r="C106" s="468" t="s">
        <v>1932</v>
      </c>
      <c r="D106" s="467" t="s">
        <v>1592</v>
      </c>
      <c r="E106" s="672">
        <v>2</v>
      </c>
      <c r="F106" s="481">
        <v>12.72</v>
      </c>
      <c r="G106" s="649">
        <f t="shared" si="14"/>
        <v>25.44</v>
      </c>
    </row>
    <row r="107" spans="1:10">
      <c r="A107" s="467"/>
      <c r="B107" s="469"/>
      <c r="C107" s="482"/>
      <c r="D107" s="467"/>
      <c r="E107" s="672"/>
      <c r="F107" s="478"/>
      <c r="G107" s="649">
        <f t="shared" si="14"/>
        <v>0</v>
      </c>
    </row>
    <row r="108" spans="1:10" ht="28.8">
      <c r="A108" s="467" t="s">
        <v>1965</v>
      </c>
      <c r="B108" s="467" t="s">
        <v>1968</v>
      </c>
      <c r="C108" s="468" t="s">
        <v>1971</v>
      </c>
      <c r="D108" s="467" t="s">
        <v>1535</v>
      </c>
      <c r="E108" s="672" t="s">
        <v>122</v>
      </c>
      <c r="F108" s="480"/>
      <c r="G108" s="645">
        <f>SUM(G109:G112)</f>
        <v>42.46</v>
      </c>
    </row>
    <row r="109" spans="1:10" ht="38.4" outlineLevel="1">
      <c r="A109" s="467" t="s">
        <v>1725</v>
      </c>
      <c r="B109" s="467" t="s">
        <v>1966</v>
      </c>
      <c r="C109" s="468" t="s">
        <v>1967</v>
      </c>
      <c r="D109" s="467" t="s">
        <v>646</v>
      </c>
      <c r="E109" s="672">
        <v>1.35E-2</v>
      </c>
      <c r="F109" s="481">
        <v>263.37</v>
      </c>
      <c r="G109" s="649">
        <f t="shared" ref="G109:G112" si="15">ROUND(F109*E109,2)</f>
        <v>3.56</v>
      </c>
    </row>
    <row r="110" spans="1:10" outlineLevel="1">
      <c r="A110" s="467" t="s">
        <v>1725</v>
      </c>
      <c r="B110" s="467" t="s">
        <v>1726</v>
      </c>
      <c r="C110" s="468" t="s">
        <v>1727</v>
      </c>
      <c r="D110" s="467" t="s">
        <v>1592</v>
      </c>
      <c r="E110" s="672">
        <v>1</v>
      </c>
      <c r="F110" s="481">
        <v>15.15</v>
      </c>
      <c r="G110" s="649">
        <f t="shared" si="15"/>
        <v>15.15</v>
      </c>
    </row>
    <row r="111" spans="1:10" outlineLevel="1">
      <c r="A111" s="467" t="s">
        <v>1725</v>
      </c>
      <c r="B111" s="467" t="s">
        <v>1728</v>
      </c>
      <c r="C111" s="468" t="s">
        <v>1729</v>
      </c>
      <c r="D111" s="467" t="s">
        <v>1592</v>
      </c>
      <c r="E111" s="672">
        <v>1</v>
      </c>
      <c r="F111" s="481">
        <v>12.05</v>
      </c>
      <c r="G111" s="649">
        <f t="shared" si="15"/>
        <v>12.05</v>
      </c>
    </row>
    <row r="112" spans="1:10" outlineLevel="1">
      <c r="A112" s="467" t="s">
        <v>1730</v>
      </c>
      <c r="B112" s="467">
        <v>7271</v>
      </c>
      <c r="C112" s="468" t="s">
        <v>1972</v>
      </c>
      <c r="D112" s="467" t="s">
        <v>1536</v>
      </c>
      <c r="E112" s="672">
        <v>26</v>
      </c>
      <c r="F112" s="481">
        <v>0.45</v>
      </c>
      <c r="G112" s="649">
        <f t="shared" si="15"/>
        <v>11.7</v>
      </c>
      <c r="J112" s="476">
        <f>0.16*0.21</f>
        <v>3.3599999999999998E-2</v>
      </c>
    </row>
    <row r="114" spans="1:7" ht="28.8">
      <c r="A114" s="474" t="s">
        <v>1965</v>
      </c>
      <c r="B114" s="474" t="s">
        <v>1969</v>
      </c>
      <c r="C114" s="475" t="s">
        <v>1980</v>
      </c>
      <c r="D114" s="474" t="s">
        <v>1535</v>
      </c>
      <c r="E114" s="674" t="s">
        <v>122</v>
      </c>
      <c r="F114" s="487"/>
      <c r="G114" s="647">
        <f>SUM(G115:G119)</f>
        <v>415.49</v>
      </c>
    </row>
    <row r="115" spans="1:7" outlineLevel="1">
      <c r="A115" s="474" t="s">
        <v>1725</v>
      </c>
      <c r="B115" s="474" t="s">
        <v>1974</v>
      </c>
      <c r="C115" s="475" t="s">
        <v>1975</v>
      </c>
      <c r="D115" s="474" t="s">
        <v>1592</v>
      </c>
      <c r="E115" s="674">
        <v>4.8</v>
      </c>
      <c r="F115" s="481">
        <v>14.52</v>
      </c>
      <c r="G115" s="649">
        <f t="shared" ref="G115:G119" si="16">ROUND(F115*E115,2)</f>
        <v>69.7</v>
      </c>
    </row>
    <row r="116" spans="1:7" outlineLevel="1">
      <c r="A116" s="474" t="s">
        <v>1725</v>
      </c>
      <c r="B116" s="474" t="s">
        <v>1728</v>
      </c>
      <c r="C116" s="475" t="s">
        <v>1729</v>
      </c>
      <c r="D116" s="474" t="s">
        <v>1592</v>
      </c>
      <c r="E116" s="674">
        <v>2.2999999999999998</v>
      </c>
      <c r="F116" s="481">
        <v>12.05</v>
      </c>
      <c r="G116" s="649">
        <f t="shared" si="16"/>
        <v>27.72</v>
      </c>
    </row>
    <row r="117" spans="1:7" ht="19.2" outlineLevel="1">
      <c r="A117" s="474" t="s">
        <v>1725</v>
      </c>
      <c r="B117" s="474" t="s">
        <v>1976</v>
      </c>
      <c r="C117" s="475" t="s">
        <v>1977</v>
      </c>
      <c r="D117" s="474" t="s">
        <v>646</v>
      </c>
      <c r="E117" s="674">
        <v>3.3E-3</v>
      </c>
      <c r="F117" s="481">
        <v>308.14999999999998</v>
      </c>
      <c r="G117" s="649">
        <f t="shared" si="16"/>
        <v>1.02</v>
      </c>
    </row>
    <row r="118" spans="1:7" outlineLevel="1">
      <c r="A118" s="474" t="s">
        <v>1730</v>
      </c>
      <c r="B118" s="474" t="s">
        <v>1978</v>
      </c>
      <c r="C118" s="475" t="s">
        <v>1979</v>
      </c>
      <c r="D118" s="474" t="s">
        <v>1594</v>
      </c>
      <c r="E118" s="674">
        <v>0.7</v>
      </c>
      <c r="F118" s="481">
        <v>2.93</v>
      </c>
      <c r="G118" s="649">
        <f t="shared" si="16"/>
        <v>2.0499999999999998</v>
      </c>
    </row>
    <row r="119" spans="1:7" outlineLevel="1">
      <c r="A119" s="474" t="s">
        <v>1982</v>
      </c>
      <c r="B119" s="474">
        <v>7917</v>
      </c>
      <c r="C119" s="475" t="s">
        <v>1981</v>
      </c>
      <c r="D119" s="474" t="s">
        <v>1535</v>
      </c>
      <c r="E119" s="674">
        <v>1</v>
      </c>
      <c r="F119" s="481">
        <v>315</v>
      </c>
      <c r="G119" s="649">
        <f t="shared" si="16"/>
        <v>315</v>
      </c>
    </row>
    <row r="121" spans="1:7" ht="38.4">
      <c r="A121" s="474" t="s">
        <v>1984</v>
      </c>
      <c r="B121" s="474" t="s">
        <v>1970</v>
      </c>
      <c r="C121" s="475" t="s">
        <v>2001</v>
      </c>
      <c r="D121" s="474" t="s">
        <v>1536</v>
      </c>
      <c r="E121" s="674" t="s">
        <v>122</v>
      </c>
      <c r="F121" s="487"/>
      <c r="G121" s="647">
        <f>SUM(G122:G133)</f>
        <v>624.44000000000005</v>
      </c>
    </row>
    <row r="122" spans="1:7" outlineLevel="1">
      <c r="A122" s="474" t="s">
        <v>1725</v>
      </c>
      <c r="B122" s="474" t="s">
        <v>1985</v>
      </c>
      <c r="C122" s="475" t="s">
        <v>1986</v>
      </c>
      <c r="D122" s="474" t="s">
        <v>1592</v>
      </c>
      <c r="E122" s="674">
        <v>2.19</v>
      </c>
      <c r="F122" s="481">
        <v>14.99</v>
      </c>
      <c r="G122" s="649">
        <f t="shared" ref="G122:G132" si="17">ROUND(F122*E122,2)</f>
        <v>32.83</v>
      </c>
    </row>
    <row r="123" spans="1:7" outlineLevel="1">
      <c r="A123" s="474" t="s">
        <v>1725</v>
      </c>
      <c r="B123" s="474" t="s">
        <v>1726</v>
      </c>
      <c r="C123" s="475" t="s">
        <v>1727</v>
      </c>
      <c r="D123" s="474" t="s">
        <v>1592</v>
      </c>
      <c r="E123" s="674">
        <v>1.512</v>
      </c>
      <c r="F123" s="481">
        <v>15.15</v>
      </c>
      <c r="G123" s="649">
        <f t="shared" si="17"/>
        <v>22.91</v>
      </c>
    </row>
    <row r="124" spans="1:7" outlineLevel="1">
      <c r="A124" s="474" t="s">
        <v>1725</v>
      </c>
      <c r="B124" s="474" t="s">
        <v>1728</v>
      </c>
      <c r="C124" s="475" t="s">
        <v>1729</v>
      </c>
      <c r="D124" s="474" t="s">
        <v>1592</v>
      </c>
      <c r="E124" s="674">
        <v>3.702</v>
      </c>
      <c r="F124" s="481">
        <v>12.05</v>
      </c>
      <c r="G124" s="649">
        <f t="shared" si="17"/>
        <v>44.61</v>
      </c>
    </row>
    <row r="125" spans="1:7" ht="19.2" outlineLevel="1">
      <c r="A125" s="474" t="s">
        <v>1725</v>
      </c>
      <c r="B125" s="474" t="s">
        <v>1987</v>
      </c>
      <c r="C125" s="475" t="s">
        <v>1988</v>
      </c>
      <c r="D125" s="474" t="s">
        <v>646</v>
      </c>
      <c r="E125" s="674">
        <v>1.0800000000000001E-2</v>
      </c>
      <c r="F125" s="481">
        <v>319.20999999999998</v>
      </c>
      <c r="G125" s="649">
        <f t="shared" si="17"/>
        <v>3.45</v>
      </c>
    </row>
    <row r="126" spans="1:7" ht="28.8" outlineLevel="1">
      <c r="A126" s="474" t="s">
        <v>1730</v>
      </c>
      <c r="B126" s="474" t="s">
        <v>1989</v>
      </c>
      <c r="C126" s="475" t="s">
        <v>1990</v>
      </c>
      <c r="D126" s="474" t="s">
        <v>1991</v>
      </c>
      <c r="E126" s="674">
        <v>1</v>
      </c>
      <c r="F126" s="481">
        <v>100</v>
      </c>
      <c r="G126" s="649">
        <f t="shared" si="17"/>
        <v>100</v>
      </c>
    </row>
    <row r="127" spans="1:7" ht="28.8" outlineLevel="1">
      <c r="A127" s="474" t="s">
        <v>1730</v>
      </c>
      <c r="B127" s="474" t="s">
        <v>1992</v>
      </c>
      <c r="C127" s="475" t="s">
        <v>1993</v>
      </c>
      <c r="D127" s="474" t="s">
        <v>1536</v>
      </c>
      <c r="E127" s="674">
        <v>6</v>
      </c>
      <c r="F127" s="481">
        <v>1.22</v>
      </c>
      <c r="G127" s="649">
        <f t="shared" si="17"/>
        <v>7.32</v>
      </c>
    </row>
    <row r="128" spans="1:7" ht="19.2" outlineLevel="1">
      <c r="A128" s="474" t="s">
        <v>1730</v>
      </c>
      <c r="B128" s="474">
        <v>10555</v>
      </c>
      <c r="C128" s="475" t="s">
        <v>2000</v>
      </c>
      <c r="D128" s="474" t="s">
        <v>1536</v>
      </c>
      <c r="E128" s="674">
        <v>2</v>
      </c>
      <c r="F128" s="481">
        <v>85.82</v>
      </c>
      <c r="G128" s="649">
        <f t="shared" si="17"/>
        <v>171.64</v>
      </c>
    </row>
    <row r="129" spans="1:7" ht="19.2" outlineLevel="1">
      <c r="A129" s="474" t="s">
        <v>1730</v>
      </c>
      <c r="B129" s="474" t="s">
        <v>1994</v>
      </c>
      <c r="C129" s="475" t="s">
        <v>1995</v>
      </c>
      <c r="D129" s="474" t="s">
        <v>1536</v>
      </c>
      <c r="E129" s="674">
        <v>6</v>
      </c>
      <c r="F129" s="481">
        <v>0.19</v>
      </c>
      <c r="G129" s="649">
        <f t="shared" si="17"/>
        <v>1.1399999999999999</v>
      </c>
    </row>
    <row r="130" spans="1:7" ht="19.2" outlineLevel="1">
      <c r="A130" s="474" t="s">
        <v>1730</v>
      </c>
      <c r="B130" s="474">
        <v>11451</v>
      </c>
      <c r="C130" s="475" t="s">
        <v>2002</v>
      </c>
      <c r="D130" s="474" t="s">
        <v>1536</v>
      </c>
      <c r="E130" s="674">
        <v>4</v>
      </c>
      <c r="F130" s="481">
        <v>50.43</v>
      </c>
      <c r="G130" s="649">
        <f t="shared" si="17"/>
        <v>201.72</v>
      </c>
    </row>
    <row r="131" spans="1:7" ht="28.8" outlineLevel="1">
      <c r="A131" s="474" t="s">
        <v>1730</v>
      </c>
      <c r="B131" s="474" t="s">
        <v>1996</v>
      </c>
      <c r="C131" s="475" t="s">
        <v>1997</v>
      </c>
      <c r="D131" s="474" t="s">
        <v>217</v>
      </c>
      <c r="E131" s="674">
        <v>10.8</v>
      </c>
      <c r="F131" s="481">
        <v>3.02</v>
      </c>
      <c r="G131" s="649">
        <f t="shared" si="17"/>
        <v>32.619999999999997</v>
      </c>
    </row>
    <row r="132" spans="1:7" outlineLevel="1">
      <c r="A132" s="474" t="s">
        <v>1730</v>
      </c>
      <c r="B132" s="474" t="s">
        <v>1998</v>
      </c>
      <c r="C132" s="475" t="s">
        <v>1999</v>
      </c>
      <c r="D132" s="474" t="s">
        <v>1594</v>
      </c>
      <c r="E132" s="674">
        <v>0.64800000000000002</v>
      </c>
      <c r="F132" s="481">
        <v>9.57</v>
      </c>
      <c r="G132" s="649">
        <f t="shared" si="17"/>
        <v>6.2</v>
      </c>
    </row>
    <row r="133" spans="1:7">
      <c r="A133" s="484"/>
      <c r="B133" s="484"/>
      <c r="C133" s="484"/>
      <c r="D133" s="503"/>
      <c r="E133" s="675"/>
      <c r="F133" s="481"/>
      <c r="G133" s="653"/>
    </row>
    <row r="134" spans="1:7" ht="38.4">
      <c r="A134" s="474" t="s">
        <v>1984</v>
      </c>
      <c r="B134" s="474" t="s">
        <v>2003</v>
      </c>
      <c r="C134" s="475" t="s">
        <v>2004</v>
      </c>
      <c r="D134" s="474" t="s">
        <v>1536</v>
      </c>
      <c r="E134" s="674" t="s">
        <v>122</v>
      </c>
      <c r="F134" s="487"/>
      <c r="G134" s="647">
        <f>SUM(G135:G146)</f>
        <v>806.62000000000012</v>
      </c>
    </row>
    <row r="135" spans="1:7" outlineLevel="1">
      <c r="A135" s="474" t="s">
        <v>1725</v>
      </c>
      <c r="B135" s="474" t="s">
        <v>1985</v>
      </c>
      <c r="C135" s="475" t="s">
        <v>1986</v>
      </c>
      <c r="D135" s="474" t="s">
        <v>1592</v>
      </c>
      <c r="E135" s="674">
        <v>2.19</v>
      </c>
      <c r="F135" s="481">
        <v>14.99</v>
      </c>
      <c r="G135" s="649">
        <f t="shared" ref="G135:G145" si="18">ROUND(F135*E135,2)</f>
        <v>32.83</v>
      </c>
    </row>
    <row r="136" spans="1:7" outlineLevel="1">
      <c r="A136" s="474" t="s">
        <v>1725</v>
      </c>
      <c r="B136" s="474" t="s">
        <v>1726</v>
      </c>
      <c r="C136" s="475" t="s">
        <v>1727</v>
      </c>
      <c r="D136" s="474" t="s">
        <v>1592</v>
      </c>
      <c r="E136" s="674">
        <v>1.512</v>
      </c>
      <c r="F136" s="481">
        <v>15.15</v>
      </c>
      <c r="G136" s="649">
        <f t="shared" si="18"/>
        <v>22.91</v>
      </c>
    </row>
    <row r="137" spans="1:7" outlineLevel="1">
      <c r="A137" s="474" t="s">
        <v>1725</v>
      </c>
      <c r="B137" s="474" t="s">
        <v>1728</v>
      </c>
      <c r="C137" s="475" t="s">
        <v>1729</v>
      </c>
      <c r="D137" s="474" t="s">
        <v>1592</v>
      </c>
      <c r="E137" s="674">
        <v>3.702</v>
      </c>
      <c r="F137" s="481">
        <v>12.05</v>
      </c>
      <c r="G137" s="649">
        <f t="shared" si="18"/>
        <v>44.61</v>
      </c>
    </row>
    <row r="138" spans="1:7" ht="19.2" outlineLevel="1">
      <c r="A138" s="474" t="s">
        <v>1725</v>
      </c>
      <c r="B138" s="474" t="s">
        <v>1987</v>
      </c>
      <c r="C138" s="475" t="s">
        <v>1988</v>
      </c>
      <c r="D138" s="474" t="s">
        <v>646</v>
      </c>
      <c r="E138" s="674">
        <v>1.0800000000000001E-2</v>
      </c>
      <c r="F138" s="481">
        <v>319.20999999999998</v>
      </c>
      <c r="G138" s="649">
        <f t="shared" si="18"/>
        <v>3.45</v>
      </c>
    </row>
    <row r="139" spans="1:7" ht="28.8" outlineLevel="1">
      <c r="A139" s="474" t="s">
        <v>1730</v>
      </c>
      <c r="B139" s="474" t="s">
        <v>1989</v>
      </c>
      <c r="C139" s="475" t="s">
        <v>1990</v>
      </c>
      <c r="D139" s="474" t="s">
        <v>1991</v>
      </c>
      <c r="E139" s="674">
        <v>1</v>
      </c>
      <c r="F139" s="481">
        <v>100</v>
      </c>
      <c r="G139" s="649">
        <f t="shared" si="18"/>
        <v>100</v>
      </c>
    </row>
    <row r="140" spans="1:7" ht="28.8" outlineLevel="1">
      <c r="A140" s="474" t="s">
        <v>1730</v>
      </c>
      <c r="B140" s="474" t="s">
        <v>1992</v>
      </c>
      <c r="C140" s="475" t="s">
        <v>1993</v>
      </c>
      <c r="D140" s="474" t="s">
        <v>1536</v>
      </c>
      <c r="E140" s="674">
        <v>6</v>
      </c>
      <c r="F140" s="481">
        <v>1.22</v>
      </c>
      <c r="G140" s="649">
        <f t="shared" si="18"/>
        <v>7.32</v>
      </c>
    </row>
    <row r="141" spans="1:7" ht="19.2" outlineLevel="1">
      <c r="A141" s="474" t="s">
        <v>1730</v>
      </c>
      <c r="B141" s="474">
        <v>10555</v>
      </c>
      <c r="C141" s="475" t="s">
        <v>2005</v>
      </c>
      <c r="D141" s="474" t="s">
        <v>1536</v>
      </c>
      <c r="E141" s="674">
        <v>2</v>
      </c>
      <c r="F141" s="481">
        <v>176.91</v>
      </c>
      <c r="G141" s="649">
        <f t="shared" si="18"/>
        <v>353.82</v>
      </c>
    </row>
    <row r="142" spans="1:7" ht="19.2" outlineLevel="1">
      <c r="A142" s="474" t="s">
        <v>1730</v>
      </c>
      <c r="B142" s="474" t="s">
        <v>1994</v>
      </c>
      <c r="C142" s="475" t="s">
        <v>1995</v>
      </c>
      <c r="D142" s="474" t="s">
        <v>1536</v>
      </c>
      <c r="E142" s="674">
        <v>6</v>
      </c>
      <c r="F142" s="481">
        <v>0.19</v>
      </c>
      <c r="G142" s="649">
        <f t="shared" si="18"/>
        <v>1.1399999999999999</v>
      </c>
    </row>
    <row r="143" spans="1:7" ht="19.2" outlineLevel="1">
      <c r="A143" s="474" t="s">
        <v>1730</v>
      </c>
      <c r="B143" s="474">
        <v>11451</v>
      </c>
      <c r="C143" s="475" t="s">
        <v>2002</v>
      </c>
      <c r="D143" s="474" t="s">
        <v>1536</v>
      </c>
      <c r="E143" s="674">
        <v>4</v>
      </c>
      <c r="F143" s="481">
        <v>50.43</v>
      </c>
      <c r="G143" s="649">
        <f t="shared" si="18"/>
        <v>201.72</v>
      </c>
    </row>
    <row r="144" spans="1:7" ht="28.8" outlineLevel="1">
      <c r="A144" s="474" t="s">
        <v>1730</v>
      </c>
      <c r="B144" s="474" t="s">
        <v>1996</v>
      </c>
      <c r="C144" s="475" t="s">
        <v>1997</v>
      </c>
      <c r="D144" s="474" t="s">
        <v>217</v>
      </c>
      <c r="E144" s="674">
        <v>10.8</v>
      </c>
      <c r="F144" s="481">
        <v>3.02</v>
      </c>
      <c r="G144" s="649">
        <f t="shared" si="18"/>
        <v>32.619999999999997</v>
      </c>
    </row>
    <row r="145" spans="1:7" outlineLevel="1">
      <c r="A145" s="474" t="s">
        <v>1730</v>
      </c>
      <c r="B145" s="474" t="s">
        <v>1998</v>
      </c>
      <c r="C145" s="475" t="s">
        <v>1999</v>
      </c>
      <c r="D145" s="474" t="s">
        <v>1594</v>
      </c>
      <c r="E145" s="674">
        <v>0.64800000000000002</v>
      </c>
      <c r="F145" s="481">
        <v>9.57</v>
      </c>
      <c r="G145" s="649">
        <f t="shared" si="18"/>
        <v>6.2</v>
      </c>
    </row>
    <row r="146" spans="1:7">
      <c r="A146" s="484"/>
      <c r="B146" s="484"/>
      <c r="C146" s="484"/>
      <c r="D146" s="503"/>
      <c r="E146" s="675"/>
      <c r="F146" s="481"/>
      <c r="G146" s="653"/>
    </row>
    <row r="147" spans="1:7" ht="19.2">
      <c r="A147" s="474" t="s">
        <v>1984</v>
      </c>
      <c r="B147" s="474" t="s">
        <v>2016</v>
      </c>
      <c r="C147" s="475" t="s">
        <v>2017</v>
      </c>
      <c r="D147" s="474" t="s">
        <v>1535</v>
      </c>
      <c r="E147" s="674" t="s">
        <v>122</v>
      </c>
      <c r="F147" s="487"/>
      <c r="G147" s="647">
        <f>SUM(G148:G159)</f>
        <v>210.19999999999996</v>
      </c>
    </row>
    <row r="148" spans="1:7" outlineLevel="1">
      <c r="A148" s="474" t="s">
        <v>1725</v>
      </c>
      <c r="B148" s="474" t="s">
        <v>2006</v>
      </c>
      <c r="C148" s="475" t="s">
        <v>2007</v>
      </c>
      <c r="D148" s="474" t="s">
        <v>1592</v>
      </c>
      <c r="E148" s="674">
        <v>1</v>
      </c>
      <c r="F148" s="481">
        <v>12.48</v>
      </c>
      <c r="G148" s="649">
        <f t="shared" ref="G148:G159" si="19">ROUND(F148*E148,2)</f>
        <v>12.48</v>
      </c>
    </row>
    <row r="149" spans="1:7" outlineLevel="1">
      <c r="A149" s="474" t="s">
        <v>1725</v>
      </c>
      <c r="B149" s="474" t="s">
        <v>1985</v>
      </c>
      <c r="C149" s="475" t="s">
        <v>1986</v>
      </c>
      <c r="D149" s="474" t="s">
        <v>1592</v>
      </c>
      <c r="E149" s="674">
        <v>1</v>
      </c>
      <c r="F149" s="481">
        <v>14.99</v>
      </c>
      <c r="G149" s="649">
        <f t="shared" si="19"/>
        <v>14.99</v>
      </c>
    </row>
    <row r="150" spans="1:7" outlineLevel="1">
      <c r="A150" s="474" t="s">
        <v>1725</v>
      </c>
      <c r="B150" s="474" t="s">
        <v>1726</v>
      </c>
      <c r="C150" s="475" t="s">
        <v>1727</v>
      </c>
      <c r="D150" s="474" t="s">
        <v>1592</v>
      </c>
      <c r="E150" s="674">
        <v>0.68</v>
      </c>
      <c r="F150" s="481">
        <v>15.15</v>
      </c>
      <c r="G150" s="649">
        <f t="shared" si="19"/>
        <v>10.3</v>
      </c>
    </row>
    <row r="151" spans="1:7" outlineLevel="1">
      <c r="A151" s="474" t="s">
        <v>1725</v>
      </c>
      <c r="B151" s="474" t="s">
        <v>1728</v>
      </c>
      <c r="C151" s="475" t="s">
        <v>1729</v>
      </c>
      <c r="D151" s="474" t="s">
        <v>1592</v>
      </c>
      <c r="E151" s="674">
        <v>0.68</v>
      </c>
      <c r="F151" s="481">
        <v>12.05</v>
      </c>
      <c r="G151" s="649">
        <f t="shared" si="19"/>
        <v>8.19</v>
      </c>
    </row>
    <row r="152" spans="1:7" ht="19.2" outlineLevel="1">
      <c r="A152" s="474" t="s">
        <v>1725</v>
      </c>
      <c r="B152" s="474" t="s">
        <v>1987</v>
      </c>
      <c r="C152" s="475" t="s">
        <v>1988</v>
      </c>
      <c r="D152" s="474" t="s">
        <v>646</v>
      </c>
      <c r="E152" s="674">
        <v>6.0000000000000001E-3</v>
      </c>
      <c r="F152" s="481">
        <v>319.20999999999998</v>
      </c>
      <c r="G152" s="649">
        <f t="shared" si="19"/>
        <v>1.92</v>
      </c>
    </row>
    <row r="153" spans="1:7" ht="28.8" outlineLevel="1">
      <c r="A153" s="474" t="s">
        <v>1730</v>
      </c>
      <c r="B153" s="474" t="s">
        <v>2008</v>
      </c>
      <c r="C153" s="475" t="s">
        <v>2009</v>
      </c>
      <c r="D153" s="474" t="s">
        <v>1991</v>
      </c>
      <c r="E153" s="674">
        <v>0.55000000000000004</v>
      </c>
      <c r="F153" s="481">
        <v>66.09</v>
      </c>
      <c r="G153" s="649">
        <f t="shared" si="19"/>
        <v>36.35</v>
      </c>
    </row>
    <row r="154" spans="1:7" ht="28.8" outlineLevel="1">
      <c r="A154" s="474" t="s">
        <v>1730</v>
      </c>
      <c r="B154" s="474" t="s">
        <v>1992</v>
      </c>
      <c r="C154" s="475" t="s">
        <v>1993</v>
      </c>
      <c r="D154" s="474" t="s">
        <v>1536</v>
      </c>
      <c r="E154" s="674">
        <v>3.57</v>
      </c>
      <c r="F154" s="481">
        <v>1.22</v>
      </c>
      <c r="G154" s="649">
        <f t="shared" si="19"/>
        <v>4.3600000000000003</v>
      </c>
    </row>
    <row r="155" spans="1:7" ht="19.2" outlineLevel="1">
      <c r="A155" s="474" t="s">
        <v>1730</v>
      </c>
      <c r="B155" s="474">
        <v>4989</v>
      </c>
      <c r="C155" s="475" t="s">
        <v>2005</v>
      </c>
      <c r="D155" s="474" t="s">
        <v>1536</v>
      </c>
      <c r="E155" s="674">
        <v>0.47599999999999998</v>
      </c>
      <c r="F155" s="481">
        <v>176.91</v>
      </c>
      <c r="G155" s="649">
        <f t="shared" si="19"/>
        <v>84.21</v>
      </c>
    </row>
    <row r="156" spans="1:7" outlineLevel="1">
      <c r="A156" s="474" t="s">
        <v>1730</v>
      </c>
      <c r="B156" s="474" t="s">
        <v>2010</v>
      </c>
      <c r="C156" s="475" t="s">
        <v>2011</v>
      </c>
      <c r="D156" s="474" t="s">
        <v>1594</v>
      </c>
      <c r="E156" s="674">
        <v>0.15</v>
      </c>
      <c r="F156" s="481">
        <v>9.2100000000000009</v>
      </c>
      <c r="G156" s="649">
        <f t="shared" si="19"/>
        <v>1.38</v>
      </c>
    </row>
    <row r="157" spans="1:7" ht="19.2" outlineLevel="1">
      <c r="A157" s="474" t="s">
        <v>1730</v>
      </c>
      <c r="B157" s="474" t="s">
        <v>2012</v>
      </c>
      <c r="C157" s="475" t="s">
        <v>2013</v>
      </c>
      <c r="D157" s="474" t="s">
        <v>1536</v>
      </c>
      <c r="E157" s="674">
        <v>2</v>
      </c>
      <c r="F157" s="481">
        <v>4.38</v>
      </c>
      <c r="G157" s="649">
        <f t="shared" si="19"/>
        <v>8.76</v>
      </c>
    </row>
    <row r="158" spans="1:7" ht="19.2" outlineLevel="1">
      <c r="A158" s="474" t="s">
        <v>1730</v>
      </c>
      <c r="B158" s="474" t="s">
        <v>2014</v>
      </c>
      <c r="C158" s="475" t="s">
        <v>2015</v>
      </c>
      <c r="D158" s="474" t="s">
        <v>217</v>
      </c>
      <c r="E158" s="674">
        <v>1.2</v>
      </c>
      <c r="F158" s="481">
        <v>7.72</v>
      </c>
      <c r="G158" s="649">
        <f t="shared" si="19"/>
        <v>9.26</v>
      </c>
    </row>
    <row r="159" spans="1:7" ht="28.8" outlineLevel="1">
      <c r="A159" s="474" t="s">
        <v>1730</v>
      </c>
      <c r="B159" s="474" t="s">
        <v>1996</v>
      </c>
      <c r="C159" s="475" t="s">
        <v>1997</v>
      </c>
      <c r="D159" s="474" t="s">
        <v>217</v>
      </c>
      <c r="E159" s="674">
        <v>5.96</v>
      </c>
      <c r="F159" s="481">
        <v>3.02</v>
      </c>
      <c r="G159" s="649">
        <f t="shared" si="19"/>
        <v>18</v>
      </c>
    </row>
    <row r="161" spans="1:7" ht="28.8">
      <c r="A161" s="474" t="s">
        <v>1984</v>
      </c>
      <c r="B161" s="474" t="s">
        <v>2019</v>
      </c>
      <c r="C161" s="475" t="s">
        <v>2020</v>
      </c>
      <c r="D161" s="474" t="s">
        <v>1536</v>
      </c>
      <c r="E161" s="674" t="s">
        <v>122</v>
      </c>
      <c r="F161" s="487"/>
      <c r="G161" s="647">
        <f>SUM(G162:G166)</f>
        <v>827.03</v>
      </c>
    </row>
    <row r="162" spans="1:7" outlineLevel="1">
      <c r="A162" s="474" t="s">
        <v>1725</v>
      </c>
      <c r="B162" s="474" t="s">
        <v>1726</v>
      </c>
      <c r="C162" s="475" t="s">
        <v>1727</v>
      </c>
      <c r="D162" s="474" t="s">
        <v>1592</v>
      </c>
      <c r="E162" s="674">
        <v>0.65100000000000002</v>
      </c>
      <c r="F162" s="481">
        <v>15.15</v>
      </c>
      <c r="G162" s="649">
        <f t="shared" ref="G162:G166" si="20">ROUND(F162*E162,2)</f>
        <v>9.86</v>
      </c>
    </row>
    <row r="163" spans="1:7" outlineLevel="1">
      <c r="A163" s="474" t="s">
        <v>1725</v>
      </c>
      <c r="B163" s="474" t="s">
        <v>1728</v>
      </c>
      <c r="C163" s="475" t="s">
        <v>1729</v>
      </c>
      <c r="D163" s="474" t="s">
        <v>1592</v>
      </c>
      <c r="E163" s="674">
        <v>0.32500000000000001</v>
      </c>
      <c r="F163" s="481">
        <v>12.05</v>
      </c>
      <c r="G163" s="649">
        <f t="shared" si="20"/>
        <v>3.92</v>
      </c>
    </row>
    <row r="164" spans="1:7" ht="19.2" outlineLevel="1">
      <c r="A164" s="474" t="s">
        <v>1730</v>
      </c>
      <c r="B164" s="474" t="s">
        <v>2021</v>
      </c>
      <c r="C164" s="475" t="s">
        <v>2022</v>
      </c>
      <c r="D164" s="474" t="s">
        <v>2023</v>
      </c>
      <c r="E164" s="674">
        <v>1.613</v>
      </c>
      <c r="F164" s="481">
        <v>30.64</v>
      </c>
      <c r="G164" s="649">
        <f t="shared" si="20"/>
        <v>49.42</v>
      </c>
    </row>
    <row r="165" spans="1:7" ht="19.2" outlineLevel="1">
      <c r="A165" s="474" t="s">
        <v>1730</v>
      </c>
      <c r="B165" s="474" t="s">
        <v>2024</v>
      </c>
      <c r="C165" s="475" t="s">
        <v>2025</v>
      </c>
      <c r="D165" s="474" t="s">
        <v>1536</v>
      </c>
      <c r="E165" s="674">
        <v>8.8000000000000007</v>
      </c>
      <c r="F165" s="481">
        <v>0.36</v>
      </c>
      <c r="G165" s="649">
        <f t="shared" si="20"/>
        <v>3.17</v>
      </c>
    </row>
    <row r="166" spans="1:7" ht="28.8" outlineLevel="1">
      <c r="A166" s="474" t="s">
        <v>1730</v>
      </c>
      <c r="B166" s="474" t="s">
        <v>2026</v>
      </c>
      <c r="C166" s="475" t="s">
        <v>2027</v>
      </c>
      <c r="D166" s="474" t="s">
        <v>1536</v>
      </c>
      <c r="E166" s="674">
        <v>1</v>
      </c>
      <c r="F166" s="481">
        <v>760.66</v>
      </c>
      <c r="G166" s="649">
        <f t="shared" si="20"/>
        <v>760.66</v>
      </c>
    </row>
    <row r="168" spans="1:7" ht="28.8">
      <c r="A168" s="474" t="s">
        <v>1984</v>
      </c>
      <c r="B168" s="474" t="s">
        <v>2028</v>
      </c>
      <c r="C168" s="475" t="s">
        <v>2020</v>
      </c>
      <c r="D168" s="474" t="s">
        <v>1535</v>
      </c>
      <c r="E168" s="674" t="s">
        <v>122</v>
      </c>
      <c r="F168" s="487"/>
      <c r="G168" s="647">
        <f>SUM(G169)</f>
        <v>452.63</v>
      </c>
    </row>
    <row r="169" spans="1:7" ht="28.8" outlineLevel="1">
      <c r="A169" s="474" t="s">
        <v>1725</v>
      </c>
      <c r="B169" s="474">
        <v>94805</v>
      </c>
      <c r="C169" s="475" t="s">
        <v>2020</v>
      </c>
      <c r="D169" s="474" t="s">
        <v>1536</v>
      </c>
      <c r="E169" s="674">
        <v>0.54730000000000001</v>
      </c>
      <c r="F169" s="481">
        <f>G161</f>
        <v>827.03</v>
      </c>
      <c r="G169" s="649">
        <f t="shared" ref="G169" si="21">ROUND(F169*E169,2)</f>
        <v>452.63</v>
      </c>
    </row>
    <row r="171" spans="1:7" ht="19.2">
      <c r="A171" s="474" t="s">
        <v>1984</v>
      </c>
      <c r="B171" s="474" t="s">
        <v>2031</v>
      </c>
      <c r="C171" s="475" t="s">
        <v>2032</v>
      </c>
      <c r="D171" s="474" t="s">
        <v>1535</v>
      </c>
      <c r="E171" s="674" t="s">
        <v>122</v>
      </c>
      <c r="F171" s="487"/>
      <c r="G171" s="647">
        <f>SUM(G172)</f>
        <v>954.2</v>
      </c>
    </row>
    <row r="172" spans="1:7" ht="19.2" outlineLevel="1">
      <c r="A172" s="474" t="s">
        <v>1725</v>
      </c>
      <c r="B172" s="474" t="s">
        <v>2029</v>
      </c>
      <c r="C172" s="475" t="s">
        <v>2030</v>
      </c>
      <c r="D172" s="474" t="s">
        <v>1536</v>
      </c>
      <c r="E172" s="674">
        <v>0.52910000000000001</v>
      </c>
      <c r="F172" s="481">
        <v>1803.44</v>
      </c>
      <c r="G172" s="649">
        <f t="shared" ref="G172" si="22">ROUND(F172*E172,2)</f>
        <v>954.2</v>
      </c>
    </row>
    <row r="174" spans="1:7" ht="19.2">
      <c r="A174" s="474" t="s">
        <v>1984</v>
      </c>
      <c r="B174" s="474" t="s">
        <v>2035</v>
      </c>
      <c r="C174" s="475" t="s">
        <v>2037</v>
      </c>
      <c r="D174" s="474" t="s">
        <v>1536</v>
      </c>
      <c r="E174" s="674" t="s">
        <v>122</v>
      </c>
      <c r="F174" s="487"/>
      <c r="G174" s="646">
        <f>SUM(G175:G178)</f>
        <v>2230</v>
      </c>
    </row>
    <row r="175" spans="1:7" outlineLevel="1">
      <c r="A175" s="474" t="s">
        <v>1725</v>
      </c>
      <c r="B175" s="474" t="s">
        <v>1726</v>
      </c>
      <c r="C175" s="475" t="s">
        <v>1727</v>
      </c>
      <c r="D175" s="474" t="s">
        <v>1592</v>
      </c>
      <c r="E175" s="674">
        <v>7.6978</v>
      </c>
      <c r="F175" s="481">
        <v>15.15</v>
      </c>
      <c r="G175" s="649">
        <f t="shared" ref="G175:G178" si="23">ROUND(F175*E175,2)</f>
        <v>116.62</v>
      </c>
    </row>
    <row r="176" spans="1:7" outlineLevel="1">
      <c r="A176" s="474" t="s">
        <v>1725</v>
      </c>
      <c r="B176" s="474" t="s">
        <v>1728</v>
      </c>
      <c r="C176" s="475" t="s">
        <v>1729</v>
      </c>
      <c r="D176" s="474" t="s">
        <v>1592</v>
      </c>
      <c r="E176" s="674">
        <v>3.8489</v>
      </c>
      <c r="F176" s="481">
        <v>12.05</v>
      </c>
      <c r="G176" s="649">
        <f t="shared" si="23"/>
        <v>46.38</v>
      </c>
    </row>
    <row r="177" spans="1:7" ht="19.2" outlineLevel="1">
      <c r="A177" s="474" t="s">
        <v>1725</v>
      </c>
      <c r="B177" s="474" t="s">
        <v>2033</v>
      </c>
      <c r="C177" s="475" t="s">
        <v>2034</v>
      </c>
      <c r="D177" s="474" t="s">
        <v>646</v>
      </c>
      <c r="E177" s="674">
        <v>9.3799999999999994E-2</v>
      </c>
      <c r="F177" s="481">
        <v>348.3</v>
      </c>
      <c r="G177" s="649">
        <f t="shared" si="23"/>
        <v>32.67</v>
      </c>
    </row>
    <row r="178" spans="1:7" ht="19.2" outlineLevel="1">
      <c r="A178" s="474" t="s">
        <v>2036</v>
      </c>
      <c r="B178" s="485">
        <v>11479</v>
      </c>
      <c r="C178" s="486" t="s">
        <v>2038</v>
      </c>
      <c r="D178" s="485" t="s">
        <v>1536</v>
      </c>
      <c r="E178" s="676">
        <v>1</v>
      </c>
      <c r="F178" s="481">
        <v>2034.33</v>
      </c>
      <c r="G178" s="649">
        <f t="shared" si="23"/>
        <v>2034.33</v>
      </c>
    </row>
    <row r="180" spans="1:7" ht="19.2">
      <c r="A180" s="474" t="s">
        <v>1984</v>
      </c>
      <c r="B180" s="474" t="s">
        <v>2039</v>
      </c>
      <c r="C180" s="475" t="s">
        <v>2040</v>
      </c>
      <c r="D180" s="474" t="s">
        <v>1535</v>
      </c>
      <c r="E180" s="674" t="s">
        <v>122</v>
      </c>
      <c r="F180" s="487"/>
      <c r="G180" s="646">
        <f>SUM(G181)</f>
        <v>446.74</v>
      </c>
    </row>
    <row r="181" spans="1:7" ht="19.2" outlineLevel="1">
      <c r="A181" s="474" t="s">
        <v>1730</v>
      </c>
      <c r="B181" s="474">
        <v>34391</v>
      </c>
      <c r="C181" s="475" t="s">
        <v>2040</v>
      </c>
      <c r="D181" s="474" t="s">
        <v>1535</v>
      </c>
      <c r="E181" s="674">
        <v>1</v>
      </c>
      <c r="F181" s="481">
        <v>446.74</v>
      </c>
      <c r="G181" s="649">
        <f t="shared" ref="G181" si="24">ROUND(F181*E181,2)</f>
        <v>446.74</v>
      </c>
    </row>
    <row r="183" spans="1:7" ht="19.2">
      <c r="A183" s="474" t="s">
        <v>1984</v>
      </c>
      <c r="B183" s="474" t="s">
        <v>2049</v>
      </c>
      <c r="C183" s="475" t="s">
        <v>2047</v>
      </c>
      <c r="D183" s="474" t="s">
        <v>1535</v>
      </c>
      <c r="E183" s="674" t="s">
        <v>122</v>
      </c>
      <c r="F183" s="487"/>
      <c r="G183" s="647">
        <f>SUM(G184:G190)</f>
        <v>771.96</v>
      </c>
    </row>
    <row r="184" spans="1:7" outlineLevel="1">
      <c r="A184" s="474" t="s">
        <v>1725</v>
      </c>
      <c r="B184" s="474" t="s">
        <v>1726</v>
      </c>
      <c r="C184" s="475" t="s">
        <v>1727</v>
      </c>
      <c r="D184" s="474" t="s">
        <v>1592</v>
      </c>
      <c r="E184" s="674">
        <v>1</v>
      </c>
      <c r="F184" s="481">
        <v>15.15</v>
      </c>
      <c r="G184" s="649">
        <f t="shared" ref="G184:G190" si="25">ROUND(F184*E184,2)</f>
        <v>15.15</v>
      </c>
    </row>
    <row r="185" spans="1:7" outlineLevel="1">
      <c r="A185" s="474" t="s">
        <v>1725</v>
      </c>
      <c r="B185" s="474" t="s">
        <v>1728</v>
      </c>
      <c r="C185" s="475" t="s">
        <v>1729</v>
      </c>
      <c r="D185" s="474" t="s">
        <v>1592</v>
      </c>
      <c r="E185" s="674">
        <v>1.1000000000000001</v>
      </c>
      <c r="F185" s="481">
        <v>12.05</v>
      </c>
      <c r="G185" s="649">
        <f t="shared" si="25"/>
        <v>13.26</v>
      </c>
    </row>
    <row r="186" spans="1:7" ht="19.2" outlineLevel="1">
      <c r="A186" s="474" t="s">
        <v>1730</v>
      </c>
      <c r="B186" s="474" t="s">
        <v>2041</v>
      </c>
      <c r="C186" s="475" t="s">
        <v>2042</v>
      </c>
      <c r="D186" s="474" t="s">
        <v>646</v>
      </c>
      <c r="E186" s="674">
        <v>5.0000000000000001E-3</v>
      </c>
      <c r="F186" s="481">
        <v>70</v>
      </c>
      <c r="G186" s="649">
        <f t="shared" si="25"/>
        <v>0.35</v>
      </c>
    </row>
    <row r="187" spans="1:7" ht="19.2" outlineLevel="1">
      <c r="A187" s="474" t="s">
        <v>1730</v>
      </c>
      <c r="B187" s="474" t="s">
        <v>2043</v>
      </c>
      <c r="C187" s="475" t="s">
        <v>2044</v>
      </c>
      <c r="D187" s="474" t="s">
        <v>1535</v>
      </c>
      <c r="E187" s="674">
        <v>1.1000000000000001</v>
      </c>
      <c r="F187" s="481">
        <v>357.86</v>
      </c>
      <c r="G187" s="649">
        <f t="shared" si="25"/>
        <v>393.65</v>
      </c>
    </row>
    <row r="188" spans="1:7" outlineLevel="1">
      <c r="A188" s="474" t="s">
        <v>1730</v>
      </c>
      <c r="B188" s="474" t="s">
        <v>2045</v>
      </c>
      <c r="C188" s="475" t="s">
        <v>2046</v>
      </c>
      <c r="D188" s="474" t="s">
        <v>1594</v>
      </c>
      <c r="E188" s="674">
        <v>2.12</v>
      </c>
      <c r="F188" s="481">
        <v>0.5</v>
      </c>
      <c r="G188" s="649">
        <f t="shared" si="25"/>
        <v>1.06</v>
      </c>
    </row>
    <row r="189" spans="1:7" ht="19.2" outlineLevel="1">
      <c r="A189" s="474" t="s">
        <v>1725</v>
      </c>
      <c r="B189" s="474" t="s">
        <v>2039</v>
      </c>
      <c r="C189" s="475" t="s">
        <v>2040</v>
      </c>
      <c r="D189" s="474" t="s">
        <v>1535</v>
      </c>
      <c r="E189" s="674">
        <v>1</v>
      </c>
      <c r="F189" s="481">
        <f>G180</f>
        <v>446.74</v>
      </c>
      <c r="G189" s="649">
        <f t="shared" si="25"/>
        <v>446.74</v>
      </c>
    </row>
    <row r="190" spans="1:7" outlineLevel="1">
      <c r="A190" s="474" t="s">
        <v>1725</v>
      </c>
      <c r="B190" s="474">
        <v>72122</v>
      </c>
      <c r="C190" s="475" t="s">
        <v>2048</v>
      </c>
      <c r="D190" s="474" t="s">
        <v>1535</v>
      </c>
      <c r="E190" s="674">
        <v>-1</v>
      </c>
      <c r="F190" s="481">
        <v>98.25</v>
      </c>
      <c r="G190" s="649">
        <f t="shared" si="25"/>
        <v>-98.25</v>
      </c>
    </row>
    <row r="192" spans="1:7">
      <c r="A192" s="474" t="s">
        <v>1984</v>
      </c>
      <c r="B192" s="474" t="s">
        <v>2051</v>
      </c>
      <c r="C192" s="475" t="s">
        <v>2052</v>
      </c>
      <c r="D192" s="474" t="s">
        <v>1535</v>
      </c>
      <c r="E192" s="674" t="s">
        <v>122</v>
      </c>
      <c r="F192" s="487"/>
      <c r="G192" s="646">
        <f>SUM(G193:G196)</f>
        <v>4314.82</v>
      </c>
    </row>
    <row r="193" spans="1:7" outlineLevel="1">
      <c r="A193" s="474" t="s">
        <v>1725</v>
      </c>
      <c r="B193" s="474" t="s">
        <v>1726</v>
      </c>
      <c r="C193" s="475" t="s">
        <v>1727</v>
      </c>
      <c r="D193" s="474" t="s">
        <v>1592</v>
      </c>
      <c r="E193" s="674">
        <v>1.5</v>
      </c>
      <c r="F193" s="481">
        <v>15.15</v>
      </c>
      <c r="G193" s="649">
        <f t="shared" ref="G193:G196" si="26">ROUND(F193*E193,2)</f>
        <v>22.73</v>
      </c>
    </row>
    <row r="194" spans="1:7" outlineLevel="1">
      <c r="A194" s="474" t="s">
        <v>1725</v>
      </c>
      <c r="B194" s="474" t="s">
        <v>1728</v>
      </c>
      <c r="C194" s="475" t="s">
        <v>1729</v>
      </c>
      <c r="D194" s="474" t="s">
        <v>1592</v>
      </c>
      <c r="E194" s="674">
        <v>1</v>
      </c>
      <c r="F194" s="481">
        <v>12.05</v>
      </c>
      <c r="G194" s="649">
        <f t="shared" si="26"/>
        <v>12.05</v>
      </c>
    </row>
    <row r="195" spans="1:7" ht="19.2" outlineLevel="1">
      <c r="A195" s="474" t="s">
        <v>1725</v>
      </c>
      <c r="B195" s="474" t="s">
        <v>2033</v>
      </c>
      <c r="C195" s="475" t="s">
        <v>2034</v>
      </c>
      <c r="D195" s="474" t="s">
        <v>646</v>
      </c>
      <c r="E195" s="674">
        <v>3.0000000000000001E-3</v>
      </c>
      <c r="F195" s="481">
        <v>348.3</v>
      </c>
      <c r="G195" s="649">
        <f t="shared" si="26"/>
        <v>1.04</v>
      </c>
    </row>
    <row r="196" spans="1:7" outlineLevel="1">
      <c r="A196" s="474" t="s">
        <v>2053</v>
      </c>
      <c r="B196" s="474">
        <v>4703</v>
      </c>
      <c r="C196" s="475" t="s">
        <v>2052</v>
      </c>
      <c r="D196" s="474" t="s">
        <v>1535</v>
      </c>
      <c r="E196" s="674">
        <v>1</v>
      </c>
      <c r="F196" s="481">
        <v>4279</v>
      </c>
      <c r="G196" s="649">
        <f t="shared" si="26"/>
        <v>4279</v>
      </c>
    </row>
    <row r="198" spans="1:7">
      <c r="A198" s="474" t="s">
        <v>2055</v>
      </c>
      <c r="B198" s="474" t="s">
        <v>2063</v>
      </c>
      <c r="C198" s="475" t="s">
        <v>2078</v>
      </c>
      <c r="D198" s="474" t="s">
        <v>217</v>
      </c>
      <c r="E198" s="674" t="s">
        <v>122</v>
      </c>
      <c r="F198" s="487"/>
      <c r="G198" s="647">
        <f>SUM(G199:G213)</f>
        <v>23.92</v>
      </c>
    </row>
    <row r="199" spans="1:7" outlineLevel="1">
      <c r="A199" s="474" t="s">
        <v>1725</v>
      </c>
      <c r="B199" s="474" t="s">
        <v>2006</v>
      </c>
      <c r="C199" s="475" t="s">
        <v>2007</v>
      </c>
      <c r="D199" s="474" t="s">
        <v>1592</v>
      </c>
      <c r="E199" s="674">
        <v>0.22004000000000001</v>
      </c>
      <c r="F199" s="481">
        <v>12.48</v>
      </c>
      <c r="G199" s="649">
        <f t="shared" ref="G199:G213" si="27">ROUND(F199*E199,2)</f>
        <v>2.75</v>
      </c>
    </row>
    <row r="200" spans="1:7" outlineLevel="1">
      <c r="A200" s="474" t="s">
        <v>1725</v>
      </c>
      <c r="B200" s="474" t="s">
        <v>2064</v>
      </c>
      <c r="C200" s="475" t="s">
        <v>2056</v>
      </c>
      <c r="D200" s="474" t="s">
        <v>1592</v>
      </c>
      <c r="E200" s="674">
        <v>4.0000000000000001E-3</v>
      </c>
      <c r="F200" s="481">
        <v>15.15</v>
      </c>
      <c r="G200" s="649">
        <f t="shared" si="27"/>
        <v>0.06</v>
      </c>
    </row>
    <row r="201" spans="1:7" outlineLevel="1">
      <c r="A201" s="474" t="s">
        <v>1725</v>
      </c>
      <c r="B201" s="474" t="s">
        <v>2065</v>
      </c>
      <c r="C201" s="475" t="s">
        <v>2057</v>
      </c>
      <c r="D201" s="474" t="s">
        <v>1592</v>
      </c>
      <c r="E201" s="674">
        <v>0.18</v>
      </c>
      <c r="F201" s="481">
        <v>15.15</v>
      </c>
      <c r="G201" s="649">
        <f t="shared" si="27"/>
        <v>2.73</v>
      </c>
    </row>
    <row r="202" spans="1:7" outlineLevel="1">
      <c r="A202" s="474" t="s">
        <v>1725</v>
      </c>
      <c r="B202" s="474" t="s">
        <v>1726</v>
      </c>
      <c r="C202" s="475" t="s">
        <v>1727</v>
      </c>
      <c r="D202" s="474" t="s">
        <v>1592</v>
      </c>
      <c r="E202" s="674">
        <v>0.1</v>
      </c>
      <c r="F202" s="481">
        <v>15.15</v>
      </c>
      <c r="G202" s="649">
        <f t="shared" si="27"/>
        <v>1.52</v>
      </c>
    </row>
    <row r="203" spans="1:7" outlineLevel="1">
      <c r="A203" s="474" t="s">
        <v>1725</v>
      </c>
      <c r="B203" s="474" t="s">
        <v>1728</v>
      </c>
      <c r="C203" s="475" t="s">
        <v>1729</v>
      </c>
      <c r="D203" s="474" t="s">
        <v>1592</v>
      </c>
      <c r="E203" s="674">
        <v>0.36</v>
      </c>
      <c r="F203" s="481">
        <v>12.05</v>
      </c>
      <c r="G203" s="649">
        <f t="shared" si="27"/>
        <v>4.34</v>
      </c>
    </row>
    <row r="204" spans="1:7" outlineLevel="1">
      <c r="A204" s="474" t="s">
        <v>1730</v>
      </c>
      <c r="B204" s="474" t="s">
        <v>2066</v>
      </c>
      <c r="C204" s="475" t="s">
        <v>2067</v>
      </c>
      <c r="D204" s="474" t="s">
        <v>1594</v>
      </c>
      <c r="E204" s="674">
        <v>0.62919999999999998</v>
      </c>
      <c r="F204" s="481">
        <v>3.08</v>
      </c>
      <c r="G204" s="649">
        <f t="shared" si="27"/>
        <v>1.94</v>
      </c>
    </row>
    <row r="205" spans="1:7" outlineLevel="1">
      <c r="A205" s="474" t="s">
        <v>1730</v>
      </c>
      <c r="B205" s="474" t="s">
        <v>2068</v>
      </c>
      <c r="C205" s="475" t="s">
        <v>2058</v>
      </c>
      <c r="D205" s="474" t="s">
        <v>1594</v>
      </c>
      <c r="E205" s="674">
        <v>1.1440000000000001E-2</v>
      </c>
      <c r="F205" s="481">
        <v>9.34</v>
      </c>
      <c r="G205" s="649">
        <f t="shared" si="27"/>
        <v>0.11</v>
      </c>
    </row>
    <row r="206" spans="1:7" outlineLevel="1">
      <c r="A206" s="474" t="s">
        <v>1730</v>
      </c>
      <c r="B206" s="474" t="s">
        <v>2041</v>
      </c>
      <c r="C206" s="475" t="s">
        <v>2059</v>
      </c>
      <c r="D206" s="474" t="s">
        <v>646</v>
      </c>
      <c r="E206" s="674">
        <v>1.3140000000000001E-2</v>
      </c>
      <c r="F206" s="481">
        <v>70</v>
      </c>
      <c r="G206" s="649">
        <f t="shared" si="27"/>
        <v>0.92</v>
      </c>
    </row>
    <row r="207" spans="1:7" outlineLevel="1">
      <c r="A207" s="474" t="s">
        <v>1730</v>
      </c>
      <c r="B207" s="474" t="s">
        <v>2045</v>
      </c>
      <c r="C207" s="475" t="s">
        <v>2046</v>
      </c>
      <c r="D207" s="474" t="s">
        <v>1594</v>
      </c>
      <c r="E207" s="674">
        <v>5.82</v>
      </c>
      <c r="F207" s="481">
        <v>0.5</v>
      </c>
      <c r="G207" s="649">
        <f t="shared" si="27"/>
        <v>2.91</v>
      </c>
    </row>
    <row r="208" spans="1:7" ht="19.2" outlineLevel="1">
      <c r="A208" s="474" t="s">
        <v>1730</v>
      </c>
      <c r="B208" s="474" t="s">
        <v>2069</v>
      </c>
      <c r="C208" s="475" t="s">
        <v>2070</v>
      </c>
      <c r="D208" s="474" t="s">
        <v>1402</v>
      </c>
      <c r="E208" s="674">
        <v>2.0400000000000001E-2</v>
      </c>
      <c r="F208" s="481">
        <v>6.03</v>
      </c>
      <c r="G208" s="649">
        <f t="shared" si="27"/>
        <v>0.12</v>
      </c>
    </row>
    <row r="209" spans="1:7" ht="19.2" outlineLevel="1">
      <c r="A209" s="474" t="s">
        <v>1730</v>
      </c>
      <c r="B209" s="474" t="s">
        <v>2071</v>
      </c>
      <c r="C209" s="475" t="s">
        <v>2072</v>
      </c>
      <c r="D209" s="474" t="s">
        <v>217</v>
      </c>
      <c r="E209" s="674">
        <v>0.36</v>
      </c>
      <c r="F209" s="481">
        <v>2.25</v>
      </c>
      <c r="G209" s="649">
        <f t="shared" si="27"/>
        <v>0.81</v>
      </c>
    </row>
    <row r="210" spans="1:7" ht="19.2" outlineLevel="1">
      <c r="A210" s="474" t="s">
        <v>1730</v>
      </c>
      <c r="B210" s="474" t="s">
        <v>2073</v>
      </c>
      <c r="C210" s="475" t="s">
        <v>2074</v>
      </c>
      <c r="D210" s="474" t="s">
        <v>217</v>
      </c>
      <c r="E210" s="674">
        <v>0.18360000000000001</v>
      </c>
      <c r="F210" s="481">
        <v>4.9800000000000004</v>
      </c>
      <c r="G210" s="649">
        <f t="shared" si="27"/>
        <v>0.91</v>
      </c>
    </row>
    <row r="211" spans="1:7" ht="19.2" outlineLevel="1">
      <c r="A211" s="474" t="s">
        <v>1730</v>
      </c>
      <c r="B211" s="474" t="s">
        <v>2075</v>
      </c>
      <c r="C211" s="475" t="s">
        <v>2060</v>
      </c>
      <c r="D211" s="474" t="s">
        <v>646</v>
      </c>
      <c r="E211" s="674">
        <v>1.6400000000000001E-2</v>
      </c>
      <c r="F211" s="481">
        <v>110</v>
      </c>
      <c r="G211" s="649">
        <f t="shared" si="27"/>
        <v>1.8</v>
      </c>
    </row>
    <row r="212" spans="1:7" ht="19.2" outlineLevel="1">
      <c r="A212" s="474" t="s">
        <v>1730</v>
      </c>
      <c r="B212" s="474" t="s">
        <v>2076</v>
      </c>
      <c r="C212" s="475" t="s">
        <v>2061</v>
      </c>
      <c r="D212" s="474" t="s">
        <v>1594</v>
      </c>
      <c r="E212" s="674">
        <v>2.4E-2</v>
      </c>
      <c r="F212" s="481">
        <v>8.5</v>
      </c>
      <c r="G212" s="649">
        <f t="shared" si="27"/>
        <v>0.2</v>
      </c>
    </row>
    <row r="213" spans="1:7" ht="19.2" outlineLevel="1">
      <c r="A213" s="474" t="s">
        <v>1730</v>
      </c>
      <c r="B213" s="474" t="s">
        <v>2077</v>
      </c>
      <c r="C213" s="475" t="s">
        <v>2062</v>
      </c>
      <c r="D213" s="474" t="s">
        <v>217</v>
      </c>
      <c r="E213" s="674">
        <v>0.26040000000000002</v>
      </c>
      <c r="F213" s="481">
        <v>10.76</v>
      </c>
      <c r="G213" s="649">
        <f t="shared" si="27"/>
        <v>2.8</v>
      </c>
    </row>
    <row r="215" spans="1:7" ht="28.8">
      <c r="A215" s="474" t="s">
        <v>1724</v>
      </c>
      <c r="B215" s="474" t="s">
        <v>2095</v>
      </c>
      <c r="C215" s="475" t="s">
        <v>2094</v>
      </c>
      <c r="D215" s="474" t="s">
        <v>1535</v>
      </c>
      <c r="E215" s="674" t="s">
        <v>122</v>
      </c>
      <c r="F215" s="487"/>
      <c r="G215" s="647">
        <f>SUM(G216:G220)</f>
        <v>127.72999999999999</v>
      </c>
    </row>
    <row r="216" spans="1:7" outlineLevel="1">
      <c r="A216" s="474" t="s">
        <v>1725</v>
      </c>
      <c r="B216" s="474" t="s">
        <v>2087</v>
      </c>
      <c r="C216" s="475" t="s">
        <v>2088</v>
      </c>
      <c r="D216" s="474" t="s">
        <v>1592</v>
      </c>
      <c r="E216" s="674">
        <v>0.44</v>
      </c>
      <c r="F216" s="481">
        <v>14.17</v>
      </c>
      <c r="G216" s="649">
        <f t="shared" ref="G216:G220" si="28">ROUND(F216*E216,2)</f>
        <v>6.23</v>
      </c>
    </row>
    <row r="217" spans="1:7" outlineLevel="1">
      <c r="A217" s="474" t="s">
        <v>1725</v>
      </c>
      <c r="B217" s="474" t="s">
        <v>1728</v>
      </c>
      <c r="C217" s="475" t="s">
        <v>1729</v>
      </c>
      <c r="D217" s="474" t="s">
        <v>1592</v>
      </c>
      <c r="E217" s="674">
        <v>0.2</v>
      </c>
      <c r="F217" s="481">
        <v>12.05</v>
      </c>
      <c r="G217" s="649">
        <f t="shared" si="28"/>
        <v>2.41</v>
      </c>
    </row>
    <row r="218" spans="1:7" outlineLevel="1">
      <c r="A218" s="474" t="s">
        <v>1730</v>
      </c>
      <c r="B218" s="474">
        <v>37329</v>
      </c>
      <c r="C218" s="475" t="s">
        <v>2093</v>
      </c>
      <c r="D218" s="474" t="s">
        <v>1594</v>
      </c>
      <c r="E218" s="674">
        <v>0.14000000000000001</v>
      </c>
      <c r="F218" s="481">
        <v>42.91</v>
      </c>
      <c r="G218" s="649">
        <f t="shared" si="28"/>
        <v>6.01</v>
      </c>
    </row>
    <row r="219" spans="1:7" outlineLevel="1">
      <c r="A219" s="474" t="s">
        <v>1730</v>
      </c>
      <c r="B219" s="474" t="s">
        <v>2089</v>
      </c>
      <c r="C219" s="475" t="s">
        <v>2090</v>
      </c>
      <c r="D219" s="474" t="s">
        <v>1594</v>
      </c>
      <c r="E219" s="674">
        <v>8.6199999999999992</v>
      </c>
      <c r="F219" s="481">
        <v>1.48</v>
      </c>
      <c r="G219" s="649">
        <f t="shared" si="28"/>
        <v>12.76</v>
      </c>
    </row>
    <row r="220" spans="1:7" ht="19.2" outlineLevel="1">
      <c r="A220" s="474" t="s">
        <v>1730</v>
      </c>
      <c r="B220" s="474" t="s">
        <v>2091</v>
      </c>
      <c r="C220" s="475" t="s">
        <v>2092</v>
      </c>
      <c r="D220" s="474" t="s">
        <v>1535</v>
      </c>
      <c r="E220" s="674">
        <v>1.07</v>
      </c>
      <c r="F220" s="481">
        <v>93.76</v>
      </c>
      <c r="G220" s="649">
        <f t="shared" si="28"/>
        <v>100.32</v>
      </c>
    </row>
    <row r="222" spans="1:7" ht="19.2">
      <c r="A222" s="474" t="s">
        <v>1724</v>
      </c>
      <c r="B222" s="474" t="s">
        <v>2100</v>
      </c>
      <c r="C222" s="475" t="s">
        <v>2099</v>
      </c>
      <c r="D222" s="474" t="s">
        <v>217</v>
      </c>
      <c r="E222" s="674" t="s">
        <v>122</v>
      </c>
      <c r="F222" s="487"/>
      <c r="G222" s="647">
        <f>SUM(G223:G227)</f>
        <v>23.69</v>
      </c>
    </row>
    <row r="223" spans="1:7" outlineLevel="1">
      <c r="A223" s="474" t="s">
        <v>1725</v>
      </c>
      <c r="B223" s="474" t="s">
        <v>2087</v>
      </c>
      <c r="C223" s="475" t="s">
        <v>2088</v>
      </c>
      <c r="D223" s="474" t="s">
        <v>1592</v>
      </c>
      <c r="E223" s="674">
        <v>8.5000000000000006E-2</v>
      </c>
      <c r="F223" s="481">
        <v>14.17</v>
      </c>
      <c r="G223" s="649">
        <f t="shared" ref="G223:G227" si="29">ROUND(F223*E223,2)</f>
        <v>1.2</v>
      </c>
    </row>
    <row r="224" spans="1:7" outlineLevel="1">
      <c r="A224" s="474" t="s">
        <v>1725</v>
      </c>
      <c r="B224" s="474" t="s">
        <v>1728</v>
      </c>
      <c r="C224" s="475" t="s">
        <v>1729</v>
      </c>
      <c r="D224" s="474" t="s">
        <v>1592</v>
      </c>
      <c r="E224" s="674">
        <v>3.1E-2</v>
      </c>
      <c r="F224" s="481">
        <v>12.05</v>
      </c>
      <c r="G224" s="649">
        <f t="shared" si="29"/>
        <v>0.37</v>
      </c>
    </row>
    <row r="225" spans="1:7" ht="19.2" outlineLevel="1">
      <c r="A225" s="474" t="s">
        <v>1730</v>
      </c>
      <c r="B225" s="474" t="s">
        <v>2091</v>
      </c>
      <c r="C225" s="475" t="s">
        <v>2092</v>
      </c>
      <c r="D225" s="474" t="s">
        <v>1535</v>
      </c>
      <c r="E225" s="674">
        <v>0.188</v>
      </c>
      <c r="F225" s="481">
        <v>93.76</v>
      </c>
      <c r="G225" s="649">
        <f t="shared" si="29"/>
        <v>17.63</v>
      </c>
    </row>
    <row r="226" spans="1:7" outlineLevel="1">
      <c r="A226" s="474" t="s">
        <v>1730</v>
      </c>
      <c r="B226" s="474" t="s">
        <v>2097</v>
      </c>
      <c r="C226" s="475" t="s">
        <v>2098</v>
      </c>
      <c r="D226" s="474" t="s">
        <v>1594</v>
      </c>
      <c r="E226" s="674">
        <v>0.60299999999999998</v>
      </c>
      <c r="F226" s="481">
        <v>1.48</v>
      </c>
      <c r="G226" s="649">
        <f t="shared" si="29"/>
        <v>0.89</v>
      </c>
    </row>
    <row r="227" spans="1:7" outlineLevel="1">
      <c r="A227" s="474" t="s">
        <v>1730</v>
      </c>
      <c r="B227" s="474">
        <v>37329</v>
      </c>
      <c r="C227" s="475" t="s">
        <v>2093</v>
      </c>
      <c r="D227" s="474" t="s">
        <v>1594</v>
      </c>
      <c r="E227" s="674">
        <v>8.4000000000000005E-2</v>
      </c>
      <c r="F227" s="481">
        <v>42.91</v>
      </c>
      <c r="G227" s="649">
        <f t="shared" si="29"/>
        <v>3.6</v>
      </c>
    </row>
    <row r="229" spans="1:7" ht="48">
      <c r="A229" s="474" t="s">
        <v>1724</v>
      </c>
      <c r="B229" s="474" t="s">
        <v>2103</v>
      </c>
      <c r="C229" s="475" t="s">
        <v>2104</v>
      </c>
      <c r="D229" s="474" t="s">
        <v>1535</v>
      </c>
      <c r="E229" s="674" t="s">
        <v>122</v>
      </c>
      <c r="F229" s="487"/>
      <c r="G229" s="646">
        <f>SUM(G230:G234)</f>
        <v>76.099999999999994</v>
      </c>
    </row>
    <row r="230" spans="1:7" outlineLevel="1">
      <c r="A230" s="474" t="s">
        <v>1725</v>
      </c>
      <c r="B230" s="474" t="s">
        <v>2087</v>
      </c>
      <c r="C230" s="475" t="s">
        <v>2088</v>
      </c>
      <c r="D230" s="474" t="s">
        <v>1592</v>
      </c>
      <c r="E230" s="674">
        <v>0.4</v>
      </c>
      <c r="F230" s="481">
        <v>14.17</v>
      </c>
      <c r="G230" s="649">
        <f t="shared" ref="G230:G234" si="30">ROUND(F230*E230,2)</f>
        <v>5.67</v>
      </c>
    </row>
    <row r="231" spans="1:7" outlineLevel="1">
      <c r="A231" s="474" t="s">
        <v>1725</v>
      </c>
      <c r="B231" s="474" t="s">
        <v>1728</v>
      </c>
      <c r="C231" s="475" t="s">
        <v>1729</v>
      </c>
      <c r="D231" s="474" t="s">
        <v>1592</v>
      </c>
      <c r="E231" s="674">
        <v>0.34</v>
      </c>
      <c r="F231" s="481">
        <v>12.05</v>
      </c>
      <c r="G231" s="649">
        <f t="shared" si="30"/>
        <v>4.0999999999999996</v>
      </c>
    </row>
    <row r="232" spans="1:7" outlineLevel="1">
      <c r="A232" s="474" t="s">
        <v>2036</v>
      </c>
      <c r="B232" s="474">
        <v>9401</v>
      </c>
      <c r="C232" s="475" t="s">
        <v>2106</v>
      </c>
      <c r="D232" s="474" t="s">
        <v>1594</v>
      </c>
      <c r="E232" s="674">
        <v>0.14000000000000001</v>
      </c>
      <c r="F232" s="481">
        <v>20.23</v>
      </c>
      <c r="G232" s="649">
        <f t="shared" si="30"/>
        <v>2.83</v>
      </c>
    </row>
    <row r="233" spans="1:7" outlineLevel="1">
      <c r="A233" s="474" t="s">
        <v>1730</v>
      </c>
      <c r="B233" s="474" t="s">
        <v>2089</v>
      </c>
      <c r="C233" s="475" t="s">
        <v>2090</v>
      </c>
      <c r="D233" s="474" t="s">
        <v>1594</v>
      </c>
      <c r="E233" s="674">
        <v>5.5</v>
      </c>
      <c r="F233" s="481">
        <v>1.48</v>
      </c>
      <c r="G233" s="649">
        <f t="shared" si="30"/>
        <v>8.14</v>
      </c>
    </row>
    <row r="234" spans="1:7" ht="19.2" outlineLevel="1">
      <c r="A234" s="467" t="s">
        <v>2036</v>
      </c>
      <c r="B234" s="467">
        <v>9399</v>
      </c>
      <c r="C234" s="475" t="s">
        <v>2105</v>
      </c>
      <c r="D234" s="467" t="s">
        <v>1535</v>
      </c>
      <c r="E234" s="672">
        <v>1.05</v>
      </c>
      <c r="F234" s="645">
        <v>52.72</v>
      </c>
      <c r="G234" s="649">
        <f t="shared" si="30"/>
        <v>55.36</v>
      </c>
    </row>
    <row r="236" spans="1:7" ht="19.2">
      <c r="A236" s="474" t="s">
        <v>2123</v>
      </c>
      <c r="B236" s="474" t="s">
        <v>2124</v>
      </c>
      <c r="C236" s="475" t="s">
        <v>2132</v>
      </c>
      <c r="D236" s="474" t="s">
        <v>1535</v>
      </c>
      <c r="E236" s="674" t="s">
        <v>122</v>
      </c>
      <c r="F236" s="487"/>
      <c r="G236" s="646">
        <f>SUM(G237:G243)</f>
        <v>503.48</v>
      </c>
    </row>
    <row r="237" spans="1:7" outlineLevel="1">
      <c r="A237" s="474" t="s">
        <v>1725</v>
      </c>
      <c r="B237" s="474" t="s">
        <v>1974</v>
      </c>
      <c r="C237" s="475" t="s">
        <v>1975</v>
      </c>
      <c r="D237" s="474" t="s">
        <v>1592</v>
      </c>
      <c r="E237" s="674">
        <v>1.66</v>
      </c>
      <c r="F237" s="481">
        <v>14.17</v>
      </c>
      <c r="G237" s="649">
        <f t="shared" ref="G237:G243" si="31">ROUND(F237*E237,2)</f>
        <v>23.52</v>
      </c>
    </row>
    <row r="238" spans="1:7" outlineLevel="1">
      <c r="A238" s="474" t="s">
        <v>1725</v>
      </c>
      <c r="B238" s="474" t="s">
        <v>1728</v>
      </c>
      <c r="C238" s="475" t="s">
        <v>1729</v>
      </c>
      <c r="D238" s="474" t="s">
        <v>1592</v>
      </c>
      <c r="E238" s="674">
        <v>1.0900000000000001</v>
      </c>
      <c r="F238" s="481">
        <v>12.05</v>
      </c>
      <c r="G238" s="649">
        <f t="shared" si="31"/>
        <v>13.13</v>
      </c>
    </row>
    <row r="239" spans="1:7" outlineLevel="1">
      <c r="A239" s="474" t="s">
        <v>1730</v>
      </c>
      <c r="B239" s="474" t="s">
        <v>2125</v>
      </c>
      <c r="C239" s="475" t="s">
        <v>2126</v>
      </c>
      <c r="D239" s="474" t="s">
        <v>1594</v>
      </c>
      <c r="E239" s="674">
        <v>0.58089999999999997</v>
      </c>
      <c r="F239" s="481">
        <v>27.8</v>
      </c>
      <c r="G239" s="649">
        <f t="shared" si="31"/>
        <v>16.149999999999999</v>
      </c>
    </row>
    <row r="240" spans="1:7" ht="19.2" outlineLevel="1">
      <c r="A240" s="474" t="s">
        <v>1730</v>
      </c>
      <c r="B240" s="474" t="s">
        <v>2024</v>
      </c>
      <c r="C240" s="475" t="s">
        <v>2025</v>
      </c>
      <c r="D240" s="474" t="s">
        <v>1536</v>
      </c>
      <c r="E240" s="674">
        <v>6.67</v>
      </c>
      <c r="F240" s="481">
        <v>0.36</v>
      </c>
      <c r="G240" s="649">
        <f t="shared" si="31"/>
        <v>2.4</v>
      </c>
    </row>
    <row r="241" spans="1:7" outlineLevel="1">
      <c r="A241" s="474" t="s">
        <v>1730</v>
      </c>
      <c r="B241" s="474" t="s">
        <v>2127</v>
      </c>
      <c r="C241" s="475" t="s">
        <v>2128</v>
      </c>
      <c r="D241" s="474" t="s">
        <v>1535</v>
      </c>
      <c r="E241" s="674">
        <v>1.117</v>
      </c>
      <c r="F241" s="645">
        <v>354.02</v>
      </c>
      <c r="G241" s="649">
        <f t="shared" si="31"/>
        <v>395.44</v>
      </c>
    </row>
    <row r="242" spans="1:7" outlineLevel="1">
      <c r="A242" s="474" t="s">
        <v>1730</v>
      </c>
      <c r="B242" s="474" t="s">
        <v>2129</v>
      </c>
      <c r="C242" s="475" t="s">
        <v>2093</v>
      </c>
      <c r="D242" s="474" t="s">
        <v>1594</v>
      </c>
      <c r="E242" s="674">
        <v>3.9E-2</v>
      </c>
      <c r="F242" s="481">
        <v>42.91</v>
      </c>
      <c r="G242" s="649">
        <f t="shared" si="31"/>
        <v>1.67</v>
      </c>
    </row>
    <row r="243" spans="1:7" ht="19.2" outlineLevel="1">
      <c r="A243" s="474" t="s">
        <v>1730</v>
      </c>
      <c r="B243" s="474" t="s">
        <v>2130</v>
      </c>
      <c r="C243" s="475" t="s">
        <v>2131</v>
      </c>
      <c r="D243" s="474" t="s">
        <v>1536</v>
      </c>
      <c r="E243" s="674">
        <v>2.2200000000000002</v>
      </c>
      <c r="F243" s="481">
        <v>23.05</v>
      </c>
      <c r="G243" s="649">
        <f t="shared" si="31"/>
        <v>51.17</v>
      </c>
    </row>
    <row r="245" spans="1:7" ht="19.2">
      <c r="A245" s="474" t="s">
        <v>2123</v>
      </c>
      <c r="B245" s="474" t="s">
        <v>2133</v>
      </c>
      <c r="C245" s="475" t="s">
        <v>2134</v>
      </c>
      <c r="D245" s="474" t="s">
        <v>1536</v>
      </c>
      <c r="E245" s="674" t="s">
        <v>122</v>
      </c>
      <c r="F245" s="487"/>
      <c r="G245" s="646">
        <f>SUM(G246:G247)</f>
        <v>33.5</v>
      </c>
    </row>
    <row r="246" spans="1:7" outlineLevel="1">
      <c r="A246" s="474" t="s">
        <v>1725</v>
      </c>
      <c r="B246" s="474" t="s">
        <v>1728</v>
      </c>
      <c r="C246" s="475" t="s">
        <v>1729</v>
      </c>
      <c r="D246" s="474" t="s">
        <v>1592</v>
      </c>
      <c r="E246" s="674">
        <v>1</v>
      </c>
      <c r="F246" s="481">
        <v>12.05</v>
      </c>
      <c r="G246" s="649">
        <f t="shared" ref="G246:G247" si="32">ROUND(F246*E246,2)</f>
        <v>12.05</v>
      </c>
    </row>
    <row r="247" spans="1:7" outlineLevel="1">
      <c r="A247" s="474" t="s">
        <v>1730</v>
      </c>
      <c r="B247" s="474">
        <v>377</v>
      </c>
      <c r="C247" s="475" t="s">
        <v>2135</v>
      </c>
      <c r="D247" s="474" t="s">
        <v>1536</v>
      </c>
      <c r="E247" s="674">
        <v>1</v>
      </c>
      <c r="F247" s="481">
        <v>21.45</v>
      </c>
      <c r="G247" s="649">
        <f t="shared" si="32"/>
        <v>21.45</v>
      </c>
    </row>
    <row r="249" spans="1:7" ht="28.8">
      <c r="A249" s="474" t="s">
        <v>2123</v>
      </c>
      <c r="B249" s="474" t="s">
        <v>2136</v>
      </c>
      <c r="C249" s="475" t="s">
        <v>1505</v>
      </c>
      <c r="D249" s="474" t="s">
        <v>1536</v>
      </c>
      <c r="E249" s="674" t="s">
        <v>122</v>
      </c>
      <c r="F249" s="487"/>
      <c r="G249" s="646">
        <f>SUM(G250:G252)</f>
        <v>724.99</v>
      </c>
    </row>
    <row r="250" spans="1:7" outlineLevel="1">
      <c r="A250" s="474" t="s">
        <v>1725</v>
      </c>
      <c r="B250" s="474">
        <v>88267</v>
      </c>
      <c r="C250" s="475" t="s">
        <v>2137</v>
      </c>
      <c r="D250" s="474" t="s">
        <v>1592</v>
      </c>
      <c r="E250" s="674">
        <v>1</v>
      </c>
      <c r="F250" s="481">
        <v>15.15</v>
      </c>
      <c r="G250" s="649">
        <f t="shared" ref="G250:G252" si="33">ROUND(F250*E250,2)</f>
        <v>15.15</v>
      </c>
    </row>
    <row r="251" spans="1:7" outlineLevel="1">
      <c r="A251" s="474" t="s">
        <v>1725</v>
      </c>
      <c r="B251" s="474" t="s">
        <v>1728</v>
      </c>
      <c r="C251" s="475" t="s">
        <v>1729</v>
      </c>
      <c r="D251" s="474" t="s">
        <v>1592</v>
      </c>
      <c r="E251" s="674">
        <v>1</v>
      </c>
      <c r="F251" s="481">
        <v>12.05</v>
      </c>
      <c r="G251" s="649">
        <f t="shared" si="33"/>
        <v>12.05</v>
      </c>
    </row>
    <row r="252" spans="1:7" ht="19.2" outlineLevel="1">
      <c r="A252" s="474" t="s">
        <v>2036</v>
      </c>
      <c r="B252" s="474">
        <v>7286</v>
      </c>
      <c r="C252" s="475" t="s">
        <v>2138</v>
      </c>
      <c r="D252" s="474" t="s">
        <v>1536</v>
      </c>
      <c r="E252" s="674">
        <v>1</v>
      </c>
      <c r="F252" s="481">
        <v>697.79</v>
      </c>
      <c r="G252" s="649">
        <f t="shared" si="33"/>
        <v>697.79</v>
      </c>
    </row>
    <row r="254" spans="1:7" ht="19.2">
      <c r="A254" s="474" t="s">
        <v>2123</v>
      </c>
      <c r="B254" s="474" t="s">
        <v>2139</v>
      </c>
      <c r="C254" s="475" t="s">
        <v>2173</v>
      </c>
      <c r="D254" s="474" t="s">
        <v>1536</v>
      </c>
      <c r="E254" s="674" t="s">
        <v>122</v>
      </c>
      <c r="F254" s="487"/>
      <c r="G254" s="646">
        <f>SUM(G255:G257)</f>
        <v>1733.61</v>
      </c>
    </row>
    <row r="255" spans="1:7" outlineLevel="1">
      <c r="A255" s="474" t="s">
        <v>1725</v>
      </c>
      <c r="B255" s="474">
        <v>88267</v>
      </c>
      <c r="C255" s="475" t="s">
        <v>2137</v>
      </c>
      <c r="D255" s="474" t="s">
        <v>1592</v>
      </c>
      <c r="E255" s="674">
        <v>0.5</v>
      </c>
      <c r="F255" s="481">
        <v>15.15</v>
      </c>
      <c r="G255" s="649">
        <f t="shared" ref="G255:G257" si="34">ROUND(F255*E255,2)</f>
        <v>7.58</v>
      </c>
    </row>
    <row r="256" spans="1:7" outlineLevel="1">
      <c r="A256" s="474" t="s">
        <v>1725</v>
      </c>
      <c r="B256" s="474" t="s">
        <v>1728</v>
      </c>
      <c r="C256" s="475" t="s">
        <v>1729</v>
      </c>
      <c r="D256" s="474" t="s">
        <v>1592</v>
      </c>
      <c r="E256" s="674">
        <v>0.5</v>
      </c>
      <c r="F256" s="481">
        <v>12.05</v>
      </c>
      <c r="G256" s="649">
        <f t="shared" si="34"/>
        <v>6.03</v>
      </c>
    </row>
    <row r="257" spans="1:7" ht="19.2" outlineLevel="1">
      <c r="A257" s="474" t="s">
        <v>2140</v>
      </c>
      <c r="B257" s="474"/>
      <c r="C257" s="475" t="s">
        <v>2173</v>
      </c>
      <c r="D257" s="474" t="s">
        <v>1536</v>
      </c>
      <c r="E257" s="674">
        <v>1</v>
      </c>
      <c r="F257" s="481">
        <v>1720</v>
      </c>
      <c r="G257" s="649">
        <f t="shared" si="34"/>
        <v>1720</v>
      </c>
    </row>
    <row r="259" spans="1:7">
      <c r="A259" s="474" t="s">
        <v>2123</v>
      </c>
      <c r="B259" s="474" t="s">
        <v>2142</v>
      </c>
      <c r="C259" s="475" t="s">
        <v>2159</v>
      </c>
      <c r="D259" s="474" t="s">
        <v>1536</v>
      </c>
      <c r="E259" s="674" t="s">
        <v>122</v>
      </c>
      <c r="F259" s="487"/>
      <c r="G259" s="646">
        <f>SUM(G260:G264)</f>
        <v>1190.3800000000001</v>
      </c>
    </row>
    <row r="260" spans="1:7" outlineLevel="1">
      <c r="A260" s="474" t="s">
        <v>1725</v>
      </c>
      <c r="B260" s="474">
        <v>88267</v>
      </c>
      <c r="C260" s="475" t="s">
        <v>2137</v>
      </c>
      <c r="D260" s="474" t="s">
        <v>1592</v>
      </c>
      <c r="E260" s="674">
        <v>3</v>
      </c>
      <c r="F260" s="481">
        <v>15.15</v>
      </c>
      <c r="G260" s="649">
        <f t="shared" ref="G260:G264" si="35">ROUND(F260*E260,2)</f>
        <v>45.45</v>
      </c>
    </row>
    <row r="261" spans="1:7" outlineLevel="1">
      <c r="A261" s="474" t="s">
        <v>1725</v>
      </c>
      <c r="B261" s="474" t="s">
        <v>1728</v>
      </c>
      <c r="C261" s="475" t="s">
        <v>1729</v>
      </c>
      <c r="D261" s="474" t="s">
        <v>1592</v>
      </c>
      <c r="E261" s="674">
        <v>3</v>
      </c>
      <c r="F261" s="481">
        <v>12.05</v>
      </c>
      <c r="G261" s="649">
        <f t="shared" si="35"/>
        <v>36.15</v>
      </c>
    </row>
    <row r="262" spans="1:7" outlineLevel="1">
      <c r="A262" s="474" t="s">
        <v>2140</v>
      </c>
      <c r="B262" s="474"/>
      <c r="C262" s="475" t="s">
        <v>2160</v>
      </c>
      <c r="D262" s="474" t="s">
        <v>1536</v>
      </c>
      <c r="E262" s="674">
        <v>1</v>
      </c>
      <c r="F262" s="481">
        <v>899</v>
      </c>
      <c r="G262" s="649">
        <f t="shared" si="35"/>
        <v>899</v>
      </c>
    </row>
    <row r="263" spans="1:7" ht="19.2" outlineLevel="1">
      <c r="A263" s="474" t="s">
        <v>1725</v>
      </c>
      <c r="B263" s="474">
        <v>40729</v>
      </c>
      <c r="C263" s="475" t="s">
        <v>2162</v>
      </c>
      <c r="D263" s="474" t="s">
        <v>1536</v>
      </c>
      <c r="E263" s="674">
        <v>1</v>
      </c>
      <c r="F263" s="481">
        <v>198.77</v>
      </c>
      <c r="G263" s="649">
        <f t="shared" si="35"/>
        <v>198.77</v>
      </c>
    </row>
    <row r="264" spans="1:7" outlineLevel="1">
      <c r="A264" s="474" t="s">
        <v>2036</v>
      </c>
      <c r="B264" s="474">
        <v>3584</v>
      </c>
      <c r="C264" s="475" t="s">
        <v>2143</v>
      </c>
      <c r="D264" s="474" t="s">
        <v>1536</v>
      </c>
      <c r="E264" s="674">
        <v>1</v>
      </c>
      <c r="F264" s="481">
        <v>11.01</v>
      </c>
      <c r="G264" s="649">
        <f t="shared" si="35"/>
        <v>11.01</v>
      </c>
    </row>
    <row r="265" spans="1:7">
      <c r="A265" s="474"/>
      <c r="B265" s="474"/>
      <c r="C265" s="475"/>
      <c r="D265" s="474"/>
      <c r="E265" s="674"/>
      <c r="F265" s="645"/>
      <c r="G265" s="645"/>
    </row>
    <row r="266" spans="1:7" ht="28.8">
      <c r="A266" s="474" t="s">
        <v>2123</v>
      </c>
      <c r="B266" s="474" t="s">
        <v>2149</v>
      </c>
      <c r="C266" s="475" t="s">
        <v>2151</v>
      </c>
      <c r="D266" s="474" t="s">
        <v>1536</v>
      </c>
      <c r="E266" s="674" t="s">
        <v>122</v>
      </c>
      <c r="F266" s="487"/>
      <c r="G266" s="647">
        <f>SUM(G267:G273)</f>
        <v>487.48999999999995</v>
      </c>
    </row>
    <row r="267" spans="1:7" outlineLevel="1">
      <c r="A267" s="474" t="s">
        <v>1725</v>
      </c>
      <c r="B267" s="474" t="s">
        <v>2145</v>
      </c>
      <c r="C267" s="475" t="s">
        <v>2146</v>
      </c>
      <c r="D267" s="474" t="s">
        <v>1592</v>
      </c>
      <c r="E267" s="674">
        <v>1.77</v>
      </c>
      <c r="F267" s="481">
        <v>15.15</v>
      </c>
      <c r="G267" s="649">
        <f t="shared" ref="G267:G273" si="36">ROUND(F267*E267,2)</f>
        <v>26.82</v>
      </c>
    </row>
    <row r="268" spans="1:7" outlineLevel="1">
      <c r="A268" s="474" t="s">
        <v>1725</v>
      </c>
      <c r="B268" s="474" t="s">
        <v>1728</v>
      </c>
      <c r="C268" s="475" t="s">
        <v>1729</v>
      </c>
      <c r="D268" s="474" t="s">
        <v>1592</v>
      </c>
      <c r="E268" s="674">
        <v>0.71</v>
      </c>
      <c r="F268" s="481">
        <v>12.05</v>
      </c>
      <c r="G268" s="649">
        <f t="shared" si="36"/>
        <v>8.56</v>
      </c>
    </row>
    <row r="269" spans="1:7" ht="19.2" outlineLevel="1">
      <c r="A269" s="474" t="s">
        <v>1730</v>
      </c>
      <c r="B269" s="474" t="s">
        <v>2147</v>
      </c>
      <c r="C269" s="475" t="s">
        <v>2148</v>
      </c>
      <c r="D269" s="474" t="s">
        <v>1536</v>
      </c>
      <c r="E269" s="674">
        <v>6</v>
      </c>
      <c r="F269" s="481">
        <v>1.44</v>
      </c>
      <c r="G269" s="649">
        <f t="shared" si="36"/>
        <v>8.64</v>
      </c>
    </row>
    <row r="270" spans="1:7" ht="19.2" outlineLevel="1">
      <c r="A270" s="474" t="s">
        <v>1730</v>
      </c>
      <c r="B270" s="474">
        <v>11688</v>
      </c>
      <c r="C270" s="475" t="s">
        <v>2150</v>
      </c>
      <c r="D270" s="474" t="s">
        <v>1536</v>
      </c>
      <c r="E270" s="674">
        <v>1</v>
      </c>
      <c r="F270" s="481">
        <v>305.29000000000002</v>
      </c>
      <c r="G270" s="649">
        <f t="shared" si="36"/>
        <v>305.29000000000002</v>
      </c>
    </row>
    <row r="271" spans="1:7" outlineLevel="1">
      <c r="A271" s="474" t="s">
        <v>1730</v>
      </c>
      <c r="B271" s="474" t="s">
        <v>2129</v>
      </c>
      <c r="C271" s="475" t="s">
        <v>2093</v>
      </c>
      <c r="D271" s="474" t="s">
        <v>1594</v>
      </c>
      <c r="E271" s="674">
        <v>0.11700000000000001</v>
      </c>
      <c r="F271" s="481">
        <v>42.91</v>
      </c>
      <c r="G271" s="649">
        <f t="shared" si="36"/>
        <v>5.0199999999999996</v>
      </c>
    </row>
    <row r="272" spans="1:7" outlineLevel="1">
      <c r="A272" s="484" t="s">
        <v>1725</v>
      </c>
      <c r="B272" s="484">
        <v>86914</v>
      </c>
      <c r="C272" s="484" t="s">
        <v>2152</v>
      </c>
      <c r="D272" s="503" t="s">
        <v>1536</v>
      </c>
      <c r="E272" s="675">
        <v>1</v>
      </c>
      <c r="F272" s="481">
        <v>28.02</v>
      </c>
      <c r="G272" s="649">
        <f t="shared" si="36"/>
        <v>28.02</v>
      </c>
    </row>
    <row r="273" spans="1:7" outlineLevel="1">
      <c r="A273" s="484" t="s">
        <v>1725</v>
      </c>
      <c r="B273" s="484">
        <v>86881</v>
      </c>
      <c r="C273" s="484" t="s">
        <v>2153</v>
      </c>
      <c r="D273" s="503" t="s">
        <v>1536</v>
      </c>
      <c r="E273" s="675">
        <v>1</v>
      </c>
      <c r="F273" s="481">
        <v>105.14</v>
      </c>
      <c r="G273" s="649">
        <f t="shared" si="36"/>
        <v>105.14</v>
      </c>
    </row>
    <row r="275" spans="1:7" ht="48">
      <c r="A275" s="474" t="s">
        <v>2123</v>
      </c>
      <c r="B275" s="474" t="s">
        <v>2165</v>
      </c>
      <c r="C275" s="475" t="s">
        <v>2166</v>
      </c>
      <c r="D275" s="474" t="s">
        <v>1536</v>
      </c>
      <c r="E275" s="674" t="s">
        <v>122</v>
      </c>
      <c r="F275" s="487"/>
      <c r="G275" s="647">
        <f>SUM(G276:G280)</f>
        <v>287.28000000000003</v>
      </c>
    </row>
    <row r="276" spans="1:7" ht="28.8" outlineLevel="1">
      <c r="A276" s="474" t="s">
        <v>1725</v>
      </c>
      <c r="B276" s="474">
        <v>86877</v>
      </c>
      <c r="C276" s="475" t="s">
        <v>2167</v>
      </c>
      <c r="D276" s="474" t="s">
        <v>1536</v>
      </c>
      <c r="E276" s="674">
        <v>1</v>
      </c>
      <c r="F276" s="481">
        <v>18.78</v>
      </c>
      <c r="G276" s="649">
        <f t="shared" ref="G276:G280" si="37">ROUND(F276*E276,2)</f>
        <v>18.78</v>
      </c>
    </row>
    <row r="277" spans="1:7" ht="19.2" outlineLevel="1">
      <c r="A277" s="474" t="s">
        <v>1725</v>
      </c>
      <c r="B277" s="474">
        <v>86881</v>
      </c>
      <c r="C277" s="475" t="s">
        <v>2168</v>
      </c>
      <c r="D277" s="474" t="s">
        <v>1536</v>
      </c>
      <c r="E277" s="674">
        <v>1</v>
      </c>
      <c r="F277" s="481">
        <v>105.14</v>
      </c>
      <c r="G277" s="649">
        <f t="shared" si="37"/>
        <v>105.14</v>
      </c>
    </row>
    <row r="278" spans="1:7" ht="19.2" outlineLevel="1">
      <c r="A278" s="474" t="s">
        <v>1725</v>
      </c>
      <c r="B278" s="474">
        <v>86887</v>
      </c>
      <c r="C278" s="475" t="s">
        <v>2169</v>
      </c>
      <c r="D278" s="474" t="s">
        <v>1536</v>
      </c>
      <c r="E278" s="674">
        <v>1</v>
      </c>
      <c r="F278" s="481">
        <v>27.98</v>
      </c>
      <c r="G278" s="649">
        <f t="shared" si="37"/>
        <v>27.98</v>
      </c>
    </row>
    <row r="279" spans="1:7" ht="19.2" outlineLevel="1">
      <c r="A279" s="474" t="s">
        <v>1725</v>
      </c>
      <c r="B279" s="474" t="s">
        <v>2163</v>
      </c>
      <c r="C279" s="475" t="s">
        <v>2164</v>
      </c>
      <c r="D279" s="474" t="s">
        <v>1536</v>
      </c>
      <c r="E279" s="674">
        <v>1</v>
      </c>
      <c r="F279" s="481">
        <v>74.400000000000006</v>
      </c>
      <c r="G279" s="649">
        <f t="shared" si="37"/>
        <v>74.400000000000006</v>
      </c>
    </row>
    <row r="280" spans="1:7" ht="19.2" outlineLevel="1">
      <c r="A280" s="474" t="s">
        <v>1725</v>
      </c>
      <c r="B280" s="474">
        <v>86915</v>
      </c>
      <c r="C280" s="475" t="s">
        <v>2170</v>
      </c>
      <c r="D280" s="474" t="s">
        <v>1536</v>
      </c>
      <c r="E280" s="674">
        <v>1</v>
      </c>
      <c r="F280" s="481">
        <v>60.98</v>
      </c>
      <c r="G280" s="649">
        <f t="shared" si="37"/>
        <v>60.98</v>
      </c>
    </row>
    <row r="282" spans="1:7" ht="19.2">
      <c r="A282" s="474" t="s">
        <v>2123</v>
      </c>
      <c r="B282" s="474" t="s">
        <v>2174</v>
      </c>
      <c r="C282" s="475" t="s">
        <v>2175</v>
      </c>
      <c r="D282" s="474" t="s">
        <v>1536</v>
      </c>
      <c r="E282" s="674" t="s">
        <v>122</v>
      </c>
      <c r="F282" s="487"/>
      <c r="G282" s="647">
        <f>SUM(G283:G287)</f>
        <v>3352.29</v>
      </c>
    </row>
    <row r="283" spans="1:7" outlineLevel="1">
      <c r="A283" s="474" t="s">
        <v>1725</v>
      </c>
      <c r="B283" s="474" t="s">
        <v>2145</v>
      </c>
      <c r="C283" s="475" t="s">
        <v>2146</v>
      </c>
      <c r="D283" s="474" t="s">
        <v>1592</v>
      </c>
      <c r="E283" s="674">
        <v>1.77</v>
      </c>
      <c r="F283" s="481">
        <v>15.15</v>
      </c>
      <c r="G283" s="649">
        <f t="shared" ref="G283:G287" si="38">ROUND(F283*E283,2)</f>
        <v>26.82</v>
      </c>
    </row>
    <row r="284" spans="1:7" outlineLevel="1">
      <c r="A284" s="474" t="s">
        <v>1725</v>
      </c>
      <c r="B284" s="474" t="s">
        <v>1728</v>
      </c>
      <c r="C284" s="475" t="s">
        <v>1729</v>
      </c>
      <c r="D284" s="474" t="s">
        <v>1592</v>
      </c>
      <c r="E284" s="674">
        <v>0.71</v>
      </c>
      <c r="F284" s="481">
        <v>12.05</v>
      </c>
      <c r="G284" s="649">
        <f t="shared" si="38"/>
        <v>8.56</v>
      </c>
    </row>
    <row r="285" spans="1:7" ht="19.2" outlineLevel="1">
      <c r="A285" s="474" t="s">
        <v>1730</v>
      </c>
      <c r="B285" s="474" t="s">
        <v>2147</v>
      </c>
      <c r="C285" s="475" t="s">
        <v>2148</v>
      </c>
      <c r="D285" s="474" t="s">
        <v>1536</v>
      </c>
      <c r="E285" s="674">
        <v>6</v>
      </c>
      <c r="F285" s="481">
        <v>1.44</v>
      </c>
      <c r="G285" s="649">
        <f t="shared" si="38"/>
        <v>8.64</v>
      </c>
    </row>
    <row r="286" spans="1:7" ht="19.2" outlineLevel="1">
      <c r="A286" s="474" t="s">
        <v>1725</v>
      </c>
      <c r="B286" s="474"/>
      <c r="C286" s="475" t="s">
        <v>2175</v>
      </c>
      <c r="D286" s="474" t="s">
        <v>1536</v>
      </c>
      <c r="E286" s="674">
        <v>1</v>
      </c>
      <c r="F286" s="481">
        <v>3303.25</v>
      </c>
      <c r="G286" s="649">
        <f t="shared" si="38"/>
        <v>3303.25</v>
      </c>
    </row>
    <row r="287" spans="1:7" outlineLevel="1">
      <c r="A287" s="474" t="s">
        <v>1730</v>
      </c>
      <c r="B287" s="474" t="s">
        <v>2129</v>
      </c>
      <c r="C287" s="475" t="s">
        <v>2093</v>
      </c>
      <c r="D287" s="474" t="s">
        <v>1594</v>
      </c>
      <c r="E287" s="674">
        <v>0.11700000000000001</v>
      </c>
      <c r="F287" s="481">
        <v>42.91</v>
      </c>
      <c r="G287" s="649">
        <f t="shared" si="38"/>
        <v>5.0199999999999996</v>
      </c>
    </row>
    <row r="289" spans="1:7" ht="19.2">
      <c r="A289" s="474" t="s">
        <v>2123</v>
      </c>
      <c r="B289" s="474" t="s">
        <v>2176</v>
      </c>
      <c r="C289" s="475" t="s">
        <v>2177</v>
      </c>
      <c r="D289" s="474" t="s">
        <v>1536</v>
      </c>
      <c r="E289" s="674" t="s">
        <v>122</v>
      </c>
      <c r="F289" s="487"/>
      <c r="G289" s="647">
        <f>SUM(G290:G295)</f>
        <v>4951.4900000000007</v>
      </c>
    </row>
    <row r="290" spans="1:7" outlineLevel="1">
      <c r="A290" s="474" t="s">
        <v>1725</v>
      </c>
      <c r="B290" s="474" t="s">
        <v>2145</v>
      </c>
      <c r="C290" s="475" t="s">
        <v>2146</v>
      </c>
      <c r="D290" s="474" t="s">
        <v>1592</v>
      </c>
      <c r="E290" s="674">
        <v>1.77</v>
      </c>
      <c r="F290" s="481">
        <v>15.15</v>
      </c>
      <c r="G290" s="649">
        <f t="shared" ref="G290:G294" si="39">ROUND(F290*E290,2)</f>
        <v>26.82</v>
      </c>
    </row>
    <row r="291" spans="1:7" outlineLevel="1">
      <c r="A291" s="474" t="s">
        <v>1725</v>
      </c>
      <c r="B291" s="474" t="s">
        <v>1728</v>
      </c>
      <c r="C291" s="475" t="s">
        <v>1729</v>
      </c>
      <c r="D291" s="474" t="s">
        <v>1592</v>
      </c>
      <c r="E291" s="674">
        <v>0.71</v>
      </c>
      <c r="F291" s="481">
        <v>12.05</v>
      </c>
      <c r="G291" s="649">
        <f t="shared" si="39"/>
        <v>8.56</v>
      </c>
    </row>
    <row r="292" spans="1:7" ht="19.2" outlineLevel="1">
      <c r="A292" s="474" t="s">
        <v>1730</v>
      </c>
      <c r="B292" s="474" t="s">
        <v>2147</v>
      </c>
      <c r="C292" s="475" t="s">
        <v>2148</v>
      </c>
      <c r="D292" s="474" t="s">
        <v>1536</v>
      </c>
      <c r="E292" s="674">
        <v>6</v>
      </c>
      <c r="F292" s="481">
        <v>1.44</v>
      </c>
      <c r="G292" s="649">
        <f t="shared" si="39"/>
        <v>8.64</v>
      </c>
    </row>
    <row r="293" spans="1:7" ht="19.2" outlineLevel="1">
      <c r="A293" s="474" t="s">
        <v>1725</v>
      </c>
      <c r="B293" s="474"/>
      <c r="C293" s="475" t="s">
        <v>2177</v>
      </c>
      <c r="D293" s="474" t="s">
        <v>1536</v>
      </c>
      <c r="E293" s="674">
        <v>1</v>
      </c>
      <c r="F293" s="481">
        <v>4902.45</v>
      </c>
      <c r="G293" s="649">
        <f t="shared" si="39"/>
        <v>4902.45</v>
      </c>
    </row>
    <row r="294" spans="1:7" outlineLevel="1">
      <c r="A294" s="474" t="s">
        <v>1730</v>
      </c>
      <c r="B294" s="474" t="s">
        <v>2129</v>
      </c>
      <c r="C294" s="475" t="s">
        <v>2093</v>
      </c>
      <c r="D294" s="474" t="s">
        <v>1594</v>
      </c>
      <c r="E294" s="674">
        <v>0.11700000000000001</v>
      </c>
      <c r="F294" s="481">
        <v>42.91</v>
      </c>
      <c r="G294" s="649">
        <f t="shared" si="39"/>
        <v>5.0199999999999996</v>
      </c>
    </row>
    <row r="295" spans="1:7">
      <c r="A295" s="484"/>
      <c r="B295" s="484"/>
      <c r="C295" s="484"/>
      <c r="D295" s="503"/>
      <c r="E295" s="675"/>
      <c r="F295" s="481"/>
      <c r="G295" s="653"/>
    </row>
    <row r="296" spans="1:7" ht="19.2">
      <c r="A296" s="474" t="s">
        <v>2123</v>
      </c>
      <c r="B296" s="474" t="s">
        <v>2179</v>
      </c>
      <c r="C296" s="475" t="s">
        <v>2181</v>
      </c>
      <c r="D296" s="474" t="s">
        <v>1536</v>
      </c>
      <c r="E296" s="674" t="s">
        <v>122</v>
      </c>
      <c r="F296" s="487"/>
      <c r="G296" s="647">
        <f>SUM(G297:G303)</f>
        <v>1016.41</v>
      </c>
    </row>
    <row r="297" spans="1:7" outlineLevel="1">
      <c r="A297" s="474" t="s">
        <v>1725</v>
      </c>
      <c r="B297" s="474" t="s">
        <v>2145</v>
      </c>
      <c r="C297" s="475" t="s">
        <v>2146</v>
      </c>
      <c r="D297" s="474" t="s">
        <v>1592</v>
      </c>
      <c r="E297" s="674">
        <v>1.77</v>
      </c>
      <c r="F297" s="481">
        <v>15.15</v>
      </c>
      <c r="G297" s="649">
        <f t="shared" ref="G297:G302" si="40">ROUND(F297*E297,2)</f>
        <v>26.82</v>
      </c>
    </row>
    <row r="298" spans="1:7" outlineLevel="1">
      <c r="A298" s="474" t="s">
        <v>1725</v>
      </c>
      <c r="B298" s="474" t="s">
        <v>1728</v>
      </c>
      <c r="C298" s="475" t="s">
        <v>1729</v>
      </c>
      <c r="D298" s="474" t="s">
        <v>1592</v>
      </c>
      <c r="E298" s="674">
        <v>0.71</v>
      </c>
      <c r="F298" s="481">
        <v>12.05</v>
      </c>
      <c r="G298" s="649">
        <f t="shared" si="40"/>
        <v>8.56</v>
      </c>
    </row>
    <row r="299" spans="1:7" ht="19.2" outlineLevel="1">
      <c r="A299" s="474" t="s">
        <v>1730</v>
      </c>
      <c r="B299" s="474" t="s">
        <v>2147</v>
      </c>
      <c r="C299" s="475" t="s">
        <v>2148</v>
      </c>
      <c r="D299" s="474" t="s">
        <v>1536</v>
      </c>
      <c r="E299" s="674">
        <v>6</v>
      </c>
      <c r="F299" s="481">
        <v>1.44</v>
      </c>
      <c r="G299" s="649">
        <f t="shared" si="40"/>
        <v>8.64</v>
      </c>
    </row>
    <row r="300" spans="1:7" ht="19.2" outlineLevel="1">
      <c r="A300" s="474" t="s">
        <v>1725</v>
      </c>
      <c r="B300" s="474">
        <v>86878</v>
      </c>
      <c r="C300" s="475" t="s">
        <v>2182</v>
      </c>
      <c r="D300" s="474" t="s">
        <v>1536</v>
      </c>
      <c r="E300" s="674">
        <v>1</v>
      </c>
      <c r="F300" s="481">
        <v>37.369999999999997</v>
      </c>
      <c r="G300" s="649">
        <f t="shared" si="40"/>
        <v>37.369999999999997</v>
      </c>
    </row>
    <row r="301" spans="1:7" ht="19.2" outlineLevel="1">
      <c r="A301" s="474" t="s">
        <v>1725</v>
      </c>
      <c r="B301" s="474"/>
      <c r="C301" s="475" t="s">
        <v>2180</v>
      </c>
      <c r="D301" s="474" t="s">
        <v>1536</v>
      </c>
      <c r="E301" s="674">
        <v>1</v>
      </c>
      <c r="F301" s="481">
        <v>930</v>
      </c>
      <c r="G301" s="649">
        <f t="shared" si="40"/>
        <v>930</v>
      </c>
    </row>
    <row r="302" spans="1:7" outlineLevel="1">
      <c r="A302" s="474" t="s">
        <v>1730</v>
      </c>
      <c r="B302" s="474" t="s">
        <v>2129</v>
      </c>
      <c r="C302" s="475" t="s">
        <v>2093</v>
      </c>
      <c r="D302" s="474" t="s">
        <v>1594</v>
      </c>
      <c r="E302" s="674">
        <v>0.11700000000000001</v>
      </c>
      <c r="F302" s="481">
        <v>42.91</v>
      </c>
      <c r="G302" s="649">
        <f t="shared" si="40"/>
        <v>5.0199999999999996</v>
      </c>
    </row>
    <row r="303" spans="1:7">
      <c r="A303" s="484"/>
      <c r="B303" s="484"/>
      <c r="C303" s="484"/>
      <c r="D303" s="503"/>
      <c r="E303" s="675"/>
      <c r="F303" s="481"/>
      <c r="G303" s="653"/>
    </row>
    <row r="304" spans="1:7" ht="28.8">
      <c r="A304" s="474" t="s">
        <v>1785</v>
      </c>
      <c r="B304" s="474" t="s">
        <v>2193</v>
      </c>
      <c r="C304" s="475" t="s">
        <v>2463</v>
      </c>
      <c r="D304" s="474" t="s">
        <v>1536</v>
      </c>
      <c r="E304" s="674" t="s">
        <v>122</v>
      </c>
      <c r="F304" s="487"/>
      <c r="G304" s="647">
        <f>SUM(G305:G307)</f>
        <v>4436.3999999999996</v>
      </c>
    </row>
    <row r="305" spans="1:7" outlineLevel="1">
      <c r="A305" s="474" t="s">
        <v>1725</v>
      </c>
      <c r="B305" s="474" t="s">
        <v>2145</v>
      </c>
      <c r="C305" s="475" t="s">
        <v>1789</v>
      </c>
      <c r="D305" s="474" t="s">
        <v>1592</v>
      </c>
      <c r="E305" s="674">
        <v>2</v>
      </c>
      <c r="F305" s="481">
        <v>15.15</v>
      </c>
      <c r="G305" s="649">
        <f t="shared" ref="G305:G307" si="41">ROUND(F305*E305,2)</f>
        <v>30.3</v>
      </c>
    </row>
    <row r="306" spans="1:7" outlineLevel="1">
      <c r="A306" s="474" t="s">
        <v>1725</v>
      </c>
      <c r="B306" s="474" t="s">
        <v>1728</v>
      </c>
      <c r="C306" s="475" t="s">
        <v>1729</v>
      </c>
      <c r="D306" s="474" t="s">
        <v>1592</v>
      </c>
      <c r="E306" s="674">
        <v>2</v>
      </c>
      <c r="F306" s="481">
        <v>12.05</v>
      </c>
      <c r="G306" s="649">
        <f t="shared" si="41"/>
        <v>24.1</v>
      </c>
    </row>
    <row r="307" spans="1:7" ht="28.8" outlineLevel="1">
      <c r="A307" s="474" t="s">
        <v>2194</v>
      </c>
      <c r="B307" s="474"/>
      <c r="C307" s="475" t="s">
        <v>2463</v>
      </c>
      <c r="D307" s="474" t="s">
        <v>1536</v>
      </c>
      <c r="E307" s="674">
        <v>1</v>
      </c>
      <c r="F307" s="481">
        <v>4382</v>
      </c>
      <c r="G307" s="649">
        <f t="shared" si="41"/>
        <v>4382</v>
      </c>
    </row>
    <row r="308" spans="1:7">
      <c r="A308" s="474"/>
      <c r="B308" s="474"/>
      <c r="C308" s="475"/>
      <c r="D308" s="474"/>
      <c r="E308" s="674"/>
      <c r="F308" s="481"/>
      <c r="G308" s="653"/>
    </row>
    <row r="309" spans="1:7" ht="19.2">
      <c r="A309" s="474" t="s">
        <v>1785</v>
      </c>
      <c r="B309" s="474" t="s">
        <v>2207</v>
      </c>
      <c r="C309" s="475" t="s">
        <v>2461</v>
      </c>
      <c r="D309" s="474" t="s">
        <v>1536</v>
      </c>
      <c r="E309" s="674"/>
      <c r="F309" s="487"/>
      <c r="G309" s="646">
        <f>SUM(G310:G313)</f>
        <v>771.2</v>
      </c>
    </row>
    <row r="310" spans="1:7" ht="19.2" outlineLevel="1">
      <c r="A310" s="474" t="s">
        <v>2194</v>
      </c>
      <c r="B310" s="474"/>
      <c r="C310" s="475" t="s">
        <v>2461</v>
      </c>
      <c r="D310" s="474" t="s">
        <v>1536</v>
      </c>
      <c r="E310" s="674">
        <v>1</v>
      </c>
      <c r="F310" s="481">
        <v>545</v>
      </c>
      <c r="G310" s="649">
        <f t="shared" ref="G310:G313" si="42">ROUND(F310*E310,2)</f>
        <v>545</v>
      </c>
    </row>
    <row r="311" spans="1:7" ht="19.2" outlineLevel="1">
      <c r="A311" s="467" t="s">
        <v>2194</v>
      </c>
      <c r="B311" s="467"/>
      <c r="C311" s="468" t="s">
        <v>2460</v>
      </c>
      <c r="D311" s="467" t="s">
        <v>1536</v>
      </c>
      <c r="E311" s="672">
        <v>1</v>
      </c>
      <c r="F311" s="480">
        <v>215</v>
      </c>
      <c r="G311" s="649">
        <f t="shared" si="42"/>
        <v>215</v>
      </c>
    </row>
    <row r="312" spans="1:7" outlineLevel="1">
      <c r="A312" s="474" t="s">
        <v>1725</v>
      </c>
      <c r="B312" s="474" t="s">
        <v>2145</v>
      </c>
      <c r="C312" s="475" t="s">
        <v>1789</v>
      </c>
      <c r="D312" s="474" t="s">
        <v>1592</v>
      </c>
      <c r="E312" s="674">
        <v>0.5</v>
      </c>
      <c r="F312" s="481">
        <v>15.15</v>
      </c>
      <c r="G312" s="649">
        <f t="shared" si="42"/>
        <v>7.58</v>
      </c>
    </row>
    <row r="313" spans="1:7" outlineLevel="1">
      <c r="A313" s="474" t="s">
        <v>1725</v>
      </c>
      <c r="B313" s="474" t="s">
        <v>1728</v>
      </c>
      <c r="C313" s="475" t="s">
        <v>1729</v>
      </c>
      <c r="D313" s="474" t="s">
        <v>1592</v>
      </c>
      <c r="E313" s="674">
        <v>0.3</v>
      </c>
      <c r="F313" s="481">
        <v>12.05</v>
      </c>
      <c r="G313" s="649">
        <f t="shared" si="42"/>
        <v>3.62</v>
      </c>
    </row>
    <row r="314" spans="1:7">
      <c r="A314" s="474"/>
      <c r="B314" s="474"/>
      <c r="C314" s="475"/>
      <c r="D314" s="474"/>
      <c r="E314" s="674"/>
      <c r="F314" s="481"/>
      <c r="G314" s="653"/>
    </row>
    <row r="315" spans="1:7" ht="28.8">
      <c r="A315" s="474" t="s">
        <v>1785</v>
      </c>
      <c r="B315" s="474" t="s">
        <v>2208</v>
      </c>
      <c r="C315" s="475" t="s">
        <v>1741</v>
      </c>
      <c r="D315" s="474" t="s">
        <v>1536</v>
      </c>
      <c r="E315" s="674" t="s">
        <v>122</v>
      </c>
      <c r="F315" s="487"/>
      <c r="G315" s="646">
        <f>SUM(G316:G318)</f>
        <v>3065.84</v>
      </c>
    </row>
    <row r="316" spans="1:7" outlineLevel="1">
      <c r="A316" s="474" t="s">
        <v>1725</v>
      </c>
      <c r="B316" s="474" t="s">
        <v>1786</v>
      </c>
      <c r="C316" s="475" t="s">
        <v>1787</v>
      </c>
      <c r="D316" s="474" t="s">
        <v>1592</v>
      </c>
      <c r="E316" s="674">
        <v>4</v>
      </c>
      <c r="F316" s="481">
        <v>12.56</v>
      </c>
      <c r="G316" s="649">
        <f t="shared" ref="G316:G318" si="43">ROUND(F316*E316,2)</f>
        <v>50.24</v>
      </c>
    </row>
    <row r="317" spans="1:7" outlineLevel="1">
      <c r="A317" s="474" t="s">
        <v>1725</v>
      </c>
      <c r="B317" s="474" t="s">
        <v>1788</v>
      </c>
      <c r="C317" s="475" t="s">
        <v>1789</v>
      </c>
      <c r="D317" s="474" t="s">
        <v>1592</v>
      </c>
      <c r="E317" s="674">
        <v>4</v>
      </c>
      <c r="F317" s="481">
        <v>15.15</v>
      </c>
      <c r="G317" s="649">
        <f t="shared" si="43"/>
        <v>60.6</v>
      </c>
    </row>
    <row r="318" spans="1:7" ht="48" outlineLevel="1">
      <c r="A318" s="474" t="s">
        <v>2194</v>
      </c>
      <c r="B318" s="474"/>
      <c r="C318" s="475" t="s">
        <v>2464</v>
      </c>
      <c r="D318" s="474" t="s">
        <v>1536</v>
      </c>
      <c r="E318" s="674">
        <v>1</v>
      </c>
      <c r="F318" s="481">
        <v>2955</v>
      </c>
      <c r="G318" s="649">
        <f t="shared" si="43"/>
        <v>2955</v>
      </c>
    </row>
    <row r="319" spans="1:7">
      <c r="A319" s="474"/>
      <c r="B319" s="474"/>
      <c r="C319" s="475"/>
      <c r="D319" s="474"/>
      <c r="E319" s="674"/>
      <c r="F319" s="481"/>
      <c r="G319" s="653"/>
    </row>
    <row r="320" spans="1:7" ht="19.2">
      <c r="A320" s="474" t="s">
        <v>1785</v>
      </c>
      <c r="B320" s="474" t="s">
        <v>2209</v>
      </c>
      <c r="C320" s="475" t="s">
        <v>2210</v>
      </c>
      <c r="D320" s="474" t="s">
        <v>1536</v>
      </c>
      <c r="E320" s="674" t="s">
        <v>122</v>
      </c>
      <c r="F320" s="487"/>
      <c r="G320" s="646">
        <f>SUM(G321:G325)</f>
        <v>139.72999999999999</v>
      </c>
    </row>
    <row r="321" spans="1:7" outlineLevel="1">
      <c r="A321" s="474" t="s">
        <v>1730</v>
      </c>
      <c r="B321" s="474">
        <v>425</v>
      </c>
      <c r="C321" s="490" t="s">
        <v>2213</v>
      </c>
      <c r="D321" s="474" t="s">
        <v>1536</v>
      </c>
      <c r="E321" s="674">
        <v>3</v>
      </c>
      <c r="F321" s="481">
        <v>2.68</v>
      </c>
      <c r="G321" s="649">
        <f t="shared" ref="G321:G325" si="44">ROUND(F321*E321,2)</f>
        <v>8.0399999999999991</v>
      </c>
    </row>
    <row r="322" spans="1:7" outlineLevel="1">
      <c r="A322" s="474" t="s">
        <v>1730</v>
      </c>
      <c r="B322" s="474">
        <v>862</v>
      </c>
      <c r="C322" s="490" t="s">
        <v>2211</v>
      </c>
      <c r="D322" s="474" t="s">
        <v>217</v>
      </c>
      <c r="E322" s="674">
        <v>6</v>
      </c>
      <c r="F322" s="481">
        <v>4.17</v>
      </c>
      <c r="G322" s="649">
        <f t="shared" si="44"/>
        <v>25.02</v>
      </c>
    </row>
    <row r="323" spans="1:7" ht="19.2" outlineLevel="1">
      <c r="A323" s="474" t="s">
        <v>1730</v>
      </c>
      <c r="B323" s="474">
        <v>3383</v>
      </c>
      <c r="C323" s="475" t="s">
        <v>2212</v>
      </c>
      <c r="D323" s="474" t="s">
        <v>1536</v>
      </c>
      <c r="E323" s="674">
        <v>3</v>
      </c>
      <c r="F323" s="481">
        <v>21.7</v>
      </c>
      <c r="G323" s="649">
        <f t="shared" si="44"/>
        <v>65.099999999999994</v>
      </c>
    </row>
    <row r="324" spans="1:7" outlineLevel="1">
      <c r="A324" s="474" t="s">
        <v>1725</v>
      </c>
      <c r="B324" s="474" t="s">
        <v>1786</v>
      </c>
      <c r="C324" s="475" t="s">
        <v>1787</v>
      </c>
      <c r="D324" s="474" t="s">
        <v>1592</v>
      </c>
      <c r="E324" s="674">
        <v>1.5</v>
      </c>
      <c r="F324" s="481">
        <v>12.56</v>
      </c>
      <c r="G324" s="649">
        <f t="shared" si="44"/>
        <v>18.84</v>
      </c>
    </row>
    <row r="325" spans="1:7" outlineLevel="1">
      <c r="A325" s="474" t="s">
        <v>1725</v>
      </c>
      <c r="B325" s="474" t="s">
        <v>1788</v>
      </c>
      <c r="C325" s="475" t="s">
        <v>1789</v>
      </c>
      <c r="D325" s="474" t="s">
        <v>1592</v>
      </c>
      <c r="E325" s="674">
        <v>1.5</v>
      </c>
      <c r="F325" s="481">
        <v>15.15</v>
      </c>
      <c r="G325" s="649">
        <f t="shared" si="44"/>
        <v>22.73</v>
      </c>
    </row>
    <row r="326" spans="1:7">
      <c r="A326" s="484"/>
      <c r="B326" s="484"/>
      <c r="C326" s="484"/>
      <c r="D326" s="503"/>
      <c r="E326" s="675"/>
      <c r="F326" s="481"/>
      <c r="G326" s="653"/>
    </row>
    <row r="327" spans="1:7">
      <c r="A327" s="474" t="s">
        <v>2214</v>
      </c>
      <c r="B327" s="474" t="s">
        <v>2222</v>
      </c>
      <c r="C327" s="475" t="s">
        <v>2216</v>
      </c>
      <c r="D327" s="474" t="s">
        <v>1535</v>
      </c>
      <c r="E327" s="674" t="s">
        <v>122</v>
      </c>
      <c r="F327" s="487"/>
      <c r="G327" s="647">
        <f>SUM(G328:G332)</f>
        <v>16.38</v>
      </c>
    </row>
    <row r="328" spans="1:7" outlineLevel="1">
      <c r="A328" s="474" t="s">
        <v>1725</v>
      </c>
      <c r="B328" s="474" t="s">
        <v>2218</v>
      </c>
      <c r="C328" s="475" t="s">
        <v>2217</v>
      </c>
      <c r="D328" s="474" t="s">
        <v>1592</v>
      </c>
      <c r="E328" s="674">
        <v>0.35</v>
      </c>
      <c r="F328" s="481">
        <v>15.15</v>
      </c>
      <c r="G328" s="649">
        <f t="shared" ref="G328:G332" si="45">ROUND(F328*E328,2)</f>
        <v>5.3</v>
      </c>
    </row>
    <row r="329" spans="1:7" outlineLevel="1">
      <c r="A329" s="474" t="s">
        <v>1725</v>
      </c>
      <c r="B329" s="474" t="s">
        <v>1728</v>
      </c>
      <c r="C329" s="475" t="s">
        <v>1729</v>
      </c>
      <c r="D329" s="474" t="s">
        <v>1592</v>
      </c>
      <c r="E329" s="674">
        <v>0.15</v>
      </c>
      <c r="F329" s="481">
        <v>12.05</v>
      </c>
      <c r="G329" s="649">
        <f t="shared" si="45"/>
        <v>1.81</v>
      </c>
    </row>
    <row r="330" spans="1:7" ht="19.2" outlineLevel="1">
      <c r="A330" s="474" t="s">
        <v>1730</v>
      </c>
      <c r="B330" s="474">
        <v>3767</v>
      </c>
      <c r="C330" s="475" t="s">
        <v>2221</v>
      </c>
      <c r="D330" s="474" t="s">
        <v>1536</v>
      </c>
      <c r="E330" s="674">
        <v>1</v>
      </c>
      <c r="F330" s="481">
        <v>0.33</v>
      </c>
      <c r="G330" s="649">
        <f t="shared" si="45"/>
        <v>0.33</v>
      </c>
    </row>
    <row r="331" spans="1:7" outlineLevel="1">
      <c r="A331" s="474" t="s">
        <v>1730</v>
      </c>
      <c r="B331" s="474">
        <v>5330</v>
      </c>
      <c r="C331" s="475" t="s">
        <v>2223</v>
      </c>
      <c r="D331" s="474" t="s">
        <v>1402</v>
      </c>
      <c r="E331" s="674">
        <v>0.03</v>
      </c>
      <c r="F331" s="481">
        <v>33.21</v>
      </c>
      <c r="G331" s="649">
        <f t="shared" si="45"/>
        <v>1</v>
      </c>
    </row>
    <row r="332" spans="1:7" outlineLevel="1">
      <c r="A332" s="474" t="s">
        <v>1730</v>
      </c>
      <c r="B332" s="474" t="s">
        <v>2219</v>
      </c>
      <c r="C332" s="475" t="s">
        <v>2220</v>
      </c>
      <c r="D332" s="474" t="s">
        <v>2215</v>
      </c>
      <c r="E332" s="674">
        <v>0.05</v>
      </c>
      <c r="F332" s="481">
        <v>158.87</v>
      </c>
      <c r="G332" s="649">
        <f t="shared" si="45"/>
        <v>7.94</v>
      </c>
    </row>
    <row r="333" spans="1:7">
      <c r="A333" s="474"/>
      <c r="B333" s="474"/>
      <c r="C333" s="475"/>
      <c r="D333" s="474"/>
      <c r="E333" s="674"/>
      <c r="F333" s="481"/>
      <c r="G333" s="653"/>
    </row>
    <row r="334" spans="1:7">
      <c r="A334" s="474" t="s">
        <v>1866</v>
      </c>
      <c r="B334" s="474" t="s">
        <v>2226</v>
      </c>
      <c r="C334" s="475" t="s">
        <v>1744</v>
      </c>
      <c r="D334" s="474" t="s">
        <v>1536</v>
      </c>
      <c r="E334" s="674" t="s">
        <v>122</v>
      </c>
      <c r="F334" s="487"/>
      <c r="G334" s="647">
        <f>SUM(G335:G337)</f>
        <v>785.91</v>
      </c>
    </row>
    <row r="335" spans="1:7" outlineLevel="1">
      <c r="A335" s="474" t="s">
        <v>1725</v>
      </c>
      <c r="B335" s="474" t="s">
        <v>1728</v>
      </c>
      <c r="C335" s="475" t="s">
        <v>1729</v>
      </c>
      <c r="D335" s="474" t="s">
        <v>1592</v>
      </c>
      <c r="E335" s="674">
        <v>0.5</v>
      </c>
      <c r="F335" s="481">
        <v>12.05</v>
      </c>
      <c r="G335" s="649">
        <f t="shared" ref="G335:G337" si="46">ROUND(F335*E335,2)</f>
        <v>6.03</v>
      </c>
    </row>
    <row r="336" spans="1:7" outlineLevel="1">
      <c r="A336" s="474" t="s">
        <v>1725</v>
      </c>
      <c r="B336" s="474" t="s">
        <v>1726</v>
      </c>
      <c r="C336" s="475" t="s">
        <v>1727</v>
      </c>
      <c r="D336" s="474" t="s">
        <v>1592</v>
      </c>
      <c r="E336" s="674">
        <v>0.5</v>
      </c>
      <c r="F336" s="481">
        <v>15.15</v>
      </c>
      <c r="G336" s="649">
        <f t="shared" si="46"/>
        <v>7.58</v>
      </c>
    </row>
    <row r="337" spans="1:7" ht="19.2" outlineLevel="1">
      <c r="A337" s="474" t="s">
        <v>2036</v>
      </c>
      <c r="B337" s="474" t="s">
        <v>2227</v>
      </c>
      <c r="C337" s="475" t="s">
        <v>2228</v>
      </c>
      <c r="D337" s="474" t="s">
        <v>1535</v>
      </c>
      <c r="E337" s="674">
        <v>0.8</v>
      </c>
      <c r="F337" s="481">
        <v>965.37</v>
      </c>
      <c r="G337" s="649">
        <f t="shared" si="46"/>
        <v>772.3</v>
      </c>
    </row>
    <row r="338" spans="1:7">
      <c r="A338" s="474"/>
      <c r="B338" s="474"/>
      <c r="C338" s="475"/>
      <c r="D338" s="474"/>
      <c r="E338" s="674"/>
      <c r="F338" s="481"/>
      <c r="G338" s="653"/>
    </row>
    <row r="339" spans="1:7">
      <c r="A339" s="474" t="s">
        <v>1866</v>
      </c>
      <c r="B339" s="474" t="s">
        <v>2229</v>
      </c>
      <c r="C339" s="475" t="s">
        <v>1745</v>
      </c>
      <c r="D339" s="474" t="s">
        <v>1536</v>
      </c>
      <c r="E339" s="674" t="s">
        <v>122</v>
      </c>
      <c r="F339" s="487"/>
      <c r="G339" s="647">
        <f>SUM(G340:G342)</f>
        <v>100.49</v>
      </c>
    </row>
    <row r="340" spans="1:7" outlineLevel="1">
      <c r="A340" s="474" t="s">
        <v>1725</v>
      </c>
      <c r="B340" s="474" t="s">
        <v>1728</v>
      </c>
      <c r="C340" s="475" t="s">
        <v>1729</v>
      </c>
      <c r="D340" s="474" t="s">
        <v>1592</v>
      </c>
      <c r="E340" s="674">
        <v>0.5</v>
      </c>
      <c r="F340" s="481">
        <v>12.05</v>
      </c>
      <c r="G340" s="649">
        <f t="shared" ref="G340:G342" si="47">ROUND(F340*E340,2)</f>
        <v>6.03</v>
      </c>
    </row>
    <row r="341" spans="1:7" outlineLevel="1">
      <c r="A341" s="474" t="s">
        <v>1725</v>
      </c>
      <c r="B341" s="474" t="s">
        <v>1726</v>
      </c>
      <c r="C341" s="475" t="s">
        <v>1727</v>
      </c>
      <c r="D341" s="474" t="s">
        <v>1592</v>
      </c>
      <c r="E341" s="674">
        <v>0.5</v>
      </c>
      <c r="F341" s="481">
        <v>15.15</v>
      </c>
      <c r="G341" s="649">
        <f t="shared" si="47"/>
        <v>7.58</v>
      </c>
    </row>
    <row r="342" spans="1:7" ht="19.2" outlineLevel="1">
      <c r="A342" s="474" t="s">
        <v>2036</v>
      </c>
      <c r="B342" s="474" t="s">
        <v>2227</v>
      </c>
      <c r="C342" s="475" t="s">
        <v>2228</v>
      </c>
      <c r="D342" s="474" t="s">
        <v>1535</v>
      </c>
      <c r="E342" s="674">
        <v>0.09</v>
      </c>
      <c r="F342" s="481">
        <v>965.37</v>
      </c>
      <c r="G342" s="649">
        <f t="shared" si="47"/>
        <v>86.88</v>
      </c>
    </row>
    <row r="343" spans="1:7">
      <c r="A343" s="474"/>
      <c r="B343" s="474"/>
      <c r="C343" s="475"/>
      <c r="D343" s="474"/>
      <c r="E343" s="674"/>
      <c r="F343" s="481"/>
      <c r="G343" s="653"/>
    </row>
    <row r="344" spans="1:7">
      <c r="A344" s="474" t="s">
        <v>1866</v>
      </c>
      <c r="B344" s="474" t="s">
        <v>2230</v>
      </c>
      <c r="C344" s="475" t="s">
        <v>1746</v>
      </c>
      <c r="D344" s="474" t="s">
        <v>1536</v>
      </c>
      <c r="E344" s="674" t="s">
        <v>122</v>
      </c>
      <c r="F344" s="487"/>
      <c r="G344" s="647">
        <f>SUM(G345:G347)</f>
        <v>78.77</v>
      </c>
    </row>
    <row r="345" spans="1:7" outlineLevel="1">
      <c r="A345" s="474" t="s">
        <v>1725</v>
      </c>
      <c r="B345" s="474" t="s">
        <v>1728</v>
      </c>
      <c r="C345" s="475" t="s">
        <v>1729</v>
      </c>
      <c r="D345" s="474" t="s">
        <v>1592</v>
      </c>
      <c r="E345" s="674">
        <v>0.5</v>
      </c>
      <c r="F345" s="481">
        <v>12.05</v>
      </c>
      <c r="G345" s="649">
        <f t="shared" ref="G345:G347" si="48">ROUND(F345*E345,2)</f>
        <v>6.03</v>
      </c>
    </row>
    <row r="346" spans="1:7" outlineLevel="1">
      <c r="A346" s="474" t="s">
        <v>1725</v>
      </c>
      <c r="B346" s="474" t="s">
        <v>1726</v>
      </c>
      <c r="C346" s="475" t="s">
        <v>1727</v>
      </c>
      <c r="D346" s="474" t="s">
        <v>1592</v>
      </c>
      <c r="E346" s="674">
        <v>0.5</v>
      </c>
      <c r="F346" s="481">
        <v>15.15</v>
      </c>
      <c r="G346" s="649">
        <f t="shared" si="48"/>
        <v>7.58</v>
      </c>
    </row>
    <row r="347" spans="1:7" ht="19.2" outlineLevel="1">
      <c r="A347" s="474" t="s">
        <v>2036</v>
      </c>
      <c r="B347" s="474" t="s">
        <v>2227</v>
      </c>
      <c r="C347" s="475" t="s">
        <v>2228</v>
      </c>
      <c r="D347" s="474" t="s">
        <v>1535</v>
      </c>
      <c r="E347" s="674">
        <v>6.7500000000000004E-2</v>
      </c>
      <c r="F347" s="481">
        <v>965.37</v>
      </c>
      <c r="G347" s="649">
        <f t="shared" si="48"/>
        <v>65.16</v>
      </c>
    </row>
    <row r="348" spans="1:7">
      <c r="A348" s="474"/>
      <c r="B348" s="474"/>
      <c r="C348" s="475"/>
      <c r="D348" s="474"/>
      <c r="E348" s="674"/>
      <c r="F348" s="481"/>
      <c r="G348" s="653"/>
    </row>
    <row r="349" spans="1:7" ht="19.2">
      <c r="A349" s="474" t="s">
        <v>1984</v>
      </c>
      <c r="B349" s="474" t="s">
        <v>2231</v>
      </c>
      <c r="C349" s="475" t="s">
        <v>1750</v>
      </c>
      <c r="D349" s="474" t="s">
        <v>1536</v>
      </c>
      <c r="E349" s="674" t="s">
        <v>122</v>
      </c>
      <c r="F349" s="487"/>
      <c r="G349" s="647">
        <f>SUM(G350)</f>
        <v>463.88</v>
      </c>
    </row>
    <row r="350" spans="1:7" outlineLevel="1">
      <c r="A350" s="474" t="s">
        <v>1725</v>
      </c>
      <c r="B350" s="474" t="s">
        <v>2232</v>
      </c>
      <c r="C350" s="475" t="s">
        <v>2233</v>
      </c>
      <c r="D350" s="474" t="s">
        <v>1535</v>
      </c>
      <c r="E350" s="674">
        <v>2.25</v>
      </c>
      <c r="F350" s="481">
        <v>206.17</v>
      </c>
      <c r="G350" s="649">
        <f t="shared" ref="G350" si="49">ROUND(F350*E350,2)</f>
        <v>463.88</v>
      </c>
    </row>
    <row r="351" spans="1:7">
      <c r="A351" s="474"/>
      <c r="B351" s="474"/>
      <c r="C351" s="475"/>
      <c r="D351" s="474"/>
      <c r="E351" s="674"/>
      <c r="F351" s="481"/>
      <c r="G351" s="653"/>
    </row>
    <row r="352" spans="1:7" ht="19.2">
      <c r="A352" s="474" t="s">
        <v>1785</v>
      </c>
      <c r="B352" s="474" t="s">
        <v>2234</v>
      </c>
      <c r="C352" s="475" t="s">
        <v>1742</v>
      </c>
      <c r="D352" s="474" t="s">
        <v>1536</v>
      </c>
      <c r="E352" s="674" t="s">
        <v>122</v>
      </c>
      <c r="F352" s="487"/>
      <c r="G352" s="646">
        <f>SUM(G353:G354)</f>
        <v>76.539999999999992</v>
      </c>
    </row>
    <row r="353" spans="1:7" outlineLevel="1">
      <c r="A353" s="474" t="s">
        <v>1730</v>
      </c>
      <c r="B353" s="474">
        <v>34624</v>
      </c>
      <c r="C353" s="475" t="s">
        <v>2235</v>
      </c>
      <c r="D353" s="474" t="s">
        <v>217</v>
      </c>
      <c r="E353" s="674">
        <v>12</v>
      </c>
      <c r="F353" s="481">
        <v>3.67</v>
      </c>
      <c r="G353" s="649">
        <f t="shared" ref="G353:G354" si="50">ROUND(F353*E353,2)</f>
        <v>44.04</v>
      </c>
    </row>
    <row r="354" spans="1:7" outlineLevel="1">
      <c r="A354" s="474" t="s">
        <v>2194</v>
      </c>
      <c r="B354" s="474"/>
      <c r="C354" s="475" t="s">
        <v>2465</v>
      </c>
      <c r="D354" s="474" t="s">
        <v>1536</v>
      </c>
      <c r="E354" s="674">
        <v>1</v>
      </c>
      <c r="F354" s="481">
        <v>32.5</v>
      </c>
      <c r="G354" s="649">
        <f t="shared" si="50"/>
        <v>32.5</v>
      </c>
    </row>
    <row r="355" spans="1:7">
      <c r="A355" s="474"/>
      <c r="B355" s="474"/>
      <c r="C355" s="475"/>
      <c r="D355" s="474"/>
      <c r="E355" s="674"/>
      <c r="F355" s="481"/>
      <c r="G355" s="653"/>
    </row>
    <row r="356" spans="1:7" ht="48">
      <c r="A356" s="474" t="s">
        <v>2236</v>
      </c>
      <c r="B356" s="474" t="s">
        <v>2237</v>
      </c>
      <c r="C356" s="475" t="s">
        <v>1752</v>
      </c>
      <c r="D356" s="474" t="s">
        <v>1536</v>
      </c>
      <c r="E356" s="674" t="s">
        <v>122</v>
      </c>
      <c r="F356" s="487"/>
      <c r="G356" s="646">
        <f>SUM(G357:G360)</f>
        <v>3161.73</v>
      </c>
    </row>
    <row r="357" spans="1:7" outlineLevel="1">
      <c r="A357" s="474" t="s">
        <v>605</v>
      </c>
      <c r="B357" s="474">
        <v>88316</v>
      </c>
      <c r="C357" s="475" t="s">
        <v>1729</v>
      </c>
      <c r="D357" s="474" t="s">
        <v>1592</v>
      </c>
      <c r="E357" s="677">
        <v>5.04</v>
      </c>
      <c r="F357" s="681">
        <v>12.05</v>
      </c>
      <c r="G357" s="649">
        <f t="shared" ref="G357:G360" si="51">ROUND(F357*E357,2)</f>
        <v>60.73</v>
      </c>
    </row>
    <row r="358" spans="1:7" outlineLevel="1">
      <c r="A358" s="474" t="s">
        <v>605</v>
      </c>
      <c r="B358" s="474">
        <v>88309</v>
      </c>
      <c r="C358" s="475" t="s">
        <v>1727</v>
      </c>
      <c r="D358" s="474" t="s">
        <v>1536</v>
      </c>
      <c r="E358" s="677">
        <v>10.08</v>
      </c>
      <c r="F358" s="681">
        <v>15.15</v>
      </c>
      <c r="G358" s="649">
        <f t="shared" si="51"/>
        <v>152.71</v>
      </c>
    </row>
    <row r="359" spans="1:7" ht="19.2" outlineLevel="1">
      <c r="A359" s="474" t="s">
        <v>1982</v>
      </c>
      <c r="B359" s="474" t="s">
        <v>2241</v>
      </c>
      <c r="C359" s="475" t="s">
        <v>2238</v>
      </c>
      <c r="D359" s="474" t="s">
        <v>1536</v>
      </c>
      <c r="E359" s="677">
        <v>35</v>
      </c>
      <c r="F359" s="681">
        <v>36.4</v>
      </c>
      <c r="G359" s="649">
        <f t="shared" si="51"/>
        <v>1274</v>
      </c>
    </row>
    <row r="360" spans="1:7" ht="19.2" outlineLevel="1">
      <c r="A360" s="474" t="s">
        <v>1982</v>
      </c>
      <c r="B360" s="474" t="s">
        <v>2240</v>
      </c>
      <c r="C360" s="475" t="s">
        <v>2239</v>
      </c>
      <c r="D360" s="474" t="s">
        <v>1535</v>
      </c>
      <c r="E360" s="677">
        <v>5.04</v>
      </c>
      <c r="F360" s="681">
        <v>332.2</v>
      </c>
      <c r="G360" s="649">
        <f t="shared" si="51"/>
        <v>1674.29</v>
      </c>
    </row>
    <row r="361" spans="1:7">
      <c r="A361" s="474"/>
      <c r="B361" s="474"/>
      <c r="C361" s="475"/>
      <c r="D361" s="474"/>
      <c r="E361" s="674"/>
      <c r="F361" s="481"/>
      <c r="G361" s="653"/>
    </row>
    <row r="362" spans="1:7" ht="28.8">
      <c r="A362" s="474" t="s">
        <v>2236</v>
      </c>
      <c r="B362" s="474" t="s">
        <v>2242</v>
      </c>
      <c r="C362" s="475" t="s">
        <v>1753</v>
      </c>
      <c r="D362" s="474" t="s">
        <v>1536</v>
      </c>
      <c r="E362" s="674" t="s">
        <v>122</v>
      </c>
      <c r="F362" s="487"/>
      <c r="G362" s="646">
        <f>SUM(G363:G366)</f>
        <v>3072.8999999999996</v>
      </c>
    </row>
    <row r="363" spans="1:7" outlineLevel="1">
      <c r="A363" s="474" t="s">
        <v>605</v>
      </c>
      <c r="B363" s="474">
        <v>88316</v>
      </c>
      <c r="C363" s="475" t="s">
        <v>1729</v>
      </c>
      <c r="D363" s="474" t="s">
        <v>1592</v>
      </c>
      <c r="E363" s="677">
        <v>4.9000000000000004</v>
      </c>
      <c r="F363" s="681">
        <v>12.05</v>
      </c>
      <c r="G363" s="649">
        <f t="shared" ref="G363:G366" si="52">ROUND(F363*E363,2)</f>
        <v>59.05</v>
      </c>
    </row>
    <row r="364" spans="1:7" outlineLevel="1">
      <c r="A364" s="474" t="s">
        <v>605</v>
      </c>
      <c r="B364" s="474">
        <v>88309</v>
      </c>
      <c r="C364" s="475" t="s">
        <v>1727</v>
      </c>
      <c r="D364" s="474" t="s">
        <v>1536</v>
      </c>
      <c r="E364" s="677">
        <v>9.8000000000000007</v>
      </c>
      <c r="F364" s="681">
        <v>15.15</v>
      </c>
      <c r="G364" s="649">
        <f t="shared" si="52"/>
        <v>148.47</v>
      </c>
    </row>
    <row r="365" spans="1:7" ht="19.2" outlineLevel="1">
      <c r="A365" s="474" t="s">
        <v>1982</v>
      </c>
      <c r="B365" s="474" t="s">
        <v>2241</v>
      </c>
      <c r="C365" s="475" t="s">
        <v>2238</v>
      </c>
      <c r="D365" s="474" t="s">
        <v>1536</v>
      </c>
      <c r="E365" s="677">
        <v>34</v>
      </c>
      <c r="F365" s="681">
        <v>36.4</v>
      </c>
      <c r="G365" s="649">
        <f t="shared" si="52"/>
        <v>1237.5999999999999</v>
      </c>
    </row>
    <row r="366" spans="1:7" ht="19.2" outlineLevel="1">
      <c r="A366" s="474" t="s">
        <v>1982</v>
      </c>
      <c r="B366" s="474" t="s">
        <v>2240</v>
      </c>
      <c r="C366" s="475" t="s">
        <v>2239</v>
      </c>
      <c r="D366" s="474" t="s">
        <v>1535</v>
      </c>
      <c r="E366" s="677">
        <v>4.9000000000000004</v>
      </c>
      <c r="F366" s="681">
        <v>332.2</v>
      </c>
      <c r="G366" s="649">
        <f t="shared" si="52"/>
        <v>1627.78</v>
      </c>
    </row>
    <row r="367" spans="1:7">
      <c r="A367" s="474"/>
      <c r="B367" s="474"/>
      <c r="C367" s="475"/>
      <c r="D367" s="474"/>
      <c r="E367" s="674"/>
      <c r="F367" s="481"/>
      <c r="G367" s="653"/>
    </row>
    <row r="368" spans="1:7" ht="48">
      <c r="A368" s="474" t="s">
        <v>2236</v>
      </c>
      <c r="B368" s="474" t="s">
        <v>2243</v>
      </c>
      <c r="C368" s="475" t="s">
        <v>1754</v>
      </c>
      <c r="D368" s="474" t="s">
        <v>1536</v>
      </c>
      <c r="E368" s="674" t="s">
        <v>122</v>
      </c>
      <c r="F368" s="487"/>
      <c r="G368" s="646">
        <f>SUM(G369:G372)</f>
        <v>1066.04</v>
      </c>
    </row>
    <row r="369" spans="1:7" outlineLevel="1">
      <c r="A369" s="474" t="s">
        <v>605</v>
      </c>
      <c r="B369" s="474">
        <v>88316</v>
      </c>
      <c r="C369" s="475" t="s">
        <v>1729</v>
      </c>
      <c r="D369" s="474" t="s">
        <v>1592</v>
      </c>
      <c r="E369" s="677">
        <v>1.68</v>
      </c>
      <c r="F369" s="681">
        <v>12.05</v>
      </c>
      <c r="G369" s="649">
        <f t="shared" ref="G369:G372" si="53">ROUND(F369*E369,2)</f>
        <v>20.239999999999998</v>
      </c>
    </row>
    <row r="370" spans="1:7" outlineLevel="1">
      <c r="A370" s="474" t="s">
        <v>605</v>
      </c>
      <c r="B370" s="474">
        <v>88309</v>
      </c>
      <c r="C370" s="475" t="s">
        <v>1727</v>
      </c>
      <c r="D370" s="474" t="s">
        <v>1536</v>
      </c>
      <c r="E370" s="677">
        <v>3.36</v>
      </c>
      <c r="F370" s="681">
        <v>15.15</v>
      </c>
      <c r="G370" s="649">
        <f t="shared" si="53"/>
        <v>50.9</v>
      </c>
    </row>
    <row r="371" spans="1:7" ht="19.2" outlineLevel="1">
      <c r="A371" s="474" t="s">
        <v>1982</v>
      </c>
      <c r="B371" s="474" t="s">
        <v>2241</v>
      </c>
      <c r="C371" s="475" t="s">
        <v>2238</v>
      </c>
      <c r="D371" s="474" t="s">
        <v>1536</v>
      </c>
      <c r="E371" s="677">
        <v>12</v>
      </c>
      <c r="F371" s="681">
        <v>36.4</v>
      </c>
      <c r="G371" s="649">
        <f t="shared" si="53"/>
        <v>436.8</v>
      </c>
    </row>
    <row r="372" spans="1:7" ht="19.2" outlineLevel="1">
      <c r="A372" s="474" t="s">
        <v>1982</v>
      </c>
      <c r="B372" s="474" t="s">
        <v>2240</v>
      </c>
      <c r="C372" s="475" t="s">
        <v>2239</v>
      </c>
      <c r="D372" s="474" t="s">
        <v>1535</v>
      </c>
      <c r="E372" s="677">
        <v>1.68</v>
      </c>
      <c r="F372" s="681">
        <v>332.2</v>
      </c>
      <c r="G372" s="649">
        <f t="shared" si="53"/>
        <v>558.1</v>
      </c>
    </row>
    <row r="373" spans="1:7">
      <c r="A373" s="474"/>
      <c r="B373" s="474"/>
      <c r="C373" s="475"/>
      <c r="D373" s="474"/>
      <c r="E373" s="674"/>
      <c r="F373" s="481"/>
      <c r="G373" s="653"/>
    </row>
    <row r="374" spans="1:7" ht="28.8">
      <c r="A374" s="474" t="s">
        <v>2236</v>
      </c>
      <c r="B374" s="474" t="s">
        <v>2244</v>
      </c>
      <c r="C374" s="475" t="s">
        <v>1755</v>
      </c>
      <c r="D374" s="474" t="s">
        <v>1536</v>
      </c>
      <c r="E374" s="674" t="s">
        <v>122</v>
      </c>
      <c r="F374" s="487"/>
      <c r="G374" s="646">
        <f>SUM(G375:G378)</f>
        <v>1066.04</v>
      </c>
    </row>
    <row r="375" spans="1:7" outlineLevel="1">
      <c r="A375" s="474" t="s">
        <v>605</v>
      </c>
      <c r="B375" s="474">
        <v>88316</v>
      </c>
      <c r="C375" s="475" t="s">
        <v>1729</v>
      </c>
      <c r="D375" s="474" t="s">
        <v>1592</v>
      </c>
      <c r="E375" s="677">
        <v>1.68</v>
      </c>
      <c r="F375" s="681">
        <v>12.05</v>
      </c>
      <c r="G375" s="649">
        <f t="shared" ref="G375:G378" si="54">ROUND(F375*E375,2)</f>
        <v>20.239999999999998</v>
      </c>
    </row>
    <row r="376" spans="1:7" outlineLevel="1">
      <c r="A376" s="474" t="s">
        <v>605</v>
      </c>
      <c r="B376" s="474">
        <v>88309</v>
      </c>
      <c r="C376" s="475" t="s">
        <v>1727</v>
      </c>
      <c r="D376" s="474" t="s">
        <v>1536</v>
      </c>
      <c r="E376" s="677">
        <v>3.36</v>
      </c>
      <c r="F376" s="681">
        <v>15.15</v>
      </c>
      <c r="G376" s="649">
        <f t="shared" si="54"/>
        <v>50.9</v>
      </c>
    </row>
    <row r="377" spans="1:7" ht="19.2" outlineLevel="1">
      <c r="A377" s="474" t="s">
        <v>1982</v>
      </c>
      <c r="B377" s="474" t="s">
        <v>2241</v>
      </c>
      <c r="C377" s="475" t="s">
        <v>2238</v>
      </c>
      <c r="D377" s="474" t="s">
        <v>1536</v>
      </c>
      <c r="E377" s="677">
        <v>12</v>
      </c>
      <c r="F377" s="681">
        <v>36.4</v>
      </c>
      <c r="G377" s="649">
        <f t="shared" si="54"/>
        <v>436.8</v>
      </c>
    </row>
    <row r="378" spans="1:7" ht="19.2" outlineLevel="1">
      <c r="A378" s="474" t="s">
        <v>1982</v>
      </c>
      <c r="B378" s="474" t="s">
        <v>2240</v>
      </c>
      <c r="C378" s="475" t="s">
        <v>2239</v>
      </c>
      <c r="D378" s="474" t="s">
        <v>1535</v>
      </c>
      <c r="E378" s="677">
        <v>1.68</v>
      </c>
      <c r="F378" s="681">
        <v>332.2</v>
      </c>
      <c r="G378" s="649">
        <f t="shared" si="54"/>
        <v>558.1</v>
      </c>
    </row>
    <row r="379" spans="1:7">
      <c r="A379" s="474"/>
      <c r="B379" s="474"/>
      <c r="C379" s="475"/>
      <c r="D379" s="474"/>
      <c r="E379" s="674"/>
      <c r="F379" s="481"/>
      <c r="G379" s="653"/>
    </row>
    <row r="380" spans="1:7" ht="38.4">
      <c r="A380" s="474" t="s">
        <v>2236</v>
      </c>
      <c r="B380" s="474" t="s">
        <v>2245</v>
      </c>
      <c r="C380" s="475" t="s">
        <v>1756</v>
      </c>
      <c r="D380" s="474" t="s">
        <v>1536</v>
      </c>
      <c r="E380" s="674" t="s">
        <v>122</v>
      </c>
      <c r="F380" s="487"/>
      <c r="G380" s="646">
        <f>SUM(G381:G384)</f>
        <v>444.19</v>
      </c>
    </row>
    <row r="381" spans="1:7" outlineLevel="1">
      <c r="A381" s="474" t="s">
        <v>605</v>
      </c>
      <c r="B381" s="474">
        <v>88316</v>
      </c>
      <c r="C381" s="475" t="s">
        <v>1729</v>
      </c>
      <c r="D381" s="474" t="s">
        <v>1592</v>
      </c>
      <c r="E381" s="677">
        <v>0.7</v>
      </c>
      <c r="F381" s="681">
        <v>12.05</v>
      </c>
      <c r="G381" s="649">
        <f t="shared" ref="G381:G384" si="55">ROUND(F381*E381,2)</f>
        <v>8.44</v>
      </c>
    </row>
    <row r="382" spans="1:7" outlineLevel="1">
      <c r="A382" s="474" t="s">
        <v>605</v>
      </c>
      <c r="B382" s="474">
        <v>88309</v>
      </c>
      <c r="C382" s="475" t="s">
        <v>1727</v>
      </c>
      <c r="D382" s="474" t="s">
        <v>1536</v>
      </c>
      <c r="E382" s="677">
        <v>1.4</v>
      </c>
      <c r="F382" s="681">
        <v>15.15</v>
      </c>
      <c r="G382" s="649">
        <f t="shared" si="55"/>
        <v>21.21</v>
      </c>
    </row>
    <row r="383" spans="1:7" ht="19.2" outlineLevel="1">
      <c r="A383" s="474" t="s">
        <v>1982</v>
      </c>
      <c r="B383" s="474" t="s">
        <v>2241</v>
      </c>
      <c r="C383" s="475" t="s">
        <v>2238</v>
      </c>
      <c r="D383" s="474" t="s">
        <v>1536</v>
      </c>
      <c r="E383" s="677">
        <v>5</v>
      </c>
      <c r="F383" s="681">
        <v>36.4</v>
      </c>
      <c r="G383" s="649">
        <f t="shared" si="55"/>
        <v>182</v>
      </c>
    </row>
    <row r="384" spans="1:7" ht="19.2" outlineLevel="1">
      <c r="A384" s="474" t="s">
        <v>1982</v>
      </c>
      <c r="B384" s="474" t="s">
        <v>2240</v>
      </c>
      <c r="C384" s="475" t="s">
        <v>2239</v>
      </c>
      <c r="D384" s="474" t="s">
        <v>1535</v>
      </c>
      <c r="E384" s="677">
        <v>0.7</v>
      </c>
      <c r="F384" s="681">
        <v>332.2</v>
      </c>
      <c r="G384" s="649">
        <f t="shared" si="55"/>
        <v>232.54</v>
      </c>
    </row>
    <row r="385" spans="1:7">
      <c r="A385" s="474"/>
      <c r="B385" s="474"/>
      <c r="C385" s="475"/>
      <c r="D385" s="474"/>
      <c r="E385" s="674"/>
      <c r="F385" s="481"/>
      <c r="G385" s="653"/>
    </row>
    <row r="386" spans="1:7" ht="28.8">
      <c r="A386" s="474" t="s">
        <v>2236</v>
      </c>
      <c r="B386" s="474" t="s">
        <v>2246</v>
      </c>
      <c r="C386" s="475" t="s">
        <v>1757</v>
      </c>
      <c r="D386" s="474" t="s">
        <v>1536</v>
      </c>
      <c r="E386" s="674" t="s">
        <v>122</v>
      </c>
      <c r="F386" s="487"/>
      <c r="G386" s="646">
        <f>SUM(G387:G390)</f>
        <v>355.35</v>
      </c>
    </row>
    <row r="387" spans="1:7" outlineLevel="1">
      <c r="A387" s="474" t="s">
        <v>605</v>
      </c>
      <c r="B387" s="474">
        <v>88316</v>
      </c>
      <c r="C387" s="475" t="s">
        <v>1729</v>
      </c>
      <c r="D387" s="474" t="s">
        <v>1592</v>
      </c>
      <c r="E387" s="677">
        <v>0.56000000000000005</v>
      </c>
      <c r="F387" s="681">
        <v>12.05</v>
      </c>
      <c r="G387" s="649">
        <f t="shared" ref="G387:G390" si="56">ROUND(F387*E387,2)</f>
        <v>6.75</v>
      </c>
    </row>
    <row r="388" spans="1:7" outlineLevel="1">
      <c r="A388" s="474" t="s">
        <v>605</v>
      </c>
      <c r="B388" s="474">
        <v>88309</v>
      </c>
      <c r="C388" s="475" t="s">
        <v>1727</v>
      </c>
      <c r="D388" s="474" t="s">
        <v>1536</v>
      </c>
      <c r="E388" s="677">
        <v>1.1200000000000001</v>
      </c>
      <c r="F388" s="681">
        <v>15.15</v>
      </c>
      <c r="G388" s="649">
        <f t="shared" si="56"/>
        <v>16.97</v>
      </c>
    </row>
    <row r="389" spans="1:7" ht="19.2" outlineLevel="1">
      <c r="A389" s="474" t="s">
        <v>1982</v>
      </c>
      <c r="B389" s="474" t="s">
        <v>2241</v>
      </c>
      <c r="C389" s="475" t="s">
        <v>2238</v>
      </c>
      <c r="D389" s="474" t="s">
        <v>1536</v>
      </c>
      <c r="E389" s="677">
        <v>4</v>
      </c>
      <c r="F389" s="681">
        <v>36.4</v>
      </c>
      <c r="G389" s="649">
        <f t="shared" si="56"/>
        <v>145.6</v>
      </c>
    </row>
    <row r="390" spans="1:7" ht="19.2" outlineLevel="1">
      <c r="A390" s="474" t="s">
        <v>1982</v>
      </c>
      <c r="B390" s="474" t="s">
        <v>2240</v>
      </c>
      <c r="C390" s="475" t="s">
        <v>2239</v>
      </c>
      <c r="D390" s="474" t="s">
        <v>1535</v>
      </c>
      <c r="E390" s="677">
        <v>0.56000000000000005</v>
      </c>
      <c r="F390" s="681">
        <v>332.2</v>
      </c>
      <c r="G390" s="649">
        <f t="shared" si="56"/>
        <v>186.03</v>
      </c>
    </row>
    <row r="391" spans="1:7">
      <c r="A391" s="474"/>
      <c r="B391" s="474"/>
      <c r="C391" s="475"/>
      <c r="D391" s="474"/>
      <c r="E391" s="674"/>
      <c r="F391" s="481"/>
      <c r="G391" s="653"/>
    </row>
    <row r="392" spans="1:7" ht="38.4">
      <c r="A392" s="474" t="s">
        <v>2236</v>
      </c>
      <c r="B392" s="474" t="s">
        <v>2247</v>
      </c>
      <c r="C392" s="475" t="s">
        <v>2896</v>
      </c>
      <c r="D392" s="474" t="s">
        <v>1536</v>
      </c>
      <c r="E392" s="674" t="s">
        <v>122</v>
      </c>
      <c r="F392" s="487"/>
      <c r="G392" s="646">
        <f>SUM(G393:G395)</f>
        <v>191.84</v>
      </c>
    </row>
    <row r="393" spans="1:7" outlineLevel="1">
      <c r="A393" s="474" t="s">
        <v>605</v>
      </c>
      <c r="B393" s="474">
        <v>88316</v>
      </c>
      <c r="C393" s="475" t="s">
        <v>1729</v>
      </c>
      <c r="D393" s="474" t="s">
        <v>1592</v>
      </c>
      <c r="E393" s="677">
        <v>0.25</v>
      </c>
      <c r="F393" s="681">
        <v>12.05</v>
      </c>
      <c r="G393" s="649">
        <f t="shared" ref="G393:G395" si="57">ROUND(F393*E393,2)</f>
        <v>3.01</v>
      </c>
    </row>
    <row r="394" spans="1:7" outlineLevel="1">
      <c r="A394" s="474" t="s">
        <v>605</v>
      </c>
      <c r="B394" s="474">
        <v>88309</v>
      </c>
      <c r="C394" s="475" t="s">
        <v>1727</v>
      </c>
      <c r="D394" s="474" t="s">
        <v>1536</v>
      </c>
      <c r="E394" s="677">
        <v>0.5</v>
      </c>
      <c r="F394" s="681">
        <v>15.15</v>
      </c>
      <c r="G394" s="649">
        <f t="shared" si="57"/>
        <v>7.58</v>
      </c>
    </row>
    <row r="395" spans="1:7" ht="38.4" outlineLevel="1">
      <c r="A395" s="474" t="s">
        <v>2248</v>
      </c>
      <c r="B395" s="474">
        <v>9619</v>
      </c>
      <c r="C395" s="475" t="s">
        <v>2898</v>
      </c>
      <c r="D395" s="474" t="s">
        <v>654</v>
      </c>
      <c r="E395" s="677">
        <f>0.48*0.48</f>
        <v>0.23039999999999999</v>
      </c>
      <c r="F395" s="681">
        <v>786.67</v>
      </c>
      <c r="G395" s="649">
        <f t="shared" si="57"/>
        <v>181.25</v>
      </c>
    </row>
    <row r="396" spans="1:7">
      <c r="A396" s="474"/>
      <c r="B396" s="474"/>
      <c r="C396" s="475"/>
      <c r="D396" s="474"/>
      <c r="E396" s="677"/>
      <c r="F396" s="681"/>
      <c r="G396" s="654"/>
    </row>
    <row r="397" spans="1:7" ht="38.4">
      <c r="A397" s="474" t="s">
        <v>2236</v>
      </c>
      <c r="B397" s="474" t="s">
        <v>2249</v>
      </c>
      <c r="C397" s="475" t="s">
        <v>2897</v>
      </c>
      <c r="D397" s="474" t="s">
        <v>1536</v>
      </c>
      <c r="E397" s="674" t="s">
        <v>122</v>
      </c>
      <c r="F397" s="487"/>
      <c r="G397" s="646">
        <f>SUM(G398:G400)</f>
        <v>734.62</v>
      </c>
    </row>
    <row r="398" spans="1:7" outlineLevel="1">
      <c r="A398" s="474" t="s">
        <v>605</v>
      </c>
      <c r="B398" s="474">
        <v>88316</v>
      </c>
      <c r="C398" s="475" t="s">
        <v>1729</v>
      </c>
      <c r="D398" s="474" t="s">
        <v>1592</v>
      </c>
      <c r="E398" s="677">
        <v>0.25</v>
      </c>
      <c r="F398" s="681">
        <v>12.05</v>
      </c>
      <c r="G398" s="649">
        <f t="shared" ref="G398:G400" si="58">ROUND(F398*E398,2)</f>
        <v>3.01</v>
      </c>
    </row>
    <row r="399" spans="1:7" outlineLevel="1">
      <c r="A399" s="474" t="s">
        <v>605</v>
      </c>
      <c r="B399" s="474">
        <v>88309</v>
      </c>
      <c r="C399" s="475" t="s">
        <v>1727</v>
      </c>
      <c r="D399" s="474" t="s">
        <v>1536</v>
      </c>
      <c r="E399" s="677">
        <v>0.5</v>
      </c>
      <c r="F399" s="681">
        <v>15.15</v>
      </c>
      <c r="G399" s="649">
        <f t="shared" si="58"/>
        <v>7.58</v>
      </c>
    </row>
    <row r="400" spans="1:7" outlineLevel="1">
      <c r="A400" s="474" t="s">
        <v>2248</v>
      </c>
      <c r="B400" s="474">
        <v>7407</v>
      </c>
      <c r="C400" s="492" t="s">
        <v>2228</v>
      </c>
      <c r="D400" s="474" t="s">
        <v>1535</v>
      </c>
      <c r="E400" s="677">
        <f>0.5*1.5</f>
        <v>0.75</v>
      </c>
      <c r="F400" s="681">
        <v>965.37</v>
      </c>
      <c r="G400" s="649">
        <f t="shared" si="58"/>
        <v>724.03</v>
      </c>
    </row>
    <row r="401" spans="1:7">
      <c r="A401" s="474"/>
      <c r="B401" s="474"/>
      <c r="C401" s="475"/>
      <c r="D401" s="474"/>
      <c r="E401" s="677"/>
      <c r="F401" s="681"/>
      <c r="G401" s="654"/>
    </row>
    <row r="402" spans="1:7" ht="19.2">
      <c r="A402" s="474" t="s">
        <v>1984</v>
      </c>
      <c r="B402" s="474" t="s">
        <v>2029</v>
      </c>
      <c r="C402" s="475" t="s">
        <v>2204</v>
      </c>
      <c r="D402" s="474" t="s">
        <v>1536</v>
      </c>
      <c r="E402" s="674" t="s">
        <v>122</v>
      </c>
      <c r="F402" s="487"/>
      <c r="G402" s="646">
        <f>SUM(G403:G407)</f>
        <v>4258.57</v>
      </c>
    </row>
    <row r="403" spans="1:7" outlineLevel="1">
      <c r="A403" s="474" t="s">
        <v>1725</v>
      </c>
      <c r="B403" s="474" t="s">
        <v>2197</v>
      </c>
      <c r="C403" s="475" t="s">
        <v>2198</v>
      </c>
      <c r="D403" s="474" t="s">
        <v>1592</v>
      </c>
      <c r="E403" s="674">
        <v>0.6</v>
      </c>
      <c r="F403" s="481">
        <v>13.67</v>
      </c>
      <c r="G403" s="649">
        <f t="shared" ref="G403:G407" si="59">ROUND(F403*E403,2)</f>
        <v>8.1999999999999993</v>
      </c>
    </row>
    <row r="404" spans="1:7" ht="38.4" outlineLevel="1">
      <c r="A404" s="474" t="s">
        <v>1730</v>
      </c>
      <c r="B404" s="474" t="s">
        <v>2199</v>
      </c>
      <c r="C404" s="475" t="s">
        <v>2200</v>
      </c>
      <c r="D404" s="474" t="s">
        <v>2201</v>
      </c>
      <c r="E404" s="674">
        <v>2</v>
      </c>
      <c r="F404" s="481">
        <v>295.83999999999997</v>
      </c>
      <c r="G404" s="649">
        <f t="shared" si="59"/>
        <v>591.67999999999995</v>
      </c>
    </row>
    <row r="405" spans="1:7" outlineLevel="1">
      <c r="A405" s="474" t="s">
        <v>1730</v>
      </c>
      <c r="B405" s="474">
        <v>10502</v>
      </c>
      <c r="C405" s="475" t="s">
        <v>2205</v>
      </c>
      <c r="D405" s="474" t="s">
        <v>1535</v>
      </c>
      <c r="E405" s="674">
        <v>4.2</v>
      </c>
      <c r="F405" s="481">
        <v>407.83</v>
      </c>
      <c r="G405" s="649">
        <f t="shared" si="59"/>
        <v>1712.89</v>
      </c>
    </row>
    <row r="406" spans="1:7" outlineLevel="1">
      <c r="A406" s="474" t="s">
        <v>1730</v>
      </c>
      <c r="B406" s="474" t="s">
        <v>2202</v>
      </c>
      <c r="C406" s="475" t="s">
        <v>2203</v>
      </c>
      <c r="D406" s="474" t="s">
        <v>1536</v>
      </c>
      <c r="E406" s="674">
        <v>2</v>
      </c>
      <c r="F406" s="481">
        <v>882.84</v>
      </c>
      <c r="G406" s="649">
        <f t="shared" si="59"/>
        <v>1765.68</v>
      </c>
    </row>
    <row r="407" spans="1:7" ht="28.8" outlineLevel="1">
      <c r="A407" s="474" t="s">
        <v>1730</v>
      </c>
      <c r="B407" s="474">
        <v>38168</v>
      </c>
      <c r="C407" s="475" t="s">
        <v>2206</v>
      </c>
      <c r="D407" s="474" t="s">
        <v>1536</v>
      </c>
      <c r="E407" s="674">
        <v>2</v>
      </c>
      <c r="F407" s="481">
        <v>90.06</v>
      </c>
      <c r="G407" s="649">
        <f t="shared" si="59"/>
        <v>180.12</v>
      </c>
    </row>
    <row r="409" spans="1:7" ht="19.2">
      <c r="A409" s="474" t="s">
        <v>1724</v>
      </c>
      <c r="B409" s="474" t="s">
        <v>2267</v>
      </c>
      <c r="C409" s="475" t="s">
        <v>2259</v>
      </c>
      <c r="D409" s="474" t="s">
        <v>1535</v>
      </c>
      <c r="E409" s="674" t="s">
        <v>122</v>
      </c>
      <c r="F409" s="487"/>
      <c r="G409" s="646">
        <f>SUM(G410:G413)</f>
        <v>197.57</v>
      </c>
    </row>
    <row r="410" spans="1:7" outlineLevel="1">
      <c r="A410" s="474" t="s">
        <v>1725</v>
      </c>
      <c r="B410" s="474">
        <v>88316</v>
      </c>
      <c r="C410" s="475" t="s">
        <v>1729</v>
      </c>
      <c r="D410" s="474" t="s">
        <v>1592</v>
      </c>
      <c r="E410" s="674">
        <v>0.61</v>
      </c>
      <c r="F410" s="481">
        <v>12.05</v>
      </c>
      <c r="G410" s="649">
        <f t="shared" ref="G410:G413" si="60">ROUND(F410*E410,2)</f>
        <v>7.35</v>
      </c>
    </row>
    <row r="411" spans="1:7" outlineLevel="1">
      <c r="A411" s="474" t="s">
        <v>1725</v>
      </c>
      <c r="B411" s="474">
        <v>88309</v>
      </c>
      <c r="C411" s="475" t="s">
        <v>1727</v>
      </c>
      <c r="D411" s="474" t="s">
        <v>1592</v>
      </c>
      <c r="E411" s="674">
        <v>0.5</v>
      </c>
      <c r="F411" s="481">
        <v>15.15</v>
      </c>
      <c r="G411" s="649">
        <f t="shared" si="60"/>
        <v>7.58</v>
      </c>
    </row>
    <row r="412" spans="1:7" ht="19.2" outlineLevel="1">
      <c r="A412" s="474" t="s">
        <v>1730</v>
      </c>
      <c r="B412" s="474">
        <v>38182</v>
      </c>
      <c r="C412" s="475" t="s">
        <v>2260</v>
      </c>
      <c r="D412" s="474" t="s">
        <v>1535</v>
      </c>
      <c r="E412" s="674">
        <v>1.1000000000000001</v>
      </c>
      <c r="F412" s="481">
        <v>164.47</v>
      </c>
      <c r="G412" s="649">
        <f t="shared" si="60"/>
        <v>180.92</v>
      </c>
    </row>
    <row r="413" spans="1:7" outlineLevel="1">
      <c r="A413" s="474" t="s">
        <v>1730</v>
      </c>
      <c r="B413" s="474">
        <v>4791</v>
      </c>
      <c r="C413" s="475" t="s">
        <v>2261</v>
      </c>
      <c r="D413" s="474" t="s">
        <v>1594</v>
      </c>
      <c r="E413" s="674">
        <v>0.12</v>
      </c>
      <c r="F413" s="481">
        <v>14.36</v>
      </c>
      <c r="G413" s="649">
        <f t="shared" si="60"/>
        <v>1.72</v>
      </c>
    </row>
    <row r="414" spans="1:7">
      <c r="A414" s="474"/>
      <c r="B414" s="474"/>
      <c r="C414" s="475"/>
      <c r="D414" s="474"/>
      <c r="E414" s="674"/>
      <c r="F414" s="481"/>
      <c r="G414" s="653"/>
    </row>
    <row r="415" spans="1:7" ht="19.2">
      <c r="A415" s="474" t="s">
        <v>1724</v>
      </c>
      <c r="B415" s="474" t="s">
        <v>2266</v>
      </c>
      <c r="C415" s="475" t="s">
        <v>2262</v>
      </c>
      <c r="D415" s="474" t="s">
        <v>1535</v>
      </c>
      <c r="E415" s="674" t="s">
        <v>122</v>
      </c>
      <c r="F415" s="487"/>
      <c r="G415" s="646">
        <f>SUM(G416:G421)</f>
        <v>97.67</v>
      </c>
    </row>
    <row r="416" spans="1:7" outlineLevel="1">
      <c r="A416" s="474" t="s">
        <v>1725</v>
      </c>
      <c r="B416" s="474">
        <v>88316</v>
      </c>
      <c r="C416" s="475" t="s">
        <v>1729</v>
      </c>
      <c r="D416" s="474" t="s">
        <v>1592</v>
      </c>
      <c r="E416" s="677">
        <v>1.25</v>
      </c>
      <c r="F416" s="681">
        <v>12.05</v>
      </c>
      <c r="G416" s="649">
        <f t="shared" ref="G416:G421" si="61">ROUND(F416*E416,2)</f>
        <v>15.06</v>
      </c>
    </row>
    <row r="417" spans="1:7" outlineLevel="1">
      <c r="A417" s="474" t="s">
        <v>1725</v>
      </c>
      <c r="B417" s="474">
        <v>88309</v>
      </c>
      <c r="C417" s="475" t="s">
        <v>1727</v>
      </c>
      <c r="D417" s="474" t="s">
        <v>1592</v>
      </c>
      <c r="E417" s="677">
        <v>1.6</v>
      </c>
      <c r="F417" s="681">
        <v>15.15</v>
      </c>
      <c r="G417" s="649">
        <f t="shared" si="61"/>
        <v>24.24</v>
      </c>
    </row>
    <row r="418" spans="1:7" ht="19.2" outlineLevel="1">
      <c r="A418" s="474" t="s">
        <v>1730</v>
      </c>
      <c r="B418" s="474">
        <v>38136</v>
      </c>
      <c r="C418" s="475" t="s">
        <v>2263</v>
      </c>
      <c r="D418" s="474" t="s">
        <v>1535</v>
      </c>
      <c r="E418" s="677">
        <v>1.1000000000000001</v>
      </c>
      <c r="F418" s="681">
        <v>50.36</v>
      </c>
      <c r="G418" s="649">
        <f t="shared" si="61"/>
        <v>55.4</v>
      </c>
    </row>
    <row r="419" spans="1:7" outlineLevel="1">
      <c r="A419" s="474" t="s">
        <v>1730</v>
      </c>
      <c r="B419" s="474">
        <v>1379</v>
      </c>
      <c r="C419" s="475" t="s">
        <v>2046</v>
      </c>
      <c r="D419" s="474" t="s">
        <v>1594</v>
      </c>
      <c r="E419" s="677">
        <v>2.8</v>
      </c>
      <c r="F419" s="681">
        <v>0.5</v>
      </c>
      <c r="G419" s="649">
        <f t="shared" si="61"/>
        <v>1.4</v>
      </c>
    </row>
    <row r="420" spans="1:7" ht="19.2" outlineLevel="1">
      <c r="A420" s="474" t="s">
        <v>1730</v>
      </c>
      <c r="B420" s="474">
        <v>370</v>
      </c>
      <c r="C420" s="475" t="s">
        <v>2264</v>
      </c>
      <c r="D420" s="474" t="s">
        <v>646</v>
      </c>
      <c r="E420" s="677">
        <v>1.8200000000000001E-2</v>
      </c>
      <c r="F420" s="681">
        <v>22.03</v>
      </c>
      <c r="G420" s="649">
        <f t="shared" si="61"/>
        <v>0.4</v>
      </c>
    </row>
    <row r="421" spans="1:7" outlineLevel="1">
      <c r="A421" s="474" t="s">
        <v>1730</v>
      </c>
      <c r="B421" s="484">
        <v>1106</v>
      </c>
      <c r="C421" s="484" t="s">
        <v>2265</v>
      </c>
      <c r="D421" s="503" t="s">
        <v>1594</v>
      </c>
      <c r="E421" s="678">
        <v>2.73</v>
      </c>
      <c r="F421" s="681">
        <v>0.43</v>
      </c>
      <c r="G421" s="649">
        <f t="shared" si="61"/>
        <v>1.17</v>
      </c>
    </row>
    <row r="423" spans="1:7" ht="28.8">
      <c r="A423" s="474" t="s">
        <v>1984</v>
      </c>
      <c r="B423" s="474" t="s">
        <v>2269</v>
      </c>
      <c r="C423" s="475" t="s">
        <v>2270</v>
      </c>
      <c r="D423" s="474" t="s">
        <v>217</v>
      </c>
      <c r="E423" s="674" t="s">
        <v>122</v>
      </c>
      <c r="F423" s="487"/>
      <c r="G423" s="646">
        <f>SUM(G424:G427)</f>
        <v>601.72</v>
      </c>
    </row>
    <row r="424" spans="1:7" outlineLevel="1">
      <c r="A424" s="474" t="s">
        <v>1725</v>
      </c>
      <c r="B424" s="474">
        <v>88316</v>
      </c>
      <c r="C424" s="475" t="s">
        <v>1729</v>
      </c>
      <c r="D424" s="474" t="s">
        <v>1592</v>
      </c>
      <c r="E424" s="677">
        <v>1</v>
      </c>
      <c r="F424" s="681">
        <v>12.05</v>
      </c>
      <c r="G424" s="649">
        <f t="shared" ref="G424:G427" si="62">ROUND(F424*E424,2)</f>
        <v>12.05</v>
      </c>
    </row>
    <row r="425" spans="1:7" outlineLevel="1">
      <c r="A425" s="474" t="s">
        <v>1725</v>
      </c>
      <c r="B425" s="474">
        <v>88309</v>
      </c>
      <c r="C425" s="475" t="s">
        <v>1727</v>
      </c>
      <c r="D425" s="474" t="s">
        <v>1592</v>
      </c>
      <c r="E425" s="677">
        <v>1</v>
      </c>
      <c r="F425" s="681">
        <v>15.15</v>
      </c>
      <c r="G425" s="649">
        <f t="shared" si="62"/>
        <v>15.15</v>
      </c>
    </row>
    <row r="426" spans="1:7" ht="19.2" outlineLevel="1">
      <c r="A426" s="474" t="s">
        <v>1730</v>
      </c>
      <c r="B426" s="474">
        <v>4351</v>
      </c>
      <c r="C426" s="475" t="s">
        <v>2148</v>
      </c>
      <c r="D426" s="474" t="s">
        <v>1536</v>
      </c>
      <c r="E426" s="677">
        <v>8</v>
      </c>
      <c r="F426" s="681">
        <v>1.44</v>
      </c>
      <c r="G426" s="649">
        <f t="shared" si="62"/>
        <v>11.52</v>
      </c>
    </row>
    <row r="427" spans="1:7" ht="28.8" outlineLevel="1">
      <c r="A427" s="474" t="s">
        <v>2248</v>
      </c>
      <c r="B427" s="474">
        <v>7938</v>
      </c>
      <c r="C427" s="475" t="s">
        <v>2270</v>
      </c>
      <c r="D427" s="474" t="s">
        <v>217</v>
      </c>
      <c r="E427" s="677">
        <v>1</v>
      </c>
      <c r="F427" s="681">
        <v>563</v>
      </c>
      <c r="G427" s="649">
        <f t="shared" si="62"/>
        <v>563</v>
      </c>
    </row>
    <row r="428" spans="1:7">
      <c r="A428" s="484"/>
      <c r="B428" s="484"/>
      <c r="C428" s="484"/>
      <c r="D428" s="503"/>
      <c r="E428" s="675"/>
      <c r="F428" s="481"/>
      <c r="G428" s="653"/>
    </row>
    <row r="429" spans="1:7" ht="19.2">
      <c r="A429" s="474" t="s">
        <v>2123</v>
      </c>
      <c r="B429" s="474" t="s">
        <v>2273</v>
      </c>
      <c r="C429" s="475" t="s">
        <v>2271</v>
      </c>
      <c r="D429" s="474" t="s">
        <v>1536</v>
      </c>
      <c r="E429" s="674" t="s">
        <v>122</v>
      </c>
      <c r="F429" s="487"/>
      <c r="G429" s="646">
        <f>SUM(G430:G433)</f>
        <v>406.3</v>
      </c>
    </row>
    <row r="430" spans="1:7" outlineLevel="1">
      <c r="A430" s="474" t="s">
        <v>1725</v>
      </c>
      <c r="B430" s="474" t="s">
        <v>2145</v>
      </c>
      <c r="C430" s="475" t="s">
        <v>2146</v>
      </c>
      <c r="D430" s="474" t="s">
        <v>1592</v>
      </c>
      <c r="E430" s="674">
        <v>0.5</v>
      </c>
      <c r="F430" s="481">
        <v>15.15</v>
      </c>
      <c r="G430" s="649">
        <f t="shared" ref="G430:G433" si="63">ROUND(F430*E430,2)</f>
        <v>7.58</v>
      </c>
    </row>
    <row r="431" spans="1:7" outlineLevel="1">
      <c r="A431" s="474" t="s">
        <v>1725</v>
      </c>
      <c r="B431" s="474" t="s">
        <v>1728</v>
      </c>
      <c r="C431" s="475" t="s">
        <v>1729</v>
      </c>
      <c r="D431" s="474" t="s">
        <v>1592</v>
      </c>
      <c r="E431" s="674">
        <v>0.5</v>
      </c>
      <c r="F431" s="481">
        <v>12.05</v>
      </c>
      <c r="G431" s="649">
        <f t="shared" si="63"/>
        <v>6.03</v>
      </c>
    </row>
    <row r="432" spans="1:7" outlineLevel="1">
      <c r="A432" s="474" t="s">
        <v>2248</v>
      </c>
      <c r="B432" s="474">
        <v>3762</v>
      </c>
      <c r="C432" s="492" t="s">
        <v>2271</v>
      </c>
      <c r="D432" s="474" t="s">
        <v>1536</v>
      </c>
      <c r="E432" s="674">
        <v>1</v>
      </c>
      <c r="F432" s="481">
        <v>392.57</v>
      </c>
      <c r="G432" s="649">
        <f t="shared" si="63"/>
        <v>392.57</v>
      </c>
    </row>
    <row r="433" spans="1:7" outlineLevel="1">
      <c r="A433" s="474" t="s">
        <v>1730</v>
      </c>
      <c r="B433" s="474">
        <v>3143</v>
      </c>
      <c r="C433" s="475" t="s">
        <v>2272</v>
      </c>
      <c r="D433" s="474" t="s">
        <v>1536</v>
      </c>
      <c r="E433" s="674">
        <f>0.5/25</f>
        <v>0.02</v>
      </c>
      <c r="F433" s="481">
        <v>5.87</v>
      </c>
      <c r="G433" s="649">
        <f t="shared" si="63"/>
        <v>0.12</v>
      </c>
    </row>
    <row r="435" spans="1:7" ht="19.2">
      <c r="A435" s="474" t="s">
        <v>2123</v>
      </c>
      <c r="B435" s="474" t="s">
        <v>2274</v>
      </c>
      <c r="C435" s="475" t="s">
        <v>2276</v>
      </c>
      <c r="D435" s="474" t="s">
        <v>1536</v>
      </c>
      <c r="E435" s="674" t="s">
        <v>122</v>
      </c>
      <c r="F435" s="487"/>
      <c r="G435" s="646">
        <f>SUM(G436:G440)</f>
        <v>141.38999999999999</v>
      </c>
    </row>
    <row r="436" spans="1:7" outlineLevel="1">
      <c r="A436" s="474" t="s">
        <v>1725</v>
      </c>
      <c r="B436" s="474" t="s">
        <v>2145</v>
      </c>
      <c r="C436" s="475" t="s">
        <v>2146</v>
      </c>
      <c r="D436" s="474" t="s">
        <v>1592</v>
      </c>
      <c r="E436" s="674">
        <v>0.5</v>
      </c>
      <c r="F436" s="481">
        <v>15.15</v>
      </c>
      <c r="G436" s="649">
        <f t="shared" ref="G436:G439" si="64">ROUND(F436*E436,2)</f>
        <v>7.58</v>
      </c>
    </row>
    <row r="437" spans="1:7" outlineLevel="1">
      <c r="A437" s="474" t="s">
        <v>1725</v>
      </c>
      <c r="B437" s="474" t="s">
        <v>1728</v>
      </c>
      <c r="C437" s="475" t="s">
        <v>1729</v>
      </c>
      <c r="D437" s="474" t="s">
        <v>1592</v>
      </c>
      <c r="E437" s="674">
        <v>0.5</v>
      </c>
      <c r="F437" s="481">
        <v>12.05</v>
      </c>
      <c r="G437" s="649">
        <f t="shared" si="64"/>
        <v>6.03</v>
      </c>
    </row>
    <row r="438" spans="1:7" outlineLevel="1">
      <c r="A438" s="474" t="s">
        <v>1730</v>
      </c>
      <c r="B438" s="474">
        <v>7584</v>
      </c>
      <c r="C438" s="492" t="s">
        <v>2279</v>
      </c>
      <c r="D438" s="474" t="s">
        <v>1536</v>
      </c>
      <c r="E438" s="674">
        <v>8</v>
      </c>
      <c r="F438" s="481">
        <v>0.56000000000000005</v>
      </c>
      <c r="G438" s="649">
        <f t="shared" si="64"/>
        <v>4.4800000000000004</v>
      </c>
    </row>
    <row r="439" spans="1:7" ht="26.4" outlineLevel="1">
      <c r="A439" s="474" t="s">
        <v>1730</v>
      </c>
      <c r="B439" s="474">
        <v>36081</v>
      </c>
      <c r="C439" s="395" t="s">
        <v>2276</v>
      </c>
      <c r="D439" s="474" t="s">
        <v>1536</v>
      </c>
      <c r="E439" s="674">
        <v>1</v>
      </c>
      <c r="F439" s="481">
        <v>123.3</v>
      </c>
      <c r="G439" s="649">
        <f t="shared" si="64"/>
        <v>123.3</v>
      </c>
    </row>
    <row r="440" spans="1:7">
      <c r="A440" s="474"/>
      <c r="B440" s="474"/>
      <c r="C440" s="475"/>
      <c r="D440" s="474"/>
      <c r="E440" s="674"/>
      <c r="F440" s="481"/>
      <c r="G440" s="653"/>
    </row>
    <row r="441" spans="1:7" ht="19.2">
      <c r="A441" s="474" t="s">
        <v>2123</v>
      </c>
      <c r="B441" s="474" t="s">
        <v>2280</v>
      </c>
      <c r="C441" s="475" t="s">
        <v>2275</v>
      </c>
      <c r="D441" s="474" t="s">
        <v>1536</v>
      </c>
      <c r="E441" s="674" t="s">
        <v>122</v>
      </c>
      <c r="F441" s="487"/>
      <c r="G441" s="646">
        <f>SUM(G442:G446)</f>
        <v>289.51</v>
      </c>
    </row>
    <row r="442" spans="1:7" outlineLevel="1">
      <c r="A442" s="474" t="s">
        <v>1725</v>
      </c>
      <c r="B442" s="474" t="s">
        <v>2145</v>
      </c>
      <c r="C442" s="475" t="s">
        <v>2146</v>
      </c>
      <c r="D442" s="474" t="s">
        <v>1592</v>
      </c>
      <c r="E442" s="674">
        <v>0.5</v>
      </c>
      <c r="F442" s="481">
        <v>15.15</v>
      </c>
      <c r="G442" s="649">
        <f t="shared" ref="G442:G445" si="65">ROUND(F442*E442,2)</f>
        <v>7.58</v>
      </c>
    </row>
    <row r="443" spans="1:7" outlineLevel="1">
      <c r="A443" s="474" t="s">
        <v>1725</v>
      </c>
      <c r="B443" s="474" t="s">
        <v>1728</v>
      </c>
      <c r="C443" s="475" t="s">
        <v>1729</v>
      </c>
      <c r="D443" s="474" t="s">
        <v>1592</v>
      </c>
      <c r="E443" s="674">
        <v>0.5</v>
      </c>
      <c r="F443" s="481">
        <v>12.05</v>
      </c>
      <c r="G443" s="649">
        <f t="shared" si="65"/>
        <v>6.03</v>
      </c>
    </row>
    <row r="444" spans="1:7" outlineLevel="1">
      <c r="A444" s="474" t="s">
        <v>1730</v>
      </c>
      <c r="B444" s="474">
        <v>7584</v>
      </c>
      <c r="C444" s="492" t="s">
        <v>2279</v>
      </c>
      <c r="D444" s="474" t="s">
        <v>1536</v>
      </c>
      <c r="E444" s="674">
        <v>8</v>
      </c>
      <c r="F444" s="481">
        <v>0.56000000000000005</v>
      </c>
      <c r="G444" s="649">
        <f t="shared" si="65"/>
        <v>4.4800000000000004</v>
      </c>
    </row>
    <row r="445" spans="1:7" ht="26.4" outlineLevel="1">
      <c r="A445" s="474" t="s">
        <v>1730</v>
      </c>
      <c r="B445" s="474">
        <v>36209</v>
      </c>
      <c r="C445" s="395" t="s">
        <v>2275</v>
      </c>
      <c r="D445" s="474" t="s">
        <v>1536</v>
      </c>
      <c r="E445" s="674">
        <v>1</v>
      </c>
      <c r="F445" s="481">
        <v>271.42</v>
      </c>
      <c r="G445" s="649">
        <f t="shared" si="65"/>
        <v>271.42</v>
      </c>
    </row>
    <row r="447" spans="1:7" ht="19.2">
      <c r="A447" s="474" t="s">
        <v>2123</v>
      </c>
      <c r="B447" s="474" t="s">
        <v>2281</v>
      </c>
      <c r="C447" s="475" t="s">
        <v>2277</v>
      </c>
      <c r="D447" s="474" t="s">
        <v>1536</v>
      </c>
      <c r="E447" s="674" t="s">
        <v>122</v>
      </c>
      <c r="F447" s="487"/>
      <c r="G447" s="646">
        <f>SUM(G448:G452)</f>
        <v>311.76</v>
      </c>
    </row>
    <row r="448" spans="1:7" outlineLevel="1">
      <c r="A448" s="474" t="s">
        <v>1725</v>
      </c>
      <c r="B448" s="474" t="s">
        <v>2145</v>
      </c>
      <c r="C448" s="475" t="s">
        <v>2146</v>
      </c>
      <c r="D448" s="474" t="s">
        <v>1592</v>
      </c>
      <c r="E448" s="674">
        <v>0.5</v>
      </c>
      <c r="F448" s="481">
        <v>15.15</v>
      </c>
      <c r="G448" s="649">
        <f t="shared" ref="G448:G451" si="66">ROUND(F448*E448,2)</f>
        <v>7.58</v>
      </c>
    </row>
    <row r="449" spans="1:7" outlineLevel="1">
      <c r="A449" s="474" t="s">
        <v>1725</v>
      </c>
      <c r="B449" s="474" t="s">
        <v>1728</v>
      </c>
      <c r="C449" s="475" t="s">
        <v>1729</v>
      </c>
      <c r="D449" s="474" t="s">
        <v>1592</v>
      </c>
      <c r="E449" s="674">
        <v>0.5</v>
      </c>
      <c r="F449" s="481">
        <v>12.05</v>
      </c>
      <c r="G449" s="649">
        <f t="shared" si="66"/>
        <v>6.03</v>
      </c>
    </row>
    <row r="450" spans="1:7" outlineLevel="1">
      <c r="A450" s="474" t="s">
        <v>1730</v>
      </c>
      <c r="B450" s="474">
        <v>7584</v>
      </c>
      <c r="C450" s="492" t="s">
        <v>2279</v>
      </c>
      <c r="D450" s="474" t="s">
        <v>1536</v>
      </c>
      <c r="E450" s="674">
        <v>8</v>
      </c>
      <c r="F450" s="481">
        <v>0.56000000000000005</v>
      </c>
      <c r="G450" s="649">
        <f t="shared" si="66"/>
        <v>4.4800000000000004</v>
      </c>
    </row>
    <row r="451" spans="1:7" ht="26.4" outlineLevel="1">
      <c r="A451" s="474" t="s">
        <v>1730</v>
      </c>
      <c r="B451" s="474">
        <v>36210</v>
      </c>
      <c r="C451" s="395" t="s">
        <v>2277</v>
      </c>
      <c r="D451" s="474" t="s">
        <v>1536</v>
      </c>
      <c r="E451" s="674">
        <v>1</v>
      </c>
      <c r="F451" s="481">
        <v>293.67</v>
      </c>
      <c r="G451" s="649">
        <f t="shared" si="66"/>
        <v>293.67</v>
      </c>
    </row>
    <row r="453" spans="1:7" ht="19.2">
      <c r="A453" s="474" t="s">
        <v>2123</v>
      </c>
      <c r="B453" s="474" t="s">
        <v>2282</v>
      </c>
      <c r="C453" s="474" t="s">
        <v>2278</v>
      </c>
      <c r="D453" s="474" t="s">
        <v>1536</v>
      </c>
      <c r="E453" s="674" t="s">
        <v>122</v>
      </c>
      <c r="F453" s="487"/>
      <c r="G453" s="646">
        <f>SUM(G454:G458)</f>
        <v>552.03000000000009</v>
      </c>
    </row>
    <row r="454" spans="1:7" outlineLevel="1">
      <c r="A454" s="474" t="s">
        <v>1725</v>
      </c>
      <c r="B454" s="474" t="s">
        <v>2145</v>
      </c>
      <c r="C454" s="475" t="s">
        <v>2146</v>
      </c>
      <c r="D454" s="474" t="s">
        <v>1592</v>
      </c>
      <c r="E454" s="674">
        <v>0.5</v>
      </c>
      <c r="F454" s="481">
        <v>15.15</v>
      </c>
      <c r="G454" s="649">
        <f t="shared" ref="G454:G457" si="67">ROUND(F454*E454,2)</f>
        <v>7.58</v>
      </c>
    </row>
    <row r="455" spans="1:7" outlineLevel="1">
      <c r="A455" s="474" t="s">
        <v>1725</v>
      </c>
      <c r="B455" s="474" t="s">
        <v>1728</v>
      </c>
      <c r="C455" s="475" t="s">
        <v>1729</v>
      </c>
      <c r="D455" s="474" t="s">
        <v>1592</v>
      </c>
      <c r="E455" s="674">
        <v>0.5</v>
      </c>
      <c r="F455" s="481">
        <v>12.05</v>
      </c>
      <c r="G455" s="649">
        <f t="shared" si="67"/>
        <v>6.03</v>
      </c>
    </row>
    <row r="456" spans="1:7" outlineLevel="1">
      <c r="A456" s="474" t="s">
        <v>1730</v>
      </c>
      <c r="B456" s="474">
        <v>7584</v>
      </c>
      <c r="C456" s="492" t="s">
        <v>2279</v>
      </c>
      <c r="D456" s="474" t="s">
        <v>1536</v>
      </c>
      <c r="E456" s="674">
        <v>8</v>
      </c>
      <c r="F456" s="481">
        <v>0.56000000000000005</v>
      </c>
      <c r="G456" s="649">
        <f t="shared" si="67"/>
        <v>4.4800000000000004</v>
      </c>
    </row>
    <row r="457" spans="1:7" ht="13.2" outlineLevel="1">
      <c r="A457" s="474" t="s">
        <v>1730</v>
      </c>
      <c r="B457" s="474">
        <v>36215</v>
      </c>
      <c r="C457" s="395" t="s">
        <v>2278</v>
      </c>
      <c r="D457" s="474" t="s">
        <v>1536</v>
      </c>
      <c r="E457" s="674">
        <v>1</v>
      </c>
      <c r="F457" s="481">
        <v>533.94000000000005</v>
      </c>
      <c r="G457" s="649">
        <f t="shared" si="67"/>
        <v>533.94000000000005</v>
      </c>
    </row>
    <row r="459" spans="1:7" ht="19.2">
      <c r="A459" s="474" t="s">
        <v>2123</v>
      </c>
      <c r="B459" s="474" t="s">
        <v>2284</v>
      </c>
      <c r="C459" s="475" t="s">
        <v>2283</v>
      </c>
      <c r="D459" s="474" t="s">
        <v>1536</v>
      </c>
      <c r="E459" s="674" t="s">
        <v>122</v>
      </c>
      <c r="F459" s="487"/>
      <c r="G459" s="646">
        <f>SUM(G460:G464)</f>
        <v>290.39999999999998</v>
      </c>
    </row>
    <row r="460" spans="1:7" outlineLevel="1">
      <c r="A460" s="474" t="s">
        <v>1725</v>
      </c>
      <c r="B460" s="474" t="s">
        <v>2145</v>
      </c>
      <c r="C460" s="475" t="s">
        <v>2146</v>
      </c>
      <c r="D460" s="474" t="s">
        <v>1592</v>
      </c>
      <c r="E460" s="674">
        <v>0.5</v>
      </c>
      <c r="F460" s="481">
        <v>15.15</v>
      </c>
      <c r="G460" s="649">
        <f t="shared" ref="G460:G463" si="68">ROUND(F460*E460,2)</f>
        <v>7.58</v>
      </c>
    </row>
    <row r="461" spans="1:7" outlineLevel="1">
      <c r="A461" s="474" t="s">
        <v>1725</v>
      </c>
      <c r="B461" s="474" t="s">
        <v>1728</v>
      </c>
      <c r="C461" s="475" t="s">
        <v>1729</v>
      </c>
      <c r="D461" s="474" t="s">
        <v>1592</v>
      </c>
      <c r="E461" s="674">
        <v>0.5</v>
      </c>
      <c r="F461" s="481">
        <v>12.05</v>
      </c>
      <c r="G461" s="649">
        <f t="shared" si="68"/>
        <v>6.03</v>
      </c>
    </row>
    <row r="462" spans="1:7" outlineLevel="1">
      <c r="A462" s="474" t="s">
        <v>1730</v>
      </c>
      <c r="B462" s="474">
        <v>7584</v>
      </c>
      <c r="C462" s="492" t="s">
        <v>2279</v>
      </c>
      <c r="D462" s="474" t="s">
        <v>1536</v>
      </c>
      <c r="E462" s="674">
        <v>8</v>
      </c>
      <c r="F462" s="481">
        <v>0.56000000000000005</v>
      </c>
      <c r="G462" s="649">
        <f t="shared" si="68"/>
        <v>4.4800000000000004</v>
      </c>
    </row>
    <row r="463" spans="1:7" ht="26.4" outlineLevel="1">
      <c r="A463" s="474" t="s">
        <v>1730</v>
      </c>
      <c r="B463" s="474">
        <v>36211</v>
      </c>
      <c r="C463" s="395" t="s">
        <v>2283</v>
      </c>
      <c r="D463" s="474" t="s">
        <v>1536</v>
      </c>
      <c r="E463" s="674">
        <v>1</v>
      </c>
      <c r="F463" s="481">
        <v>272.31</v>
      </c>
      <c r="G463" s="649">
        <f t="shared" si="68"/>
        <v>272.31</v>
      </c>
    </row>
    <row r="465" spans="1:7" ht="19.2">
      <c r="A465" s="474" t="s">
        <v>2123</v>
      </c>
      <c r="B465" s="474" t="s">
        <v>2285</v>
      </c>
      <c r="C465" s="475" t="s">
        <v>2286</v>
      </c>
      <c r="D465" s="474" t="s">
        <v>1535</v>
      </c>
      <c r="E465" s="674" t="s">
        <v>122</v>
      </c>
      <c r="F465" s="487"/>
      <c r="G465" s="646">
        <f>SUM(G466:G471)</f>
        <v>1217.2099999999998</v>
      </c>
    </row>
    <row r="466" spans="1:7" outlineLevel="1">
      <c r="A466" s="474" t="s">
        <v>1725</v>
      </c>
      <c r="B466" s="474">
        <v>88309</v>
      </c>
      <c r="C466" s="475" t="s">
        <v>2287</v>
      </c>
      <c r="D466" s="474" t="s">
        <v>1592</v>
      </c>
      <c r="E466" s="674">
        <v>2.77</v>
      </c>
      <c r="F466" s="481">
        <v>15.15</v>
      </c>
      <c r="G466" s="649">
        <f t="shared" ref="G466:G471" si="69">ROUND(F466*E466,2)</f>
        <v>41.97</v>
      </c>
    </row>
    <row r="467" spans="1:7" outlineLevel="1">
      <c r="A467" s="474" t="s">
        <v>1725</v>
      </c>
      <c r="B467" s="474" t="s">
        <v>1728</v>
      </c>
      <c r="C467" s="475" t="s">
        <v>1729</v>
      </c>
      <c r="D467" s="474" t="s">
        <v>1592</v>
      </c>
      <c r="E467" s="674">
        <v>2.77</v>
      </c>
      <c r="F467" s="481">
        <v>12.05</v>
      </c>
      <c r="G467" s="649">
        <f t="shared" si="69"/>
        <v>33.380000000000003</v>
      </c>
    </row>
    <row r="468" spans="1:7" ht="20.399999999999999" outlineLevel="1">
      <c r="A468" s="474" t="s">
        <v>1730</v>
      </c>
      <c r="B468" s="474">
        <v>11687</v>
      </c>
      <c r="C468" s="493" t="s">
        <v>2288</v>
      </c>
      <c r="D468" s="474" t="s">
        <v>217</v>
      </c>
      <c r="E468" s="674">
        <f>1/0.6</f>
        <v>1.6666666666666667</v>
      </c>
      <c r="F468" s="481">
        <v>662.16</v>
      </c>
      <c r="G468" s="649">
        <f t="shared" si="69"/>
        <v>1103.5999999999999</v>
      </c>
    </row>
    <row r="469" spans="1:7" ht="13.2" outlineLevel="1">
      <c r="A469" s="474" t="s">
        <v>1725</v>
      </c>
      <c r="B469" s="474">
        <v>6045</v>
      </c>
      <c r="C469" s="395" t="s">
        <v>2289</v>
      </c>
      <c r="D469" s="474" t="s">
        <v>646</v>
      </c>
      <c r="E469" s="674">
        <v>0.03</v>
      </c>
      <c r="F469" s="481">
        <v>375.39</v>
      </c>
      <c r="G469" s="649">
        <f t="shared" si="69"/>
        <v>11.26</v>
      </c>
    </row>
    <row r="470" spans="1:7" ht="13.2" outlineLevel="1">
      <c r="A470" s="474" t="s">
        <v>1725</v>
      </c>
      <c r="B470" s="474" t="s">
        <v>2291</v>
      </c>
      <c r="C470" s="395" t="s">
        <v>2290</v>
      </c>
      <c r="D470" s="474" t="s">
        <v>646</v>
      </c>
      <c r="E470" s="674">
        <v>0.03</v>
      </c>
      <c r="F470" s="481">
        <v>79.89</v>
      </c>
      <c r="G470" s="649">
        <f t="shared" si="69"/>
        <v>2.4</v>
      </c>
    </row>
    <row r="471" spans="1:7" ht="30.6" outlineLevel="1">
      <c r="A471" s="484" t="s">
        <v>1725</v>
      </c>
      <c r="B471" s="484">
        <v>92783</v>
      </c>
      <c r="C471" s="494" t="s">
        <v>2292</v>
      </c>
      <c r="D471" s="503" t="s">
        <v>1594</v>
      </c>
      <c r="E471" s="675">
        <v>2.7</v>
      </c>
      <c r="F471" s="481">
        <v>9.11</v>
      </c>
      <c r="G471" s="649">
        <f t="shared" si="69"/>
        <v>24.6</v>
      </c>
    </row>
    <row r="473" spans="1:7" ht="19.2">
      <c r="A473" s="474" t="s">
        <v>2298</v>
      </c>
      <c r="B473" s="474" t="s">
        <v>2299</v>
      </c>
      <c r="C473" s="475" t="s">
        <v>2303</v>
      </c>
      <c r="D473" s="474" t="s">
        <v>1535</v>
      </c>
      <c r="E473" s="674" t="s">
        <v>122</v>
      </c>
      <c r="F473" s="487"/>
      <c r="G473" s="646">
        <f>SUM(G474:G477)</f>
        <v>331.19</v>
      </c>
    </row>
    <row r="474" spans="1:7" outlineLevel="1">
      <c r="A474" s="474" t="s">
        <v>1725</v>
      </c>
      <c r="B474" s="474">
        <v>88278</v>
      </c>
      <c r="C474" s="475" t="s">
        <v>2301</v>
      </c>
      <c r="D474" s="474" t="s">
        <v>1592</v>
      </c>
      <c r="E474" s="674">
        <v>0.7</v>
      </c>
      <c r="F474" s="481">
        <v>10.7</v>
      </c>
      <c r="G474" s="649">
        <f t="shared" ref="G474:G477" si="70">ROUND(F474*E474,2)</f>
        <v>7.49</v>
      </c>
    </row>
    <row r="475" spans="1:7" outlineLevel="1">
      <c r="A475" s="474" t="s">
        <v>1725</v>
      </c>
      <c r="B475" s="474" t="s">
        <v>1728</v>
      </c>
      <c r="C475" s="475" t="s">
        <v>1729</v>
      </c>
      <c r="D475" s="474" t="s">
        <v>1592</v>
      </c>
      <c r="E475" s="674">
        <v>0.7</v>
      </c>
      <c r="F475" s="481">
        <v>12.05</v>
      </c>
      <c r="G475" s="649">
        <f t="shared" si="70"/>
        <v>8.44</v>
      </c>
    </row>
    <row r="476" spans="1:7" outlineLevel="1">
      <c r="A476" s="474" t="s">
        <v>1730</v>
      </c>
      <c r="B476" s="474">
        <v>10966</v>
      </c>
      <c r="C476" s="492" t="s">
        <v>2300</v>
      </c>
      <c r="D476" s="474" t="s">
        <v>217</v>
      </c>
      <c r="E476" s="674">
        <v>10</v>
      </c>
      <c r="F476" s="481">
        <v>4.37</v>
      </c>
      <c r="G476" s="649">
        <f t="shared" si="70"/>
        <v>43.7</v>
      </c>
    </row>
    <row r="477" spans="1:7" ht="13.2" outlineLevel="1">
      <c r="A477" s="474" t="s">
        <v>1730</v>
      </c>
      <c r="B477" s="474">
        <v>1337</v>
      </c>
      <c r="C477" s="395" t="s">
        <v>2302</v>
      </c>
      <c r="D477" s="474" t="s">
        <v>1594</v>
      </c>
      <c r="E477" s="674">
        <v>54.53</v>
      </c>
      <c r="F477" s="481">
        <v>4.9800000000000004</v>
      </c>
      <c r="G477" s="649">
        <f t="shared" si="70"/>
        <v>271.56</v>
      </c>
    </row>
    <row r="479" spans="1:7" ht="19.2">
      <c r="A479" s="474" t="s">
        <v>2317</v>
      </c>
      <c r="B479" s="474" t="s">
        <v>2316</v>
      </c>
      <c r="C479" s="475" t="s">
        <v>2318</v>
      </c>
      <c r="D479" s="474" t="s">
        <v>1535</v>
      </c>
      <c r="E479" s="674" t="s">
        <v>122</v>
      </c>
      <c r="F479" s="487"/>
      <c r="G479" s="646">
        <f>SUM(G480:G483)</f>
        <v>67.680000000000007</v>
      </c>
    </row>
    <row r="480" spans="1:7" outlineLevel="1">
      <c r="A480" s="474" t="s">
        <v>1725</v>
      </c>
      <c r="B480" s="474">
        <v>88309</v>
      </c>
      <c r="C480" s="475" t="s">
        <v>2287</v>
      </c>
      <c r="D480" s="474" t="s">
        <v>1592</v>
      </c>
      <c r="E480" s="674">
        <v>1.1000000000000001</v>
      </c>
      <c r="F480" s="481">
        <v>15.15</v>
      </c>
      <c r="G480" s="649">
        <f t="shared" ref="G480:G483" si="71">ROUND(F480*E480,2)</f>
        <v>16.670000000000002</v>
      </c>
    </row>
    <row r="481" spans="1:7" outlineLevel="1">
      <c r="A481" s="474" t="s">
        <v>1725</v>
      </c>
      <c r="B481" s="474" t="s">
        <v>1728</v>
      </c>
      <c r="C481" s="475" t="s">
        <v>1729</v>
      </c>
      <c r="D481" s="474" t="s">
        <v>1592</v>
      </c>
      <c r="E481" s="674">
        <v>0.98</v>
      </c>
      <c r="F481" s="481">
        <v>12.05</v>
      </c>
      <c r="G481" s="649">
        <f t="shared" si="71"/>
        <v>11.81</v>
      </c>
    </row>
    <row r="482" spans="1:7" outlineLevel="1">
      <c r="A482" s="474" t="s">
        <v>2319</v>
      </c>
      <c r="B482" s="474" t="s">
        <v>2320</v>
      </c>
      <c r="C482" s="493" t="s">
        <v>2321</v>
      </c>
      <c r="D482" s="474" t="s">
        <v>1594</v>
      </c>
      <c r="E482" s="674">
        <v>25</v>
      </c>
      <c r="F482" s="481">
        <v>1.5</v>
      </c>
      <c r="G482" s="649">
        <f t="shared" si="71"/>
        <v>37.5</v>
      </c>
    </row>
    <row r="483" spans="1:7" ht="26.4" outlineLevel="1">
      <c r="A483" s="474" t="s">
        <v>1730</v>
      </c>
      <c r="B483" s="474">
        <v>367</v>
      </c>
      <c r="C483" s="395" t="s">
        <v>2042</v>
      </c>
      <c r="D483" s="474" t="s">
        <v>646</v>
      </c>
      <c r="E483" s="674">
        <v>2.4299999999999999E-2</v>
      </c>
      <c r="F483" s="481">
        <v>70</v>
      </c>
      <c r="G483" s="649">
        <f t="shared" si="71"/>
        <v>1.7</v>
      </c>
    </row>
    <row r="485" spans="1:7">
      <c r="A485" s="474" t="s">
        <v>2317</v>
      </c>
      <c r="B485" s="474" t="s">
        <v>2337</v>
      </c>
      <c r="C485" s="475" t="s">
        <v>2338</v>
      </c>
      <c r="D485" s="474" t="s">
        <v>1536</v>
      </c>
      <c r="E485" s="674" t="s">
        <v>122</v>
      </c>
      <c r="F485" s="487"/>
      <c r="G485" s="646">
        <f>SUM(G486:G490)</f>
        <v>57.75</v>
      </c>
    </row>
    <row r="486" spans="1:7" outlineLevel="1">
      <c r="A486" s="474" t="s">
        <v>1725</v>
      </c>
      <c r="B486" s="474">
        <v>88309</v>
      </c>
      <c r="C486" s="475" t="s">
        <v>2287</v>
      </c>
      <c r="D486" s="474" t="s">
        <v>1592</v>
      </c>
      <c r="E486" s="674">
        <v>1.1000000000000001</v>
      </c>
      <c r="F486" s="481">
        <v>15.15</v>
      </c>
      <c r="G486" s="649">
        <f t="shared" ref="G486:G490" si="72">ROUND(F486*E486,2)</f>
        <v>16.670000000000002</v>
      </c>
    </row>
    <row r="487" spans="1:7" outlineLevel="1">
      <c r="A487" s="474" t="s">
        <v>1725</v>
      </c>
      <c r="B487" s="474" t="s">
        <v>1728</v>
      </c>
      <c r="C487" s="475" t="s">
        <v>1729</v>
      </c>
      <c r="D487" s="474" t="s">
        <v>1592</v>
      </c>
      <c r="E487" s="674">
        <v>1.1000000000000001</v>
      </c>
      <c r="F487" s="481">
        <v>12.05</v>
      </c>
      <c r="G487" s="649">
        <f t="shared" si="72"/>
        <v>13.26</v>
      </c>
    </row>
    <row r="488" spans="1:7" outlineLevel="1">
      <c r="A488" s="474" t="s">
        <v>1730</v>
      </c>
      <c r="B488" s="474">
        <v>4267</v>
      </c>
      <c r="C488" s="493" t="s">
        <v>2338</v>
      </c>
      <c r="D488" s="474" t="s">
        <v>1536</v>
      </c>
      <c r="E488" s="674">
        <v>1</v>
      </c>
      <c r="F488" s="481">
        <v>27.57</v>
      </c>
      <c r="G488" s="649">
        <f t="shared" si="72"/>
        <v>27.57</v>
      </c>
    </row>
    <row r="489" spans="1:7" outlineLevel="1">
      <c r="A489" s="474" t="s">
        <v>1730</v>
      </c>
      <c r="B489" s="474">
        <v>1379</v>
      </c>
      <c r="C489" s="475" t="s">
        <v>2046</v>
      </c>
      <c r="D489" s="474" t="s">
        <v>1594</v>
      </c>
      <c r="E489" s="677">
        <v>0.45</v>
      </c>
      <c r="F489" s="681">
        <v>0.5</v>
      </c>
      <c r="G489" s="649">
        <f t="shared" si="72"/>
        <v>0.23</v>
      </c>
    </row>
    <row r="490" spans="1:7" ht="19.2" outlineLevel="1">
      <c r="A490" s="474" t="s">
        <v>1730</v>
      </c>
      <c r="B490" s="474">
        <v>370</v>
      </c>
      <c r="C490" s="475" t="s">
        <v>2264</v>
      </c>
      <c r="D490" s="474" t="s">
        <v>646</v>
      </c>
      <c r="E490" s="677">
        <v>1E-3</v>
      </c>
      <c r="F490" s="681">
        <v>22.03</v>
      </c>
      <c r="G490" s="649">
        <f t="shared" si="72"/>
        <v>0.02</v>
      </c>
    </row>
    <row r="492" spans="1:7">
      <c r="A492" s="474" t="s">
        <v>2317</v>
      </c>
      <c r="B492" s="474" t="s">
        <v>2339</v>
      </c>
      <c r="C492" s="475" t="s">
        <v>2340</v>
      </c>
      <c r="D492" s="474" t="s">
        <v>1536</v>
      </c>
      <c r="E492" s="674" t="s">
        <v>122</v>
      </c>
      <c r="F492" s="487"/>
      <c r="G492" s="646">
        <f>SUM(G493:G497)</f>
        <v>58.32</v>
      </c>
    </row>
    <row r="493" spans="1:7" outlineLevel="1">
      <c r="A493" s="474" t="s">
        <v>1725</v>
      </c>
      <c r="B493" s="474">
        <v>88309</v>
      </c>
      <c r="C493" s="475" t="s">
        <v>2287</v>
      </c>
      <c r="D493" s="474" t="s">
        <v>1592</v>
      </c>
      <c r="E493" s="674">
        <v>1.1000000000000001</v>
      </c>
      <c r="F493" s="481">
        <v>15.15</v>
      </c>
      <c r="G493" s="649">
        <f t="shared" ref="G493:G497" si="73">ROUND(F493*E493,2)</f>
        <v>16.670000000000002</v>
      </c>
    </row>
    <row r="494" spans="1:7" outlineLevel="1">
      <c r="A494" s="474" t="s">
        <v>1725</v>
      </c>
      <c r="B494" s="474" t="s">
        <v>1728</v>
      </c>
      <c r="C494" s="475" t="s">
        <v>1729</v>
      </c>
      <c r="D494" s="474" t="s">
        <v>1592</v>
      </c>
      <c r="E494" s="674">
        <v>1.1000000000000001</v>
      </c>
      <c r="F494" s="481">
        <v>12.05</v>
      </c>
      <c r="G494" s="649">
        <f t="shared" si="73"/>
        <v>13.26</v>
      </c>
    </row>
    <row r="495" spans="1:7" outlineLevel="1">
      <c r="A495" s="474" t="s">
        <v>1730</v>
      </c>
      <c r="B495" s="474">
        <v>4269</v>
      </c>
      <c r="C495" s="493" t="s">
        <v>2340</v>
      </c>
      <c r="D495" s="474" t="s">
        <v>1536</v>
      </c>
      <c r="E495" s="674">
        <v>1</v>
      </c>
      <c r="F495" s="481">
        <v>28.14</v>
      </c>
      <c r="G495" s="649">
        <f t="shared" si="73"/>
        <v>28.14</v>
      </c>
    </row>
    <row r="496" spans="1:7" outlineLevel="1">
      <c r="A496" s="474" t="s">
        <v>1730</v>
      </c>
      <c r="B496" s="474">
        <v>1379</v>
      </c>
      <c r="C496" s="475" t="s">
        <v>2046</v>
      </c>
      <c r="D496" s="474" t="s">
        <v>1594</v>
      </c>
      <c r="E496" s="677">
        <v>0.45</v>
      </c>
      <c r="F496" s="681">
        <v>0.5</v>
      </c>
      <c r="G496" s="649">
        <f t="shared" si="73"/>
        <v>0.23</v>
      </c>
    </row>
    <row r="497" spans="1:7" ht="19.2" outlineLevel="1">
      <c r="A497" s="474" t="s">
        <v>1730</v>
      </c>
      <c r="B497" s="474">
        <v>370</v>
      </c>
      <c r="C497" s="475" t="s">
        <v>2264</v>
      </c>
      <c r="D497" s="474" t="s">
        <v>646</v>
      </c>
      <c r="E497" s="677">
        <v>1E-3</v>
      </c>
      <c r="F497" s="681">
        <v>22.03</v>
      </c>
      <c r="G497" s="649">
        <f t="shared" si="73"/>
        <v>0.02</v>
      </c>
    </row>
    <row r="499" spans="1:7" ht="19.2">
      <c r="A499" s="474" t="s">
        <v>2317</v>
      </c>
      <c r="B499" s="474" t="s">
        <v>2341</v>
      </c>
      <c r="C499" s="475" t="s">
        <v>2342</v>
      </c>
      <c r="D499" s="474" t="s">
        <v>1536</v>
      </c>
      <c r="E499" s="674" t="s">
        <v>122</v>
      </c>
      <c r="F499" s="487"/>
      <c r="G499" s="646">
        <f>SUM(G500:G502)</f>
        <v>48.629999999999995</v>
      </c>
    </row>
    <row r="500" spans="1:7" outlineLevel="1">
      <c r="A500" s="474" t="s">
        <v>1725</v>
      </c>
      <c r="B500" s="474">
        <v>88309</v>
      </c>
      <c r="C500" s="475" t="s">
        <v>2287</v>
      </c>
      <c r="D500" s="474" t="s">
        <v>1592</v>
      </c>
      <c r="E500" s="674">
        <v>0.5</v>
      </c>
      <c r="F500" s="481">
        <v>15.15</v>
      </c>
      <c r="G500" s="649">
        <f t="shared" ref="G500:G501" si="74">ROUND(F500*E500,2)</f>
        <v>7.58</v>
      </c>
    </row>
    <row r="501" spans="1:7" ht="20.399999999999999" outlineLevel="1">
      <c r="A501" s="474" t="s">
        <v>1730</v>
      </c>
      <c r="B501" s="474">
        <v>11758</v>
      </c>
      <c r="C501" s="493" t="s">
        <v>2342</v>
      </c>
      <c r="D501" s="474" t="s">
        <v>1536</v>
      </c>
      <c r="E501" s="674">
        <v>1</v>
      </c>
      <c r="F501" s="481">
        <v>41.05</v>
      </c>
      <c r="G501" s="649">
        <f t="shared" si="74"/>
        <v>41.05</v>
      </c>
    </row>
    <row r="502" spans="1:7">
      <c r="A502" s="474"/>
      <c r="B502" s="474"/>
      <c r="C502" s="475"/>
      <c r="D502" s="474"/>
      <c r="E502" s="677"/>
      <c r="F502" s="681"/>
      <c r="G502" s="654"/>
    </row>
    <row r="503" spans="1:7" ht="19.2">
      <c r="A503" s="474" t="s">
        <v>2317</v>
      </c>
      <c r="B503" s="474" t="s">
        <v>2343</v>
      </c>
      <c r="C503" s="475" t="s">
        <v>2344</v>
      </c>
      <c r="D503" s="474" t="s">
        <v>1536</v>
      </c>
      <c r="E503" s="674" t="s">
        <v>122</v>
      </c>
      <c r="F503" s="487"/>
      <c r="G503" s="646">
        <f>SUM(G504:G505)</f>
        <v>56.949999999999996</v>
      </c>
    </row>
    <row r="504" spans="1:7" outlineLevel="1">
      <c r="A504" s="474" t="s">
        <v>1725</v>
      </c>
      <c r="B504" s="474">
        <v>88309</v>
      </c>
      <c r="C504" s="475" t="s">
        <v>2287</v>
      </c>
      <c r="D504" s="474" t="s">
        <v>1592</v>
      </c>
      <c r="E504" s="674">
        <v>0.3</v>
      </c>
      <c r="F504" s="481">
        <v>15.15</v>
      </c>
      <c r="G504" s="649">
        <f t="shared" ref="G504:G505" si="75">ROUND(F504*E504,2)</f>
        <v>4.55</v>
      </c>
    </row>
    <row r="505" spans="1:7" outlineLevel="1">
      <c r="A505" s="474" t="s">
        <v>2036</v>
      </c>
      <c r="B505" s="474">
        <v>7075</v>
      </c>
      <c r="C505" s="492" t="s">
        <v>2344</v>
      </c>
      <c r="D505" s="474" t="s">
        <v>1536</v>
      </c>
      <c r="E505" s="674">
        <v>1</v>
      </c>
      <c r="F505" s="481">
        <v>52.4</v>
      </c>
      <c r="G505" s="649">
        <f t="shared" si="75"/>
        <v>52.4</v>
      </c>
    </row>
    <row r="506" spans="1:7">
      <c r="A506" s="474"/>
      <c r="B506" s="474"/>
      <c r="C506" s="475"/>
      <c r="D506" s="474"/>
      <c r="E506" s="677"/>
      <c r="F506" s="681"/>
      <c r="G506" s="654"/>
    </row>
    <row r="507" spans="1:7">
      <c r="A507" s="474" t="s">
        <v>2317</v>
      </c>
      <c r="B507" s="474" t="s">
        <v>2345</v>
      </c>
      <c r="C507" s="475" t="s">
        <v>2346</v>
      </c>
      <c r="D507" s="474" t="s">
        <v>1536</v>
      </c>
      <c r="E507" s="674" t="s">
        <v>122</v>
      </c>
      <c r="F507" s="487"/>
      <c r="G507" s="646">
        <f>SUM(G508:G509)</f>
        <v>83.11</v>
      </c>
    </row>
    <row r="508" spans="1:7" outlineLevel="1">
      <c r="A508" s="474" t="s">
        <v>1725</v>
      </c>
      <c r="B508" s="474">
        <v>88309</v>
      </c>
      <c r="C508" s="475" t="s">
        <v>2287</v>
      </c>
      <c r="D508" s="474" t="s">
        <v>1592</v>
      </c>
      <c r="E508" s="674">
        <v>0.6</v>
      </c>
      <c r="F508" s="481">
        <v>15.15</v>
      </c>
      <c r="G508" s="649">
        <f t="shared" ref="G508:G509" si="76">ROUND(F508*E508,2)</f>
        <v>9.09</v>
      </c>
    </row>
    <row r="509" spans="1:7" outlineLevel="1">
      <c r="A509" s="474" t="s">
        <v>2036</v>
      </c>
      <c r="B509" s="474">
        <v>1841</v>
      </c>
      <c r="C509" s="492" t="s">
        <v>2346</v>
      </c>
      <c r="D509" s="474" t="s">
        <v>1536</v>
      </c>
      <c r="E509" s="674">
        <v>1</v>
      </c>
      <c r="F509" s="481">
        <v>74.02</v>
      </c>
      <c r="G509" s="649">
        <f t="shared" si="76"/>
        <v>74.02</v>
      </c>
    </row>
    <row r="511" spans="1:7" ht="19.2">
      <c r="A511" s="474" t="s">
        <v>1984</v>
      </c>
      <c r="B511" s="474" t="s">
        <v>2356</v>
      </c>
      <c r="C511" s="475" t="s">
        <v>2355</v>
      </c>
      <c r="D511" s="474" t="s">
        <v>1535</v>
      </c>
      <c r="E511" s="674" t="s">
        <v>122</v>
      </c>
      <c r="F511" s="487"/>
      <c r="G511" s="647">
        <f>SUM(G512:G515)</f>
        <v>76.040000000000006</v>
      </c>
    </row>
    <row r="512" spans="1:7" outlineLevel="1">
      <c r="A512" s="474" t="s">
        <v>1725</v>
      </c>
      <c r="B512" s="474" t="s">
        <v>1726</v>
      </c>
      <c r="C512" s="475" t="s">
        <v>1727</v>
      </c>
      <c r="D512" s="474" t="s">
        <v>1592</v>
      </c>
      <c r="E512" s="674">
        <v>0.8</v>
      </c>
      <c r="F512" s="481">
        <v>15.15</v>
      </c>
      <c r="G512" s="649">
        <f t="shared" ref="G512:G515" si="77">ROUND(F512*E512,2)</f>
        <v>12.12</v>
      </c>
    </row>
    <row r="513" spans="1:7" outlineLevel="1">
      <c r="A513" s="474" t="s">
        <v>1725</v>
      </c>
      <c r="B513" s="474" t="s">
        <v>2353</v>
      </c>
      <c r="C513" s="475" t="s">
        <v>2354</v>
      </c>
      <c r="D513" s="474" t="s">
        <v>1592</v>
      </c>
      <c r="E513" s="674">
        <v>1.8</v>
      </c>
      <c r="F513" s="481">
        <v>14.55</v>
      </c>
      <c r="G513" s="649">
        <f t="shared" si="77"/>
        <v>26.19</v>
      </c>
    </row>
    <row r="514" spans="1:7" outlineLevel="1">
      <c r="A514" s="474" t="s">
        <v>1725</v>
      </c>
      <c r="B514" s="474" t="s">
        <v>1728</v>
      </c>
      <c r="C514" s="475" t="s">
        <v>1729</v>
      </c>
      <c r="D514" s="474" t="s">
        <v>1592</v>
      </c>
      <c r="E514" s="674">
        <v>3</v>
      </c>
      <c r="F514" s="481">
        <v>12.05</v>
      </c>
      <c r="G514" s="649">
        <f t="shared" si="77"/>
        <v>36.15</v>
      </c>
    </row>
    <row r="515" spans="1:7" ht="19.2" outlineLevel="1">
      <c r="A515" s="474" t="s">
        <v>1725</v>
      </c>
      <c r="B515" s="474" t="s">
        <v>2387</v>
      </c>
      <c r="C515" s="475" t="s">
        <v>2388</v>
      </c>
      <c r="D515" s="474" t="s">
        <v>646</v>
      </c>
      <c r="E515" s="674">
        <v>6.0000000000000001E-3</v>
      </c>
      <c r="F515" s="481">
        <v>263.8</v>
      </c>
      <c r="G515" s="649">
        <f t="shared" si="77"/>
        <v>1.58</v>
      </c>
    </row>
    <row r="516" spans="1:7">
      <c r="A516" s="474"/>
      <c r="B516" s="474"/>
      <c r="C516" s="475"/>
      <c r="D516" s="474"/>
      <c r="E516" s="674"/>
      <c r="F516" s="481"/>
      <c r="G516" s="653"/>
    </row>
    <row r="517" spans="1:7" ht="38.4">
      <c r="A517" s="474" t="s">
        <v>2358</v>
      </c>
      <c r="B517" s="474" t="s">
        <v>2362</v>
      </c>
      <c r="C517" s="475" t="s">
        <v>2363</v>
      </c>
      <c r="D517" s="474" t="s">
        <v>1535</v>
      </c>
      <c r="E517" s="674" t="s">
        <v>122</v>
      </c>
      <c r="F517" s="487"/>
      <c r="G517" s="647">
        <f>SUM(G518:G522)</f>
        <v>419.21999999999997</v>
      </c>
    </row>
    <row r="518" spans="1:7" outlineLevel="1">
      <c r="A518" s="474" t="s">
        <v>1725</v>
      </c>
      <c r="B518" s="474" t="s">
        <v>2087</v>
      </c>
      <c r="C518" s="475" t="s">
        <v>2088</v>
      </c>
      <c r="D518" s="474" t="s">
        <v>1592</v>
      </c>
      <c r="E518" s="674">
        <v>0.7026</v>
      </c>
      <c r="F518" s="481">
        <v>15.15</v>
      </c>
      <c r="G518" s="649">
        <f t="shared" ref="G518:G522" si="78">ROUND(F518*E518,2)</f>
        <v>10.64</v>
      </c>
    </row>
    <row r="519" spans="1:7" outlineLevel="1">
      <c r="A519" s="474" t="s">
        <v>1725</v>
      </c>
      <c r="B519" s="474" t="s">
        <v>1728</v>
      </c>
      <c r="C519" s="475" t="s">
        <v>1729</v>
      </c>
      <c r="D519" s="474" t="s">
        <v>1592</v>
      </c>
      <c r="E519" s="674">
        <v>0.66210000000000002</v>
      </c>
      <c r="F519" s="481">
        <v>12.05</v>
      </c>
      <c r="G519" s="649">
        <f t="shared" si="78"/>
        <v>7.98</v>
      </c>
    </row>
    <row r="520" spans="1:7" outlineLevel="1">
      <c r="A520" s="474" t="s">
        <v>1730</v>
      </c>
      <c r="B520" s="474" t="s">
        <v>2359</v>
      </c>
      <c r="C520" s="475" t="s">
        <v>2360</v>
      </c>
      <c r="D520" s="474" t="s">
        <v>1594</v>
      </c>
      <c r="E520" s="674">
        <v>0.45</v>
      </c>
      <c r="F520" s="481">
        <v>0.38</v>
      </c>
      <c r="G520" s="649">
        <f t="shared" si="78"/>
        <v>0.17</v>
      </c>
    </row>
    <row r="521" spans="1:7" outlineLevel="1">
      <c r="A521" s="474" t="s">
        <v>1730</v>
      </c>
      <c r="B521" s="474" t="s">
        <v>2097</v>
      </c>
      <c r="C521" s="475" t="s">
        <v>2098</v>
      </c>
      <c r="D521" s="474" t="s">
        <v>1594</v>
      </c>
      <c r="E521" s="674">
        <v>4.5</v>
      </c>
      <c r="F521" s="481">
        <v>0.48</v>
      </c>
      <c r="G521" s="649">
        <f t="shared" si="78"/>
        <v>2.16</v>
      </c>
    </row>
    <row r="522" spans="1:7" outlineLevel="1">
      <c r="A522" s="474" t="s">
        <v>1730</v>
      </c>
      <c r="B522" s="474">
        <v>10842</v>
      </c>
      <c r="C522" s="475" t="s">
        <v>2361</v>
      </c>
      <c r="D522" s="474" t="s">
        <v>1535</v>
      </c>
      <c r="E522" s="674">
        <v>1.05</v>
      </c>
      <c r="F522" s="481">
        <v>379.3</v>
      </c>
      <c r="G522" s="649">
        <f t="shared" si="78"/>
        <v>398.27</v>
      </c>
    </row>
    <row r="524" spans="1:7" ht="28.8">
      <c r="A524" s="474" t="s">
        <v>1724</v>
      </c>
      <c r="B524" s="474" t="s">
        <v>2366</v>
      </c>
      <c r="C524" s="475" t="s">
        <v>2365</v>
      </c>
      <c r="D524" s="474" t="s">
        <v>1535</v>
      </c>
      <c r="E524" s="674" t="s">
        <v>122</v>
      </c>
      <c r="F524" s="487"/>
      <c r="G524" s="647">
        <f>SUM(G525:G529)</f>
        <v>416.34</v>
      </c>
    </row>
    <row r="525" spans="1:7" outlineLevel="1">
      <c r="A525" s="474" t="s">
        <v>1725</v>
      </c>
      <c r="B525" s="474" t="s">
        <v>1974</v>
      </c>
      <c r="C525" s="475" t="s">
        <v>1975</v>
      </c>
      <c r="D525" s="474" t="s">
        <v>1592</v>
      </c>
      <c r="E525" s="674">
        <v>0.5</v>
      </c>
      <c r="F525" s="481">
        <v>15.15</v>
      </c>
      <c r="G525" s="649">
        <f t="shared" ref="G525:G529" si="79">ROUND(F525*E525,2)</f>
        <v>7.58</v>
      </c>
    </row>
    <row r="526" spans="1:7" outlineLevel="1">
      <c r="A526" s="474" t="s">
        <v>1725</v>
      </c>
      <c r="B526" s="474" t="s">
        <v>1728</v>
      </c>
      <c r="C526" s="475" t="s">
        <v>1729</v>
      </c>
      <c r="D526" s="474" t="s">
        <v>1592</v>
      </c>
      <c r="E526" s="674">
        <v>0.5</v>
      </c>
      <c r="F526" s="481">
        <v>12.05</v>
      </c>
      <c r="G526" s="649">
        <f t="shared" si="79"/>
        <v>6.03</v>
      </c>
    </row>
    <row r="527" spans="1:7" outlineLevel="1">
      <c r="A527" s="474" t="s">
        <v>1730</v>
      </c>
      <c r="B527" s="474" t="s">
        <v>1978</v>
      </c>
      <c r="C527" s="475" t="s">
        <v>1979</v>
      </c>
      <c r="D527" s="474" t="s">
        <v>1594</v>
      </c>
      <c r="E527" s="674">
        <v>0.21099999999999999</v>
      </c>
      <c r="F527" s="481">
        <v>2.93</v>
      </c>
      <c r="G527" s="649">
        <f t="shared" si="79"/>
        <v>0.62</v>
      </c>
    </row>
    <row r="528" spans="1:7" outlineLevel="1">
      <c r="A528" s="474" t="s">
        <v>1730</v>
      </c>
      <c r="B528" s="474" t="s">
        <v>2097</v>
      </c>
      <c r="C528" s="475" t="s">
        <v>2098</v>
      </c>
      <c r="D528" s="474" t="s">
        <v>1594</v>
      </c>
      <c r="E528" s="674">
        <v>8</v>
      </c>
      <c r="F528" s="481">
        <v>0.48</v>
      </c>
      <c r="G528" s="649">
        <f t="shared" si="79"/>
        <v>3.84</v>
      </c>
    </row>
    <row r="529" spans="1:7" outlineLevel="1">
      <c r="A529" s="474" t="s">
        <v>1730</v>
      </c>
      <c r="B529" s="474">
        <v>10842</v>
      </c>
      <c r="C529" s="475" t="s">
        <v>2361</v>
      </c>
      <c r="D529" s="474" t="s">
        <v>1535</v>
      </c>
      <c r="E529" s="674">
        <v>1.05</v>
      </c>
      <c r="F529" s="481">
        <v>379.3</v>
      </c>
      <c r="G529" s="649">
        <f t="shared" si="79"/>
        <v>398.27</v>
      </c>
    </row>
    <row r="531" spans="1:7" ht="19.2">
      <c r="A531" s="474" t="s">
        <v>2123</v>
      </c>
      <c r="B531" s="474" t="s">
        <v>2377</v>
      </c>
      <c r="C531" s="475" t="s">
        <v>2378</v>
      </c>
      <c r="D531" s="474" t="s">
        <v>1536</v>
      </c>
      <c r="E531" s="674" t="s">
        <v>122</v>
      </c>
      <c r="F531" s="487"/>
      <c r="G531" s="646">
        <f>SUM(G532:G536)</f>
        <v>117.68</v>
      </c>
    </row>
    <row r="532" spans="1:7" outlineLevel="1">
      <c r="A532" s="474" t="s">
        <v>1725</v>
      </c>
      <c r="B532" s="474" t="s">
        <v>2145</v>
      </c>
      <c r="C532" s="475" t="s">
        <v>2146</v>
      </c>
      <c r="D532" s="474" t="s">
        <v>1592</v>
      </c>
      <c r="E532" s="674">
        <v>0.5</v>
      </c>
      <c r="F532" s="481">
        <v>15.15</v>
      </c>
      <c r="G532" s="649">
        <f t="shared" ref="G532:G535" si="80">ROUND(F532*E532,2)</f>
        <v>7.58</v>
      </c>
    </row>
    <row r="533" spans="1:7" outlineLevel="1">
      <c r="A533" s="474" t="s">
        <v>1725</v>
      </c>
      <c r="B533" s="474" t="s">
        <v>1728</v>
      </c>
      <c r="C533" s="475" t="s">
        <v>1729</v>
      </c>
      <c r="D533" s="474" t="s">
        <v>1592</v>
      </c>
      <c r="E533" s="674">
        <v>0.5</v>
      </c>
      <c r="F533" s="481">
        <v>12.05</v>
      </c>
      <c r="G533" s="649">
        <f t="shared" si="80"/>
        <v>6.03</v>
      </c>
    </row>
    <row r="534" spans="1:7" outlineLevel="1">
      <c r="A534" s="474" t="s">
        <v>1730</v>
      </c>
      <c r="B534" s="474">
        <v>7584</v>
      </c>
      <c r="C534" s="492" t="s">
        <v>2279</v>
      </c>
      <c r="D534" s="474" t="s">
        <v>1536</v>
      </c>
      <c r="E534" s="674">
        <v>8</v>
      </c>
      <c r="F534" s="481">
        <v>0.56000000000000005</v>
      </c>
      <c r="G534" s="649">
        <f t="shared" si="80"/>
        <v>4.4800000000000004</v>
      </c>
    </row>
    <row r="535" spans="1:7" ht="26.4" outlineLevel="1">
      <c r="A535" s="474" t="s">
        <v>1730</v>
      </c>
      <c r="B535" s="474">
        <v>36218</v>
      </c>
      <c r="C535" s="395" t="s">
        <v>2375</v>
      </c>
      <c r="D535" s="474" t="s">
        <v>1536</v>
      </c>
      <c r="E535" s="674">
        <v>1</v>
      </c>
      <c r="F535" s="481">
        <v>99.59</v>
      </c>
      <c r="G535" s="649">
        <f t="shared" si="80"/>
        <v>99.59</v>
      </c>
    </row>
    <row r="537" spans="1:7" ht="19.2">
      <c r="A537" s="474" t="s">
        <v>1984</v>
      </c>
      <c r="B537" s="474" t="s">
        <v>2380</v>
      </c>
      <c r="C537" s="475" t="s">
        <v>2381</v>
      </c>
      <c r="D537" s="474" t="s">
        <v>1535</v>
      </c>
      <c r="E537" s="674" t="s">
        <v>122</v>
      </c>
      <c r="F537" s="487"/>
      <c r="G537" s="647">
        <f>SUM(G538:G542)</f>
        <v>475.14</v>
      </c>
    </row>
    <row r="538" spans="1:7" outlineLevel="1">
      <c r="A538" s="474" t="s">
        <v>1725</v>
      </c>
      <c r="B538" s="474" t="s">
        <v>1726</v>
      </c>
      <c r="C538" s="475" t="s">
        <v>1727</v>
      </c>
      <c r="D538" s="474" t="s">
        <v>1592</v>
      </c>
      <c r="E538" s="674">
        <v>0.3</v>
      </c>
      <c r="F538" s="487">
        <v>15.15</v>
      </c>
      <c r="G538" s="649">
        <f t="shared" ref="G538:G542" si="81">ROUND(F538*E538,2)</f>
        <v>4.55</v>
      </c>
    </row>
    <row r="539" spans="1:7" outlineLevel="1">
      <c r="A539" s="474" t="s">
        <v>1725</v>
      </c>
      <c r="B539" s="474" t="s">
        <v>2353</v>
      </c>
      <c r="C539" s="475" t="s">
        <v>2354</v>
      </c>
      <c r="D539" s="474" t="s">
        <v>1592</v>
      </c>
      <c r="E539" s="674">
        <v>0.8</v>
      </c>
      <c r="F539" s="487">
        <v>15.15</v>
      </c>
      <c r="G539" s="649">
        <f t="shared" si="81"/>
        <v>12.12</v>
      </c>
    </row>
    <row r="540" spans="1:7" outlineLevel="1">
      <c r="A540" s="474" t="s">
        <v>1725</v>
      </c>
      <c r="B540" s="474" t="s">
        <v>1728</v>
      </c>
      <c r="C540" s="475" t="s">
        <v>1729</v>
      </c>
      <c r="D540" s="474" t="s">
        <v>1592</v>
      </c>
      <c r="E540" s="674">
        <v>1.2</v>
      </c>
      <c r="F540" s="487">
        <v>12.05</v>
      </c>
      <c r="G540" s="649">
        <f t="shared" si="81"/>
        <v>14.46</v>
      </c>
    </row>
    <row r="541" spans="1:7" ht="19.2" outlineLevel="1">
      <c r="A541" s="474" t="s">
        <v>1725</v>
      </c>
      <c r="B541" s="474" t="s">
        <v>2387</v>
      </c>
      <c r="C541" s="475" t="s">
        <v>2388</v>
      </c>
      <c r="D541" s="474" t="s">
        <v>646</v>
      </c>
      <c r="E541" s="674">
        <v>6.0000000000000001E-3</v>
      </c>
      <c r="F541" s="487">
        <v>263.8</v>
      </c>
      <c r="G541" s="649">
        <f t="shared" si="81"/>
        <v>1.58</v>
      </c>
    </row>
    <row r="542" spans="1:7" ht="19.2" outlineLevel="1">
      <c r="A542" s="474" t="s">
        <v>1730</v>
      </c>
      <c r="B542" s="474">
        <v>37585</v>
      </c>
      <c r="C542" s="475" t="s">
        <v>2379</v>
      </c>
      <c r="D542" s="474" t="s">
        <v>1536</v>
      </c>
      <c r="E542" s="674">
        <v>2.0832999999999999</v>
      </c>
      <c r="F542" s="487">
        <v>212.37</v>
      </c>
      <c r="G542" s="649">
        <f t="shared" si="81"/>
        <v>442.43</v>
      </c>
    </row>
    <row r="544" spans="1:7" ht="28.8">
      <c r="A544" s="474" t="s">
        <v>1984</v>
      </c>
      <c r="B544" s="474" t="s">
        <v>2391</v>
      </c>
      <c r="C544" s="475" t="s">
        <v>2394</v>
      </c>
      <c r="D544" s="474" t="s">
        <v>1535</v>
      </c>
      <c r="E544" s="674" t="s">
        <v>122</v>
      </c>
      <c r="F544" s="487"/>
      <c r="G544" s="647">
        <f>SUM(G545:G550)</f>
        <v>726.49</v>
      </c>
    </row>
    <row r="545" spans="1:7" outlineLevel="1">
      <c r="A545" s="474" t="s">
        <v>1725</v>
      </c>
      <c r="B545" s="474" t="s">
        <v>1726</v>
      </c>
      <c r="C545" s="475" t="s">
        <v>1727</v>
      </c>
      <c r="D545" s="474" t="s">
        <v>1592</v>
      </c>
      <c r="E545" s="674">
        <v>1.5</v>
      </c>
      <c r="F545" s="487">
        <v>15.15</v>
      </c>
      <c r="G545" s="649">
        <f t="shared" ref="G545:G550" si="82">ROUND(F545*E545,2)</f>
        <v>22.73</v>
      </c>
    </row>
    <row r="546" spans="1:7" outlineLevel="1">
      <c r="A546" s="474" t="s">
        <v>1725</v>
      </c>
      <c r="B546" s="474" t="s">
        <v>1728</v>
      </c>
      <c r="C546" s="475" t="s">
        <v>1729</v>
      </c>
      <c r="D546" s="474" t="s">
        <v>1592</v>
      </c>
      <c r="E546" s="674">
        <v>1</v>
      </c>
      <c r="F546" s="487">
        <v>12.05</v>
      </c>
      <c r="G546" s="649">
        <f t="shared" si="82"/>
        <v>12.05</v>
      </c>
    </row>
    <row r="547" spans="1:7" ht="19.2" outlineLevel="1">
      <c r="A547" s="474" t="s">
        <v>1725</v>
      </c>
      <c r="B547" s="474" t="s">
        <v>2387</v>
      </c>
      <c r="C547" s="475" t="s">
        <v>2388</v>
      </c>
      <c r="D547" s="474" t="s">
        <v>646</v>
      </c>
      <c r="E547" s="674">
        <v>4.0000000000000001E-3</v>
      </c>
      <c r="F547" s="487">
        <v>263.8</v>
      </c>
      <c r="G547" s="649">
        <f t="shared" si="82"/>
        <v>1.06</v>
      </c>
    </row>
    <row r="548" spans="1:7" ht="28.8" outlineLevel="1">
      <c r="A548" s="474" t="s">
        <v>1730</v>
      </c>
      <c r="B548" s="474" t="s">
        <v>2389</v>
      </c>
      <c r="C548" s="475" t="s">
        <v>2390</v>
      </c>
      <c r="D548" s="474" t="s">
        <v>1535</v>
      </c>
      <c r="E548" s="674">
        <v>1</v>
      </c>
      <c r="F548" s="487">
        <v>395.1</v>
      </c>
      <c r="G548" s="649">
        <f t="shared" si="82"/>
        <v>395.1</v>
      </c>
    </row>
    <row r="549" spans="1:7" outlineLevel="1">
      <c r="A549" s="474" t="s">
        <v>1730</v>
      </c>
      <c r="B549" s="474">
        <v>10492</v>
      </c>
      <c r="C549" s="475" t="s">
        <v>2392</v>
      </c>
      <c r="D549" s="474" t="s">
        <v>1535</v>
      </c>
      <c r="E549" s="674">
        <v>-1</v>
      </c>
      <c r="F549" s="487">
        <v>93.33</v>
      </c>
      <c r="G549" s="649">
        <f t="shared" si="82"/>
        <v>-93.33</v>
      </c>
    </row>
    <row r="550" spans="1:7" ht="19.2" outlineLevel="1">
      <c r="A550" s="474" t="s">
        <v>1730</v>
      </c>
      <c r="B550" s="474">
        <v>10496</v>
      </c>
      <c r="C550" s="475" t="s">
        <v>2393</v>
      </c>
      <c r="D550" s="474" t="s">
        <v>1535</v>
      </c>
      <c r="E550" s="674">
        <v>1</v>
      </c>
      <c r="F550" s="487">
        <v>388.88</v>
      </c>
      <c r="G550" s="649">
        <f t="shared" si="82"/>
        <v>388.88</v>
      </c>
    </row>
    <row r="552" spans="1:7" ht="38.4">
      <c r="A552" s="474" t="s">
        <v>1984</v>
      </c>
      <c r="B552" s="474" t="s">
        <v>2396</v>
      </c>
      <c r="C552" s="475" t="s">
        <v>2395</v>
      </c>
      <c r="D552" s="474" t="s">
        <v>1536</v>
      </c>
      <c r="E552" s="674" t="s">
        <v>122</v>
      </c>
      <c r="F552" s="487"/>
      <c r="G552" s="647">
        <f>SUM(G553:G555)</f>
        <v>10120.14</v>
      </c>
    </row>
    <row r="553" spans="1:7" outlineLevel="1">
      <c r="A553" s="474" t="s">
        <v>1725</v>
      </c>
      <c r="B553" s="474" t="s">
        <v>1728</v>
      </c>
      <c r="C553" s="475" t="s">
        <v>1729</v>
      </c>
      <c r="D553" s="474" t="s">
        <v>1592</v>
      </c>
      <c r="E553" s="674">
        <v>8</v>
      </c>
      <c r="F553" s="487">
        <v>12.05</v>
      </c>
      <c r="G553" s="649">
        <f t="shared" ref="G553:G555" si="83">ROUND(F553*E553,2)</f>
        <v>96.4</v>
      </c>
    </row>
    <row r="554" spans="1:7" outlineLevel="1">
      <c r="A554" s="504" t="s">
        <v>1725</v>
      </c>
      <c r="B554" s="504">
        <v>88265</v>
      </c>
      <c r="C554" s="492" t="s">
        <v>2397</v>
      </c>
      <c r="D554" s="504" t="s">
        <v>1592</v>
      </c>
      <c r="E554" s="679">
        <v>8</v>
      </c>
      <c r="F554" s="487">
        <v>18.48</v>
      </c>
      <c r="G554" s="649">
        <f t="shared" si="83"/>
        <v>147.84</v>
      </c>
    </row>
    <row r="555" spans="1:7" ht="30.6" outlineLevel="1">
      <c r="A555" s="474" t="s">
        <v>2036</v>
      </c>
      <c r="B555" s="485">
        <v>9769</v>
      </c>
      <c r="C555" s="505" t="s">
        <v>2398</v>
      </c>
      <c r="D555" s="485" t="s">
        <v>1536</v>
      </c>
      <c r="E555" s="676">
        <v>2</v>
      </c>
      <c r="F555" s="487">
        <v>4937.95</v>
      </c>
      <c r="G555" s="649">
        <f t="shared" si="83"/>
        <v>9875.9</v>
      </c>
    </row>
    <row r="557" spans="1:7" ht="38.4">
      <c r="A557" s="474" t="s">
        <v>1984</v>
      </c>
      <c r="B557" s="474" t="s">
        <v>2400</v>
      </c>
      <c r="C557" s="475" t="s">
        <v>2399</v>
      </c>
      <c r="D557" s="474" t="s">
        <v>1536</v>
      </c>
      <c r="E557" s="674" t="s">
        <v>122</v>
      </c>
      <c r="F557" s="487"/>
      <c r="G557" s="646">
        <f>SUM(G558:G564)</f>
        <v>1367</v>
      </c>
    </row>
    <row r="558" spans="1:7" outlineLevel="1">
      <c r="A558" s="474" t="s">
        <v>1725</v>
      </c>
      <c r="B558" s="474" t="s">
        <v>1726</v>
      </c>
      <c r="C558" s="475" t="s">
        <v>1727</v>
      </c>
      <c r="D558" s="474" t="s">
        <v>1592</v>
      </c>
      <c r="E558" s="674">
        <v>0.65100000000000002</v>
      </c>
      <c r="F558" s="487">
        <v>15.15</v>
      </c>
      <c r="G558" s="649">
        <f t="shared" ref="G558:G564" si="84">ROUND(F558*E558,2)</f>
        <v>9.86</v>
      </c>
    </row>
    <row r="559" spans="1:7" outlineLevel="1">
      <c r="A559" s="474" t="s">
        <v>1725</v>
      </c>
      <c r="B559" s="474" t="s">
        <v>1728</v>
      </c>
      <c r="C559" s="475" t="s">
        <v>1729</v>
      </c>
      <c r="D559" s="474" t="s">
        <v>1592</v>
      </c>
      <c r="E559" s="674">
        <v>0.32500000000000001</v>
      </c>
      <c r="F559" s="487">
        <v>12.05</v>
      </c>
      <c r="G559" s="649">
        <f t="shared" si="84"/>
        <v>3.92</v>
      </c>
    </row>
    <row r="560" spans="1:7" ht="19.2" outlineLevel="1">
      <c r="A560" s="474" t="s">
        <v>1730</v>
      </c>
      <c r="B560" s="474" t="s">
        <v>2021</v>
      </c>
      <c r="C560" s="475" t="s">
        <v>2022</v>
      </c>
      <c r="D560" s="474" t="s">
        <v>2023</v>
      </c>
      <c r="E560" s="674">
        <v>1.613</v>
      </c>
      <c r="F560" s="487">
        <v>30.64</v>
      </c>
      <c r="G560" s="649">
        <f t="shared" si="84"/>
        <v>49.42</v>
      </c>
    </row>
    <row r="561" spans="1:7" ht="19.2" outlineLevel="1">
      <c r="A561" s="474" t="s">
        <v>1730</v>
      </c>
      <c r="B561" s="474" t="s">
        <v>2024</v>
      </c>
      <c r="C561" s="475" t="s">
        <v>2025</v>
      </c>
      <c r="D561" s="474" t="s">
        <v>1536</v>
      </c>
      <c r="E561" s="674">
        <v>8.8000000000000007</v>
      </c>
      <c r="F561" s="487">
        <v>0.36</v>
      </c>
      <c r="G561" s="649">
        <f t="shared" si="84"/>
        <v>3.17</v>
      </c>
    </row>
    <row r="562" spans="1:7" ht="28.8" outlineLevel="1">
      <c r="A562" s="474" t="s">
        <v>1730</v>
      </c>
      <c r="B562" s="474" t="s">
        <v>2026</v>
      </c>
      <c r="C562" s="475" t="s">
        <v>2027</v>
      </c>
      <c r="D562" s="474" t="s">
        <v>1536</v>
      </c>
      <c r="E562" s="674">
        <v>1</v>
      </c>
      <c r="F562" s="487">
        <v>760.66</v>
      </c>
      <c r="G562" s="649">
        <f t="shared" si="84"/>
        <v>760.66</v>
      </c>
    </row>
    <row r="563" spans="1:7" outlineLevel="1">
      <c r="A563" s="474" t="s">
        <v>1730</v>
      </c>
      <c r="B563" s="474">
        <v>10492</v>
      </c>
      <c r="C563" s="475" t="s">
        <v>2392</v>
      </c>
      <c r="D563" s="474" t="s">
        <v>1535</v>
      </c>
      <c r="E563" s="674">
        <f>-0.87*2.1</f>
        <v>-1.827</v>
      </c>
      <c r="F563" s="487">
        <v>93.33</v>
      </c>
      <c r="G563" s="649">
        <f t="shared" si="84"/>
        <v>-170.51</v>
      </c>
    </row>
    <row r="564" spans="1:7" ht="19.2" outlineLevel="1">
      <c r="A564" s="474" t="s">
        <v>1730</v>
      </c>
      <c r="B564" s="474">
        <v>10496</v>
      </c>
      <c r="C564" s="475" t="s">
        <v>2393</v>
      </c>
      <c r="D564" s="474" t="s">
        <v>1535</v>
      </c>
      <c r="E564" s="674">
        <v>1.827</v>
      </c>
      <c r="F564" s="487">
        <v>388.88</v>
      </c>
      <c r="G564" s="649">
        <f t="shared" si="84"/>
        <v>710.48</v>
      </c>
    </row>
    <row r="566" spans="1:7" ht="38.4">
      <c r="A566" s="474" t="s">
        <v>1984</v>
      </c>
      <c r="B566" s="474" t="s">
        <v>2401</v>
      </c>
      <c r="C566" s="475" t="s">
        <v>2399</v>
      </c>
      <c r="D566" s="474" t="s">
        <v>1535</v>
      </c>
      <c r="E566" s="674" t="s">
        <v>122</v>
      </c>
      <c r="F566" s="487"/>
      <c r="G566" s="646">
        <f>SUM(G567)</f>
        <v>748.22</v>
      </c>
    </row>
    <row r="567" spans="1:7" ht="28.8" outlineLevel="1">
      <c r="A567" s="474" t="s">
        <v>1725</v>
      </c>
      <c r="B567" s="474" t="s">
        <v>2400</v>
      </c>
      <c r="C567" s="475" t="s">
        <v>2402</v>
      </c>
      <c r="D567" s="474" t="s">
        <v>1536</v>
      </c>
      <c r="E567" s="674">
        <v>0.54734499999999997</v>
      </c>
      <c r="F567" s="487">
        <f>G557</f>
        <v>1367</v>
      </c>
      <c r="G567" s="649">
        <f t="shared" ref="G567" si="85">ROUND(F567*E567,2)</f>
        <v>748.22</v>
      </c>
    </row>
    <row r="569" spans="1:7" ht="28.8">
      <c r="A569" s="474" t="s">
        <v>1984</v>
      </c>
      <c r="B569" s="474" t="s">
        <v>2403</v>
      </c>
      <c r="C569" s="475" t="s">
        <v>2404</v>
      </c>
      <c r="D569" s="474" t="s">
        <v>1536</v>
      </c>
      <c r="E569" s="674" t="s">
        <v>122</v>
      </c>
      <c r="F569" s="487"/>
      <c r="G569" s="646">
        <f>SUM(G570:G574)</f>
        <v>4868.7300000000005</v>
      </c>
    </row>
    <row r="570" spans="1:7" outlineLevel="1">
      <c r="A570" s="474" t="s">
        <v>1725</v>
      </c>
      <c r="B570" s="474" t="s">
        <v>2197</v>
      </c>
      <c r="C570" s="475" t="s">
        <v>2198</v>
      </c>
      <c r="D570" s="474" t="s">
        <v>1592</v>
      </c>
      <c r="E570" s="674">
        <v>0.6</v>
      </c>
      <c r="F570" s="647">
        <v>13.67</v>
      </c>
      <c r="G570" s="649">
        <f t="shared" ref="G570:G574" si="86">ROUND(F570*E570,2)</f>
        <v>8.1999999999999993</v>
      </c>
    </row>
    <row r="571" spans="1:7" ht="38.4" outlineLevel="1">
      <c r="A571" s="474" t="s">
        <v>1730</v>
      </c>
      <c r="B571" s="474" t="s">
        <v>2199</v>
      </c>
      <c r="C571" s="475" t="s">
        <v>2200</v>
      </c>
      <c r="D571" s="474" t="s">
        <v>2201</v>
      </c>
      <c r="E571" s="674">
        <v>2</v>
      </c>
      <c r="F571" s="647">
        <v>295.83999999999997</v>
      </c>
      <c r="G571" s="649">
        <f t="shared" si="86"/>
        <v>591.67999999999995</v>
      </c>
    </row>
    <row r="572" spans="1:7" ht="19.2" outlineLevel="1">
      <c r="A572" s="474" t="s">
        <v>1730</v>
      </c>
      <c r="B572" s="474">
        <v>34391</v>
      </c>
      <c r="C572" s="475" t="s">
        <v>2040</v>
      </c>
      <c r="D572" s="474" t="s">
        <v>1535</v>
      </c>
      <c r="E572" s="674">
        <v>5.2</v>
      </c>
      <c r="F572" s="647">
        <v>446.74</v>
      </c>
      <c r="G572" s="649">
        <f t="shared" si="86"/>
        <v>2323.0500000000002</v>
      </c>
    </row>
    <row r="573" spans="1:7" outlineLevel="1">
      <c r="A573" s="474" t="s">
        <v>1730</v>
      </c>
      <c r="B573" s="474" t="s">
        <v>2202</v>
      </c>
      <c r="C573" s="475" t="s">
        <v>2203</v>
      </c>
      <c r="D573" s="474" t="s">
        <v>1536</v>
      </c>
      <c r="E573" s="674">
        <v>2</v>
      </c>
      <c r="F573" s="647">
        <v>882.84</v>
      </c>
      <c r="G573" s="649">
        <f t="shared" si="86"/>
        <v>1765.68</v>
      </c>
    </row>
    <row r="574" spans="1:7" ht="28.8" outlineLevel="1">
      <c r="A574" s="474" t="s">
        <v>1730</v>
      </c>
      <c r="B574" s="474">
        <v>38168</v>
      </c>
      <c r="C574" s="475" t="s">
        <v>2206</v>
      </c>
      <c r="D574" s="474" t="s">
        <v>1536</v>
      </c>
      <c r="E574" s="674">
        <v>2</v>
      </c>
      <c r="F574" s="647">
        <v>90.06</v>
      </c>
      <c r="G574" s="649">
        <f t="shared" si="86"/>
        <v>180.12</v>
      </c>
    </row>
    <row r="576" spans="1:7" ht="28.8">
      <c r="A576" s="474" t="s">
        <v>1984</v>
      </c>
      <c r="B576" s="474" t="s">
        <v>2405</v>
      </c>
      <c r="C576" s="475" t="s">
        <v>2406</v>
      </c>
      <c r="D576" s="474" t="s">
        <v>1536</v>
      </c>
      <c r="E576" s="674" t="s">
        <v>122</v>
      </c>
      <c r="F576" s="487"/>
      <c r="G576" s="646">
        <f>SUM(G577:G581)</f>
        <v>2210.9899999999998</v>
      </c>
    </row>
    <row r="577" spans="1:7" outlineLevel="1">
      <c r="A577" s="474" t="s">
        <v>1725</v>
      </c>
      <c r="B577" s="474" t="s">
        <v>2197</v>
      </c>
      <c r="C577" s="475" t="s">
        <v>2198</v>
      </c>
      <c r="D577" s="474" t="s">
        <v>1592</v>
      </c>
      <c r="E577" s="674">
        <v>0.3</v>
      </c>
      <c r="F577" s="647">
        <v>13.67</v>
      </c>
      <c r="G577" s="649">
        <f t="shared" ref="G577:G581" si="87">ROUND(F577*E577,2)</f>
        <v>4.0999999999999996</v>
      </c>
    </row>
    <row r="578" spans="1:7" ht="38.4" outlineLevel="1">
      <c r="A578" s="474" t="s">
        <v>1730</v>
      </c>
      <c r="B578" s="474" t="s">
        <v>2199</v>
      </c>
      <c r="C578" s="475" t="s">
        <v>2200</v>
      </c>
      <c r="D578" s="474" t="s">
        <v>2201</v>
      </c>
      <c r="E578" s="674">
        <v>1</v>
      </c>
      <c r="F578" s="647">
        <v>295.83999999999997</v>
      </c>
      <c r="G578" s="649">
        <f t="shared" si="87"/>
        <v>295.83999999999997</v>
      </c>
    </row>
    <row r="579" spans="1:7" ht="19.2" outlineLevel="1">
      <c r="A579" s="474" t="s">
        <v>1730</v>
      </c>
      <c r="B579" s="474">
        <v>34391</v>
      </c>
      <c r="C579" s="475" t="s">
        <v>2040</v>
      </c>
      <c r="D579" s="474" t="s">
        <v>1535</v>
      </c>
      <c r="E579" s="674">
        <v>2.1</v>
      </c>
      <c r="F579" s="647">
        <v>446.74</v>
      </c>
      <c r="G579" s="649">
        <f t="shared" si="87"/>
        <v>938.15</v>
      </c>
    </row>
    <row r="580" spans="1:7" outlineLevel="1">
      <c r="A580" s="474" t="s">
        <v>1730</v>
      </c>
      <c r="B580" s="474" t="s">
        <v>2202</v>
      </c>
      <c r="C580" s="475" t="s">
        <v>2203</v>
      </c>
      <c r="D580" s="474" t="s">
        <v>1536</v>
      </c>
      <c r="E580" s="674">
        <v>1</v>
      </c>
      <c r="F580" s="647">
        <v>882.84</v>
      </c>
      <c r="G580" s="649">
        <f t="shared" si="87"/>
        <v>882.84</v>
      </c>
    </row>
    <row r="581" spans="1:7" ht="28.8" outlineLevel="1">
      <c r="A581" s="474" t="s">
        <v>1730</v>
      </c>
      <c r="B581" s="474">
        <v>38168</v>
      </c>
      <c r="C581" s="475" t="s">
        <v>2206</v>
      </c>
      <c r="D581" s="474" t="s">
        <v>1536</v>
      </c>
      <c r="E581" s="674">
        <v>1</v>
      </c>
      <c r="F581" s="647">
        <v>90.06</v>
      </c>
      <c r="G581" s="649">
        <f t="shared" si="87"/>
        <v>90.06</v>
      </c>
    </row>
    <row r="583" spans="1:7" ht="19.2">
      <c r="A583" s="474" t="s">
        <v>1984</v>
      </c>
      <c r="B583" s="474" t="s">
        <v>2416</v>
      </c>
      <c r="C583" s="475" t="s">
        <v>2414</v>
      </c>
      <c r="D583" s="474" t="s">
        <v>1535</v>
      </c>
      <c r="E583" s="674" t="s">
        <v>122</v>
      </c>
      <c r="F583" s="487"/>
      <c r="G583" s="647">
        <f>SUM(G584:G589)</f>
        <v>560.63</v>
      </c>
    </row>
    <row r="584" spans="1:7" outlineLevel="1">
      <c r="A584" s="474" t="s">
        <v>1725</v>
      </c>
      <c r="B584" s="474" t="s">
        <v>1726</v>
      </c>
      <c r="C584" s="475" t="s">
        <v>1727</v>
      </c>
      <c r="D584" s="474" t="s">
        <v>1592</v>
      </c>
      <c r="E584" s="674">
        <v>0.3</v>
      </c>
      <c r="F584" s="481">
        <v>15.15</v>
      </c>
      <c r="G584" s="649">
        <f t="shared" ref="G584:G589" si="88">ROUND(F584*E584,2)</f>
        <v>4.55</v>
      </c>
    </row>
    <row r="585" spans="1:7" outlineLevel="1">
      <c r="A585" s="474" t="s">
        <v>1725</v>
      </c>
      <c r="B585" s="474" t="s">
        <v>2353</v>
      </c>
      <c r="C585" s="475" t="s">
        <v>2354</v>
      </c>
      <c r="D585" s="474" t="s">
        <v>1592</v>
      </c>
      <c r="E585" s="674">
        <v>0.8</v>
      </c>
      <c r="F585" s="481">
        <v>15.15</v>
      </c>
      <c r="G585" s="649">
        <f t="shared" si="88"/>
        <v>12.12</v>
      </c>
    </row>
    <row r="586" spans="1:7" outlineLevel="1">
      <c r="A586" s="474" t="s">
        <v>1725</v>
      </c>
      <c r="B586" s="474" t="s">
        <v>1728</v>
      </c>
      <c r="C586" s="475" t="s">
        <v>1729</v>
      </c>
      <c r="D586" s="474" t="s">
        <v>1592</v>
      </c>
      <c r="E586" s="674">
        <v>1.2</v>
      </c>
      <c r="F586" s="481">
        <v>12.05</v>
      </c>
      <c r="G586" s="649">
        <f t="shared" si="88"/>
        <v>14.46</v>
      </c>
    </row>
    <row r="587" spans="1:7" ht="19.2" outlineLevel="1">
      <c r="A587" s="474" t="s">
        <v>1725</v>
      </c>
      <c r="B587" s="474" t="s">
        <v>2387</v>
      </c>
      <c r="C587" s="475" t="s">
        <v>2388</v>
      </c>
      <c r="D587" s="474" t="s">
        <v>646</v>
      </c>
      <c r="E587" s="674">
        <v>6.0000000000000001E-3</v>
      </c>
      <c r="F587" s="481">
        <v>263.8</v>
      </c>
      <c r="G587" s="649">
        <f t="shared" si="88"/>
        <v>1.58</v>
      </c>
    </row>
    <row r="588" spans="1:7" outlineLevel="1">
      <c r="A588" s="474" t="s">
        <v>1730</v>
      </c>
      <c r="B588" s="474" t="s">
        <v>2412</v>
      </c>
      <c r="C588" s="475" t="s">
        <v>2413</v>
      </c>
      <c r="D588" s="474" t="s">
        <v>1535</v>
      </c>
      <c r="E588" s="674">
        <v>1</v>
      </c>
      <c r="F588" s="481">
        <v>315.20999999999998</v>
      </c>
      <c r="G588" s="649">
        <f t="shared" si="88"/>
        <v>315.20999999999998</v>
      </c>
    </row>
    <row r="589" spans="1:7" ht="19.2" outlineLevel="1">
      <c r="A589" s="474" t="s">
        <v>1725</v>
      </c>
      <c r="B589" s="474">
        <v>72118</v>
      </c>
      <c r="C589" s="475" t="s">
        <v>2415</v>
      </c>
      <c r="D589" s="474" t="s">
        <v>1535</v>
      </c>
      <c r="E589" s="674">
        <v>1</v>
      </c>
      <c r="F589" s="487">
        <v>212.71</v>
      </c>
      <c r="G589" s="649">
        <f t="shared" si="88"/>
        <v>212.71</v>
      </c>
    </row>
    <row r="591" spans="1:7" ht="57.6">
      <c r="A591" s="474" t="s">
        <v>1984</v>
      </c>
      <c r="B591" s="474" t="s">
        <v>2423</v>
      </c>
      <c r="C591" s="475" t="s">
        <v>2424</v>
      </c>
      <c r="D591" s="474" t="s">
        <v>217</v>
      </c>
      <c r="E591" s="674" t="s">
        <v>122</v>
      </c>
      <c r="F591" s="487"/>
      <c r="G591" s="647">
        <f>SUM(G592:G595)</f>
        <v>313.34999999999997</v>
      </c>
    </row>
    <row r="592" spans="1:7" outlineLevel="1">
      <c r="A592" s="474" t="s">
        <v>1982</v>
      </c>
      <c r="B592" s="474" t="s">
        <v>2425</v>
      </c>
      <c r="C592" s="475" t="s">
        <v>2429</v>
      </c>
      <c r="D592" s="474" t="s">
        <v>1536</v>
      </c>
      <c r="E592" s="674">
        <v>2.8</v>
      </c>
      <c r="F592" s="481">
        <v>3.5</v>
      </c>
      <c r="G592" s="649">
        <f t="shared" ref="G592:G595" si="89">ROUND(F592*E592,2)</f>
        <v>9.8000000000000007</v>
      </c>
    </row>
    <row r="593" spans="1:8" ht="28.8" outlineLevel="1">
      <c r="A593" s="474" t="s">
        <v>1982</v>
      </c>
      <c r="B593" s="474" t="s">
        <v>2426</v>
      </c>
      <c r="C593" s="475" t="s">
        <v>2430</v>
      </c>
      <c r="D593" s="474" t="s">
        <v>1536</v>
      </c>
      <c r="E593" s="674">
        <v>0.4</v>
      </c>
      <c r="F593" s="481">
        <v>562.83000000000004</v>
      </c>
      <c r="G593" s="649">
        <f t="shared" si="89"/>
        <v>225.13</v>
      </c>
    </row>
    <row r="594" spans="1:8" ht="19.2" outlineLevel="1">
      <c r="A594" s="474" t="s">
        <v>1982</v>
      </c>
      <c r="B594" s="474" t="s">
        <v>2427</v>
      </c>
      <c r="C594" s="475" t="s">
        <v>2431</v>
      </c>
      <c r="D594" s="474" t="s">
        <v>1536</v>
      </c>
      <c r="E594" s="674">
        <v>0.4</v>
      </c>
      <c r="F594" s="481">
        <v>104.92</v>
      </c>
      <c r="G594" s="649">
        <f t="shared" si="89"/>
        <v>41.97</v>
      </c>
    </row>
    <row r="595" spans="1:8" outlineLevel="1">
      <c r="A595" s="474" t="s">
        <v>1982</v>
      </c>
      <c r="B595" s="474" t="s">
        <v>2428</v>
      </c>
      <c r="C595" s="475" t="s">
        <v>2432</v>
      </c>
      <c r="D595" s="474" t="s">
        <v>1535</v>
      </c>
      <c r="E595" s="674">
        <v>2.4300000000000002</v>
      </c>
      <c r="F595" s="481">
        <v>15</v>
      </c>
      <c r="G595" s="649">
        <f t="shared" si="89"/>
        <v>36.450000000000003</v>
      </c>
    </row>
    <row r="597" spans="1:8" ht="10.199999999999999" customHeight="1">
      <c r="A597" s="474" t="s">
        <v>2433</v>
      </c>
      <c r="B597" s="474" t="s">
        <v>2434</v>
      </c>
      <c r="C597" s="512" t="s">
        <v>1534</v>
      </c>
      <c r="D597" s="513" t="s">
        <v>1535</v>
      </c>
      <c r="E597" s="680"/>
      <c r="F597" s="682"/>
      <c r="G597" s="655">
        <f>SUM(G598:G603)</f>
        <v>0.26</v>
      </c>
      <c r="H597" s="513"/>
    </row>
    <row r="598" spans="1:8" outlineLevel="1">
      <c r="A598" s="474" t="s">
        <v>605</v>
      </c>
      <c r="B598" s="474">
        <v>88253</v>
      </c>
      <c r="C598" s="511" t="s">
        <v>2440</v>
      </c>
      <c r="D598" s="474" t="s">
        <v>678</v>
      </c>
      <c r="E598" s="674">
        <v>5.0000000000000001E-3</v>
      </c>
      <c r="F598" s="487">
        <v>22.11</v>
      </c>
      <c r="G598" s="649">
        <f t="shared" ref="G598:G603" si="90">ROUND(F598*E598,2)</f>
        <v>0.11</v>
      </c>
    </row>
    <row r="599" spans="1:8" outlineLevel="1">
      <c r="A599" s="474" t="s">
        <v>605</v>
      </c>
      <c r="B599" s="474">
        <v>90773</v>
      </c>
      <c r="C599" s="511" t="s">
        <v>2435</v>
      </c>
      <c r="D599" s="474" t="s">
        <v>678</v>
      </c>
      <c r="E599" s="674">
        <v>1.1999999999999999E-3</v>
      </c>
      <c r="F599" s="487">
        <v>15.4</v>
      </c>
      <c r="G599" s="649">
        <f t="shared" si="90"/>
        <v>0.02</v>
      </c>
    </row>
    <row r="600" spans="1:8" outlineLevel="1">
      <c r="A600" s="474" t="s">
        <v>605</v>
      </c>
      <c r="B600" s="474">
        <v>90775</v>
      </c>
      <c r="C600" s="511" t="s">
        <v>2436</v>
      </c>
      <c r="D600" s="474" t="s">
        <v>678</v>
      </c>
      <c r="E600" s="674">
        <v>2.3999999999999998E-3</v>
      </c>
      <c r="F600" s="487">
        <v>23.08</v>
      </c>
      <c r="G600" s="649">
        <f t="shared" si="90"/>
        <v>0.06</v>
      </c>
    </row>
    <row r="601" spans="1:8" outlineLevel="1">
      <c r="A601" s="474" t="s">
        <v>605</v>
      </c>
      <c r="B601" s="474">
        <v>90781</v>
      </c>
      <c r="C601" s="511" t="s">
        <v>2437</v>
      </c>
      <c r="D601" s="474" t="s">
        <v>678</v>
      </c>
      <c r="E601" s="674">
        <v>2.5000000000000001E-3</v>
      </c>
      <c r="F601" s="487">
        <v>26.5</v>
      </c>
      <c r="G601" s="649">
        <f t="shared" si="90"/>
        <v>7.0000000000000007E-2</v>
      </c>
    </row>
    <row r="602" spans="1:8" outlineLevel="1">
      <c r="A602" s="484" t="s">
        <v>605</v>
      </c>
      <c r="B602" s="474">
        <v>73493</v>
      </c>
      <c r="C602" s="511" t="s">
        <v>2438</v>
      </c>
      <c r="D602" s="503" t="s">
        <v>678</v>
      </c>
      <c r="E602" s="674">
        <v>4.0000000000000002E-4</v>
      </c>
      <c r="F602" s="487">
        <v>2.25</v>
      </c>
      <c r="G602" s="649">
        <f t="shared" si="90"/>
        <v>0</v>
      </c>
    </row>
    <row r="603" spans="1:8" outlineLevel="1">
      <c r="A603" s="484" t="s">
        <v>605</v>
      </c>
      <c r="B603" s="474">
        <v>73562</v>
      </c>
      <c r="C603" s="511" t="s">
        <v>2439</v>
      </c>
      <c r="D603" s="503" t="s">
        <v>678</v>
      </c>
      <c r="E603" s="674">
        <v>2.0999999999999999E-3</v>
      </c>
      <c r="F603" s="487">
        <v>0.74</v>
      </c>
      <c r="G603" s="649">
        <f t="shared" si="90"/>
        <v>0</v>
      </c>
    </row>
    <row r="605" spans="1:8">
      <c r="A605" s="474" t="s">
        <v>2456</v>
      </c>
      <c r="B605" s="474" t="s">
        <v>2444</v>
      </c>
      <c r="C605" s="474" t="s">
        <v>1554</v>
      </c>
      <c r="D605" s="474" t="s">
        <v>1536</v>
      </c>
      <c r="E605" s="674"/>
      <c r="F605" s="487"/>
      <c r="G605" s="647">
        <f>SUM(G606:G620)</f>
        <v>2249.9200000000005</v>
      </c>
    </row>
    <row r="606" spans="1:8" outlineLevel="1">
      <c r="A606" s="484" t="s">
        <v>605</v>
      </c>
      <c r="B606" s="683">
        <v>88262</v>
      </c>
      <c r="C606" s="511" t="s">
        <v>2445</v>
      </c>
      <c r="D606" s="474" t="s">
        <v>678</v>
      </c>
      <c r="E606" s="674">
        <v>8</v>
      </c>
      <c r="F606" s="487">
        <v>15.15</v>
      </c>
      <c r="G606" s="649">
        <f t="shared" ref="G606:G620" si="91">ROUND(F606*E606,2)</f>
        <v>121.2</v>
      </c>
    </row>
    <row r="607" spans="1:8" outlineLevel="1">
      <c r="A607" s="484" t="s">
        <v>605</v>
      </c>
      <c r="B607" s="683">
        <v>88316</v>
      </c>
      <c r="C607" s="511" t="s">
        <v>1729</v>
      </c>
      <c r="D607" s="474" t="s">
        <v>678</v>
      </c>
      <c r="E607" s="674">
        <v>8.1199999999999992</v>
      </c>
      <c r="F607" s="487">
        <v>12.05</v>
      </c>
      <c r="G607" s="649">
        <f t="shared" si="91"/>
        <v>97.85</v>
      </c>
    </row>
    <row r="608" spans="1:8" outlineLevel="1">
      <c r="A608" s="484" t="s">
        <v>605</v>
      </c>
      <c r="B608" s="683">
        <v>88309</v>
      </c>
      <c r="C608" s="511" t="s">
        <v>1727</v>
      </c>
      <c r="D608" s="474" t="s">
        <v>678</v>
      </c>
      <c r="E608" s="674">
        <v>8</v>
      </c>
      <c r="F608" s="487">
        <v>15.15</v>
      </c>
      <c r="G608" s="649">
        <f t="shared" si="91"/>
        <v>121.2</v>
      </c>
    </row>
    <row r="609" spans="1:7" outlineLevel="1">
      <c r="A609" s="484" t="s">
        <v>605</v>
      </c>
      <c r="B609" s="683">
        <v>88267</v>
      </c>
      <c r="C609" s="511" t="s">
        <v>2137</v>
      </c>
      <c r="D609" s="474" t="s">
        <v>678</v>
      </c>
      <c r="E609" s="674">
        <v>8</v>
      </c>
      <c r="F609" s="487">
        <v>15.15</v>
      </c>
      <c r="G609" s="649">
        <f t="shared" si="91"/>
        <v>121.2</v>
      </c>
    </row>
    <row r="610" spans="1:7" outlineLevel="1">
      <c r="A610" s="484" t="s">
        <v>605</v>
      </c>
      <c r="B610" s="683">
        <v>88248</v>
      </c>
      <c r="C610" s="511" t="s">
        <v>2446</v>
      </c>
      <c r="D610" s="503" t="s">
        <v>678</v>
      </c>
      <c r="E610" s="674">
        <v>4</v>
      </c>
      <c r="F610" s="487">
        <v>12.48</v>
      </c>
      <c r="G610" s="649">
        <f t="shared" si="91"/>
        <v>49.92</v>
      </c>
    </row>
    <row r="611" spans="1:7" outlineLevel="1">
      <c r="A611" s="484" t="s">
        <v>605</v>
      </c>
      <c r="B611" s="684">
        <v>88503</v>
      </c>
      <c r="C611" s="514" t="s">
        <v>2447</v>
      </c>
      <c r="D611" s="503" t="s">
        <v>1536</v>
      </c>
      <c r="E611" s="675">
        <v>1</v>
      </c>
      <c r="F611" s="481">
        <v>668.41</v>
      </c>
      <c r="G611" s="649">
        <f t="shared" si="91"/>
        <v>668.41</v>
      </c>
    </row>
    <row r="612" spans="1:7" outlineLevel="1">
      <c r="A612" s="484" t="s">
        <v>1730</v>
      </c>
      <c r="B612" s="684">
        <v>7258</v>
      </c>
      <c r="C612" s="514" t="s">
        <v>2448</v>
      </c>
      <c r="D612" s="503" t="s">
        <v>1536</v>
      </c>
      <c r="E612" s="675">
        <v>30</v>
      </c>
      <c r="F612" s="481">
        <v>0.28000000000000003</v>
      </c>
      <c r="G612" s="649">
        <f t="shared" si="91"/>
        <v>8.4</v>
      </c>
    </row>
    <row r="613" spans="1:7" outlineLevel="1">
      <c r="A613" s="484" t="s">
        <v>1730</v>
      </c>
      <c r="B613" s="684">
        <v>4491</v>
      </c>
      <c r="C613" s="514" t="s">
        <v>2449</v>
      </c>
      <c r="D613" s="503" t="s">
        <v>217</v>
      </c>
      <c r="E613" s="675">
        <v>25</v>
      </c>
      <c r="F613" s="481">
        <v>8.0299999999999994</v>
      </c>
      <c r="G613" s="649">
        <f t="shared" si="91"/>
        <v>200.75</v>
      </c>
    </row>
    <row r="614" spans="1:7" outlineLevel="1">
      <c r="A614" s="484" t="s">
        <v>1730</v>
      </c>
      <c r="B614" s="684">
        <v>21009</v>
      </c>
      <c r="C614" s="514" t="s">
        <v>2450</v>
      </c>
      <c r="D614" s="503" t="s">
        <v>217</v>
      </c>
      <c r="E614" s="675">
        <v>30</v>
      </c>
      <c r="F614" s="481">
        <v>9.8000000000000007</v>
      </c>
      <c r="G614" s="649">
        <f t="shared" si="91"/>
        <v>294</v>
      </c>
    </row>
    <row r="615" spans="1:7" outlineLevel="1">
      <c r="A615" s="484" t="s">
        <v>1730</v>
      </c>
      <c r="B615" s="684">
        <v>6212</v>
      </c>
      <c r="C615" s="514" t="s">
        <v>2451</v>
      </c>
      <c r="D615" s="503" t="s">
        <v>217</v>
      </c>
      <c r="E615" s="675">
        <v>8</v>
      </c>
      <c r="F615" s="481">
        <v>10.210000000000001</v>
      </c>
      <c r="G615" s="649">
        <f t="shared" si="91"/>
        <v>81.680000000000007</v>
      </c>
    </row>
    <row r="616" spans="1:7" outlineLevel="1">
      <c r="A616" s="484" t="s">
        <v>1730</v>
      </c>
      <c r="B616" s="684">
        <v>11784</v>
      </c>
      <c r="C616" s="514" t="s">
        <v>2452</v>
      </c>
      <c r="D616" s="503" t="s">
        <v>1536</v>
      </c>
      <c r="E616" s="675">
        <v>1</v>
      </c>
      <c r="F616" s="481">
        <v>350.57</v>
      </c>
      <c r="G616" s="649">
        <f t="shared" si="91"/>
        <v>350.57</v>
      </c>
    </row>
    <row r="617" spans="1:7" outlineLevel="1">
      <c r="A617" s="484" t="s">
        <v>605</v>
      </c>
      <c r="B617" s="684" t="s">
        <v>2457</v>
      </c>
      <c r="C617" s="514" t="s">
        <v>2453</v>
      </c>
      <c r="D617" s="503" t="s">
        <v>1536</v>
      </c>
      <c r="E617" s="675">
        <v>1</v>
      </c>
      <c r="F617" s="481">
        <v>86.25</v>
      </c>
      <c r="G617" s="649">
        <f t="shared" si="91"/>
        <v>86.25</v>
      </c>
    </row>
    <row r="618" spans="1:7" outlineLevel="1">
      <c r="A618" s="484" t="s">
        <v>1730</v>
      </c>
      <c r="B618" s="684">
        <v>370</v>
      </c>
      <c r="C618" s="514" t="s">
        <v>2454</v>
      </c>
      <c r="D618" s="503" t="s">
        <v>646</v>
      </c>
      <c r="E618" s="675">
        <v>1.89E-2</v>
      </c>
      <c r="F618" s="481">
        <v>22.03</v>
      </c>
      <c r="G618" s="649">
        <f t="shared" si="91"/>
        <v>0.42</v>
      </c>
    </row>
    <row r="619" spans="1:7" outlineLevel="1">
      <c r="A619" s="484" t="s">
        <v>1730</v>
      </c>
      <c r="B619" s="684">
        <v>9836</v>
      </c>
      <c r="C619" s="514" t="s">
        <v>2458</v>
      </c>
      <c r="D619" s="503" t="s">
        <v>217</v>
      </c>
      <c r="E619" s="675">
        <v>5</v>
      </c>
      <c r="F619" s="481">
        <v>7.7</v>
      </c>
      <c r="G619" s="649">
        <f t="shared" si="91"/>
        <v>38.5</v>
      </c>
    </row>
    <row r="620" spans="1:7" outlineLevel="1">
      <c r="A620" s="484" t="s">
        <v>1730</v>
      </c>
      <c r="B620" s="684">
        <v>20247</v>
      </c>
      <c r="C620" s="514" t="s">
        <v>2455</v>
      </c>
      <c r="D620" s="503" t="s">
        <v>1594</v>
      </c>
      <c r="E620" s="675">
        <v>1</v>
      </c>
      <c r="F620" s="481">
        <v>9.57</v>
      </c>
      <c r="G620" s="649">
        <f t="shared" si="91"/>
        <v>9.57</v>
      </c>
    </row>
    <row r="622" spans="1:7" ht="28.8">
      <c r="A622" s="474" t="s">
        <v>2793</v>
      </c>
      <c r="B622" s="474" t="s">
        <v>2682</v>
      </c>
      <c r="C622" s="475" t="s">
        <v>1512</v>
      </c>
      <c r="D622" s="474" t="s">
        <v>217</v>
      </c>
      <c r="E622" s="674" t="s">
        <v>122</v>
      </c>
      <c r="F622" s="487"/>
      <c r="G622" s="647">
        <f>SUM(G623:G631)</f>
        <v>129.49</v>
      </c>
    </row>
    <row r="623" spans="1:7" outlineLevel="1">
      <c r="A623" s="474" t="s">
        <v>1725</v>
      </c>
      <c r="B623" s="474">
        <v>93382</v>
      </c>
      <c r="C623" s="475" t="s">
        <v>2794</v>
      </c>
      <c r="D623" s="474" t="s">
        <v>646</v>
      </c>
      <c r="E623" s="674">
        <v>0.05</v>
      </c>
      <c r="F623" s="481">
        <v>17.29</v>
      </c>
      <c r="G623" s="649">
        <f t="shared" ref="G623:G631" si="92">ROUND(F623*E623,2)</f>
        <v>0.86</v>
      </c>
    </row>
    <row r="624" spans="1:7" outlineLevel="1">
      <c r="A624" s="474" t="s">
        <v>1725</v>
      </c>
      <c r="B624" s="474" t="s">
        <v>2802</v>
      </c>
      <c r="C624" s="475" t="s">
        <v>2795</v>
      </c>
      <c r="D624" s="474" t="s">
        <v>646</v>
      </c>
      <c r="E624" s="674">
        <v>0.02</v>
      </c>
      <c r="F624" s="481">
        <v>347.25</v>
      </c>
      <c r="G624" s="649">
        <f t="shared" si="92"/>
        <v>6.95</v>
      </c>
    </row>
    <row r="625" spans="1:7" ht="19.2" outlineLevel="1">
      <c r="A625" s="474" t="s">
        <v>1725</v>
      </c>
      <c r="B625" s="474">
        <v>92414</v>
      </c>
      <c r="C625" s="475" t="s">
        <v>2796</v>
      </c>
      <c r="D625" s="474" t="s">
        <v>1535</v>
      </c>
      <c r="E625" s="674">
        <v>0.2</v>
      </c>
      <c r="F625" s="481">
        <v>74.47</v>
      </c>
      <c r="G625" s="649">
        <f t="shared" si="92"/>
        <v>14.89</v>
      </c>
    </row>
    <row r="626" spans="1:7" ht="28.8" outlineLevel="1">
      <c r="A626" s="474" t="s">
        <v>1725</v>
      </c>
      <c r="B626" s="474">
        <v>92770</v>
      </c>
      <c r="C626" s="475" t="s">
        <v>2797</v>
      </c>
      <c r="D626" s="474" t="s">
        <v>1594</v>
      </c>
      <c r="E626" s="674">
        <v>1.6</v>
      </c>
      <c r="F626" s="481">
        <v>5.86</v>
      </c>
      <c r="G626" s="649">
        <f t="shared" si="92"/>
        <v>9.3800000000000008</v>
      </c>
    </row>
    <row r="627" spans="1:7" outlineLevel="1">
      <c r="A627" s="474" t="s">
        <v>1725</v>
      </c>
      <c r="B627" s="474" t="s">
        <v>1968</v>
      </c>
      <c r="C627" s="475" t="s">
        <v>2798</v>
      </c>
      <c r="D627" s="474" t="s">
        <v>1535</v>
      </c>
      <c r="E627" s="674">
        <v>1</v>
      </c>
      <c r="F627" s="481">
        <v>42.46</v>
      </c>
      <c r="G627" s="649">
        <f t="shared" si="92"/>
        <v>42.46</v>
      </c>
    </row>
    <row r="628" spans="1:7" outlineLevel="1">
      <c r="A628" s="474" t="s">
        <v>1725</v>
      </c>
      <c r="B628" s="484">
        <v>87794</v>
      </c>
      <c r="C628" s="514" t="s">
        <v>2799</v>
      </c>
      <c r="D628" s="635" t="s">
        <v>1535</v>
      </c>
      <c r="E628" s="675">
        <v>0.8</v>
      </c>
      <c r="F628" s="481">
        <v>22.46</v>
      </c>
      <c r="G628" s="649">
        <f t="shared" si="92"/>
        <v>17.97</v>
      </c>
    </row>
    <row r="629" spans="1:7" outlineLevel="1">
      <c r="A629" s="474" t="s">
        <v>1725</v>
      </c>
      <c r="B629" s="484">
        <v>87879</v>
      </c>
      <c r="C629" s="484" t="s">
        <v>2800</v>
      </c>
      <c r="D629" s="635" t="s">
        <v>1535</v>
      </c>
      <c r="E629" s="675">
        <v>0.9</v>
      </c>
      <c r="F629" s="481">
        <v>2.5299999999999998</v>
      </c>
      <c r="G629" s="649">
        <f t="shared" si="92"/>
        <v>2.2799999999999998</v>
      </c>
    </row>
    <row r="630" spans="1:7" outlineLevel="1">
      <c r="A630" s="474" t="s">
        <v>1725</v>
      </c>
      <c r="B630" s="484">
        <v>88489</v>
      </c>
      <c r="C630" s="484" t="s">
        <v>2801</v>
      </c>
      <c r="D630" s="635" t="s">
        <v>1535</v>
      </c>
      <c r="E630" s="675">
        <v>2</v>
      </c>
      <c r="F630" s="481">
        <v>9.39</v>
      </c>
      <c r="G630" s="649">
        <f t="shared" si="92"/>
        <v>18.78</v>
      </c>
    </row>
    <row r="631" spans="1:7" outlineLevel="1">
      <c r="A631" s="474" t="s">
        <v>1725</v>
      </c>
      <c r="B631" s="484">
        <v>88497</v>
      </c>
      <c r="C631" s="484" t="s">
        <v>881</v>
      </c>
      <c r="D631" s="635" t="s">
        <v>1535</v>
      </c>
      <c r="E631" s="675">
        <v>2</v>
      </c>
      <c r="F631" s="481">
        <v>7.96</v>
      </c>
      <c r="G631" s="649">
        <f t="shared" si="92"/>
        <v>15.92</v>
      </c>
    </row>
  </sheetData>
  <mergeCells count="1">
    <mergeCell ref="A1:G1"/>
  </mergeCells>
  <conditionalFormatting sqref="A22:E26 D58:E61 A121:E132 A192:E195 A47:E50 A58:B61 D63:E63 A63:B63 A114:E118 A477:B477 D477:E477 A483:B483 D483:E483 A500:E500 A553:E553 A502:E502 A433:E433 A245:E247 A180:E181 A171:E172 A104:B107 D104:E107 A315:E317">
    <cfRule type="expression" dxfId="579" priority="661" stopIfTrue="1">
      <formula>AND($A22&lt;&gt;"COMPOSICAO",$A22&lt;&gt;"INSUMO",$A22&lt;&gt;"")</formula>
    </cfRule>
    <cfRule type="expression" dxfId="578" priority="662" stopIfTrue="1">
      <formula>AND(OR($A22="COMPOSICAO",$A22="INSUMO",$A22&lt;&gt;""),$A22&lt;&gt;"")</formula>
    </cfRule>
  </conditionalFormatting>
  <conditionalFormatting sqref="F22:G22">
    <cfRule type="expression" dxfId="577" priority="659" stopIfTrue="1">
      <formula>AND($A22&lt;&gt;"COMPOSICAO",$A22&lt;&gt;"INSUMO",$A22&lt;&gt;"")</formula>
    </cfRule>
    <cfRule type="expression" dxfId="576" priority="660" stopIfTrue="1">
      <formula>AND(OR($A22="COMPOSICAO",$A22="INSUMO",$A22&lt;&gt;""),$A22&lt;&gt;"")</formula>
    </cfRule>
  </conditionalFormatting>
  <conditionalFormatting sqref="A28:E32">
    <cfRule type="expression" dxfId="575" priority="657" stopIfTrue="1">
      <formula>AND($A28&lt;&gt;"COMPOSICAO",$A28&lt;&gt;"INSUMO",$A28&lt;&gt;"")</formula>
    </cfRule>
    <cfRule type="expression" dxfId="574" priority="658" stopIfTrue="1">
      <formula>AND(OR($A28="COMPOSICAO",$A28="INSUMO",$A28&lt;&gt;""),$A28&lt;&gt;"")</formula>
    </cfRule>
  </conditionalFormatting>
  <conditionalFormatting sqref="F28:G28">
    <cfRule type="expression" dxfId="573" priority="655" stopIfTrue="1">
      <formula>AND($A28&lt;&gt;"COMPOSICAO",$A28&lt;&gt;"INSUMO",$A28&lt;&gt;"")</formula>
    </cfRule>
    <cfRule type="expression" dxfId="572" priority="656" stopIfTrue="1">
      <formula>AND(OR($A28="COMPOSICAO",$A28="INSUMO",$A28&lt;&gt;""),$A28&lt;&gt;"")</formula>
    </cfRule>
  </conditionalFormatting>
  <conditionalFormatting sqref="A34:E36">
    <cfRule type="expression" dxfId="571" priority="653" stopIfTrue="1">
      <formula>AND($A34&lt;&gt;"COMPOSICAO",$A34&lt;&gt;"INSUMO",$A34&lt;&gt;"")</formula>
    </cfRule>
    <cfRule type="expression" dxfId="570" priority="654" stopIfTrue="1">
      <formula>AND(OR($A34="COMPOSICAO",$A34="INSUMO",$A34&lt;&gt;""),$A34&lt;&gt;"")</formula>
    </cfRule>
  </conditionalFormatting>
  <conditionalFormatting sqref="F34:G34">
    <cfRule type="expression" dxfId="569" priority="651" stopIfTrue="1">
      <formula>AND($A34&lt;&gt;"COMPOSICAO",$A34&lt;&gt;"INSUMO",$A34&lt;&gt;"")</formula>
    </cfRule>
    <cfRule type="expression" dxfId="568" priority="652" stopIfTrue="1">
      <formula>AND(OR($A34="COMPOSICAO",$A34="INSUMO",$A34&lt;&gt;""),$A34&lt;&gt;"")</formula>
    </cfRule>
  </conditionalFormatting>
  <conditionalFormatting sqref="F35:F36">
    <cfRule type="expression" dxfId="567" priority="649" stopIfTrue="1">
      <formula>AND($A35&lt;&gt;"COMPOSICAO",$A35&lt;&gt;"INSUMO",$A35&lt;&gt;"")</formula>
    </cfRule>
    <cfRule type="expression" dxfId="566" priority="650" stopIfTrue="1">
      <formula>AND(OR($A35="COMPOSICAO",$A35="INSUMO",$A35&lt;&gt;""),$A35&lt;&gt;"")</formula>
    </cfRule>
  </conditionalFormatting>
  <conditionalFormatting sqref="A41:E45">
    <cfRule type="expression" dxfId="565" priority="647" stopIfTrue="1">
      <formula>AND($A41&lt;&gt;"COMPOSICAO",$A41&lt;&gt;"INSUMO",$A41&lt;&gt;"")</formula>
    </cfRule>
    <cfRule type="expression" dxfId="564" priority="648" stopIfTrue="1">
      <formula>AND(OR($A41="COMPOSICAO",$A41="INSUMO",$A41&lt;&gt;""),$A41&lt;&gt;"")</formula>
    </cfRule>
  </conditionalFormatting>
  <conditionalFormatting sqref="F41:G41">
    <cfRule type="expression" dxfId="563" priority="645" stopIfTrue="1">
      <formula>AND($A41&lt;&gt;"COMPOSICAO",$A41&lt;&gt;"INSUMO",$A41&lt;&gt;"")</formula>
    </cfRule>
    <cfRule type="expression" dxfId="562" priority="646" stopIfTrue="1">
      <formula>AND(OR($A41="COMPOSICAO",$A41="INSUMO",$A41&lt;&gt;""),$A41&lt;&gt;"")</formula>
    </cfRule>
  </conditionalFormatting>
  <conditionalFormatting sqref="F47:G47">
    <cfRule type="expression" dxfId="561" priority="641" stopIfTrue="1">
      <formula>AND($A47&lt;&gt;"COMPOSICAO",$A47&lt;&gt;"INSUMO",$A47&lt;&gt;"")</formula>
    </cfRule>
    <cfRule type="expression" dxfId="560" priority="642" stopIfTrue="1">
      <formula>AND(OR($A47="COMPOSICAO",$A47="INSUMO",$A47&lt;&gt;""),$A47&lt;&gt;"")</formula>
    </cfRule>
  </conditionalFormatting>
  <conditionalFormatting sqref="A51:B55 C51 D51:E55">
    <cfRule type="expression" dxfId="559" priority="639" stopIfTrue="1">
      <formula>AND($A51&lt;&gt;"COMPOSICAO",$A51&lt;&gt;"INSUMO",$A51&lt;&gt;"")</formula>
    </cfRule>
    <cfRule type="expression" dxfId="558" priority="640" stopIfTrue="1">
      <formula>AND(OR($A51="COMPOSICAO",$A51="INSUMO",$A51&lt;&gt;""),$A51&lt;&gt;"")</formula>
    </cfRule>
  </conditionalFormatting>
  <conditionalFormatting sqref="F51:G51">
    <cfRule type="expression" dxfId="557" priority="637" stopIfTrue="1">
      <formula>AND($A51&lt;&gt;"COMPOSICAO",$A51&lt;&gt;"INSUMO",$A51&lt;&gt;"")</formula>
    </cfRule>
    <cfRule type="expression" dxfId="556" priority="638" stopIfTrue="1">
      <formula>AND(OR($A51="COMPOSICAO",$A51="INSUMO",$A51&lt;&gt;""),$A51&lt;&gt;"")</formula>
    </cfRule>
  </conditionalFormatting>
  <conditionalFormatting sqref="C58">
    <cfRule type="expression" dxfId="555" priority="629" stopIfTrue="1">
      <formula>AND($A58&lt;&gt;"COMPOSICAO",$A58&lt;&gt;"INSUMO",$A58&lt;&gt;"")</formula>
    </cfRule>
    <cfRule type="expression" dxfId="554" priority="630" stopIfTrue="1">
      <formula>AND(OR($A58="COMPOSICAO",$A58="INSUMO",$A58&lt;&gt;""),$A58&lt;&gt;"")</formula>
    </cfRule>
  </conditionalFormatting>
  <conditionalFormatting sqref="F58:G58">
    <cfRule type="expression" dxfId="553" priority="627" stopIfTrue="1">
      <formula>AND($A58&lt;&gt;"COMPOSICAO",$A58&lt;&gt;"INSUMO",$A58&lt;&gt;"")</formula>
    </cfRule>
    <cfRule type="expression" dxfId="552" priority="628" stopIfTrue="1">
      <formula>AND(OR($A58="COMPOSICAO",$A58="INSUMO",$A58&lt;&gt;""),$A58&lt;&gt;"")</formula>
    </cfRule>
  </conditionalFormatting>
  <conditionalFormatting sqref="C63">
    <cfRule type="expression" dxfId="551" priority="625" stopIfTrue="1">
      <formula>AND($A63&lt;&gt;"COMPOSICAO",$A63&lt;&gt;"INSUMO",$A63&lt;&gt;"")</formula>
    </cfRule>
    <cfRule type="expression" dxfId="550" priority="626" stopIfTrue="1">
      <formula>AND(OR($A63="COMPOSICAO",$A63="INSUMO",$A63&lt;&gt;""),$A63&lt;&gt;"")</formula>
    </cfRule>
  </conditionalFormatting>
  <conditionalFormatting sqref="F63:G63">
    <cfRule type="expression" dxfId="549" priority="623" stopIfTrue="1">
      <formula>AND($A63&lt;&gt;"COMPOSICAO",$A63&lt;&gt;"INSUMO",$A63&lt;&gt;"")</formula>
    </cfRule>
    <cfRule type="expression" dxfId="548" priority="624" stopIfTrue="1">
      <formula>AND(OR($A63="COMPOSICAO",$A63="INSUMO",$A63&lt;&gt;""),$A63&lt;&gt;"")</formula>
    </cfRule>
  </conditionalFormatting>
  <conditionalFormatting sqref="A66:B71 C66 D66:E71">
    <cfRule type="expression" dxfId="547" priority="621" stopIfTrue="1">
      <formula>AND($A66&lt;&gt;"COMPOSICAO",$A66&lt;&gt;"INSUMO",$A66&lt;&gt;"")</formula>
    </cfRule>
    <cfRule type="expression" dxfId="546" priority="622" stopIfTrue="1">
      <formula>AND(OR($A66="COMPOSICAO",$A66="INSUMO",$A66&lt;&gt;""),$A66&lt;&gt;"")</formula>
    </cfRule>
  </conditionalFormatting>
  <conditionalFormatting sqref="F66:G66">
    <cfRule type="expression" dxfId="545" priority="619" stopIfTrue="1">
      <formula>AND($A66&lt;&gt;"COMPOSICAO",$A66&lt;&gt;"INSUMO",$A66&lt;&gt;"")</formula>
    </cfRule>
    <cfRule type="expression" dxfId="544" priority="620" stopIfTrue="1">
      <formula>AND(OR($A66="COMPOSICAO",$A66="INSUMO",$A66&lt;&gt;""),$A66&lt;&gt;"")</formula>
    </cfRule>
  </conditionalFormatting>
  <conditionalFormatting sqref="A74:B78 C74 D74:E78">
    <cfRule type="expression" dxfId="543" priority="617" stopIfTrue="1">
      <formula>AND($A74&lt;&gt;"COMPOSICAO",$A74&lt;&gt;"INSUMO",$A74&lt;&gt;"")</formula>
    </cfRule>
    <cfRule type="expression" dxfId="542" priority="618" stopIfTrue="1">
      <formula>AND(OR($A74="COMPOSICAO",$A74="INSUMO",$A74&lt;&gt;""),$A74&lt;&gt;"")</formula>
    </cfRule>
  </conditionalFormatting>
  <conditionalFormatting sqref="F74:G74">
    <cfRule type="expression" dxfId="541" priority="615" stopIfTrue="1">
      <formula>AND($A74&lt;&gt;"COMPOSICAO",$A74&lt;&gt;"INSUMO",$A74&lt;&gt;"")</formula>
    </cfRule>
    <cfRule type="expression" dxfId="540" priority="616" stopIfTrue="1">
      <formula>AND(OR($A74="COMPOSICAO",$A74="INSUMO",$A74&lt;&gt;""),$A74&lt;&gt;"")</formula>
    </cfRule>
  </conditionalFormatting>
  <conditionalFormatting sqref="A80:B85 C80 D80:E85">
    <cfRule type="expression" dxfId="539" priority="613" stopIfTrue="1">
      <formula>AND($A80&lt;&gt;"COMPOSICAO",$A80&lt;&gt;"INSUMO",$A80&lt;&gt;"")</formula>
    </cfRule>
    <cfRule type="expression" dxfId="538" priority="614" stopIfTrue="1">
      <formula>AND(OR($A80="COMPOSICAO",$A80="INSUMO",$A80&lt;&gt;""),$A80&lt;&gt;"")</formula>
    </cfRule>
  </conditionalFormatting>
  <conditionalFormatting sqref="F80:G80">
    <cfRule type="expression" dxfId="537" priority="611" stopIfTrue="1">
      <formula>AND($A80&lt;&gt;"COMPOSICAO",$A80&lt;&gt;"INSUMO",$A80&lt;&gt;"")</formula>
    </cfRule>
    <cfRule type="expression" dxfId="536" priority="612" stopIfTrue="1">
      <formula>AND(OR($A80="COMPOSICAO",$A80="INSUMO",$A80&lt;&gt;""),$A80&lt;&gt;"")</formula>
    </cfRule>
  </conditionalFormatting>
  <conditionalFormatting sqref="A88:B93 C88 D88:E93">
    <cfRule type="expression" dxfId="535" priority="609" stopIfTrue="1">
      <formula>AND($A88&lt;&gt;"COMPOSICAO",$A88&lt;&gt;"INSUMO",$A88&lt;&gt;"")</formula>
    </cfRule>
    <cfRule type="expression" dxfId="534" priority="610" stopIfTrue="1">
      <formula>AND(OR($A88="COMPOSICAO",$A88="INSUMO",$A88&lt;&gt;""),$A88&lt;&gt;"")</formula>
    </cfRule>
  </conditionalFormatting>
  <conditionalFormatting sqref="F88:G88">
    <cfRule type="expression" dxfId="533" priority="607" stopIfTrue="1">
      <formula>AND($A88&lt;&gt;"COMPOSICAO",$A88&lt;&gt;"INSUMO",$A88&lt;&gt;"")</formula>
    </cfRule>
    <cfRule type="expression" dxfId="532" priority="608" stopIfTrue="1">
      <formula>AND(OR($A88="COMPOSICAO",$A88="INSUMO",$A88&lt;&gt;""),$A88&lt;&gt;"")</formula>
    </cfRule>
  </conditionalFormatting>
  <conditionalFormatting sqref="B94">
    <cfRule type="expression" dxfId="531" priority="605" stopIfTrue="1">
      <formula>AND($A94&lt;&gt;"COMPOSICAO",$A94&lt;&gt;"INSUMO",$A94&lt;&gt;"")</formula>
    </cfRule>
    <cfRule type="expression" dxfId="530" priority="606" stopIfTrue="1">
      <formula>AND(OR($A94="COMPOSICAO",$A94="INSUMO",$A94&lt;&gt;""),$A94&lt;&gt;"")</formula>
    </cfRule>
  </conditionalFormatting>
  <conditionalFormatting sqref="B86">
    <cfRule type="expression" dxfId="529" priority="603" stopIfTrue="1">
      <formula>AND($A86&lt;&gt;"COMPOSICAO",$A86&lt;&gt;"INSUMO",$A86&lt;&gt;"")</formula>
    </cfRule>
    <cfRule type="expression" dxfId="528" priority="604" stopIfTrue="1">
      <formula>AND(OR($A86="COMPOSICAO",$A86="INSUMO",$A86&lt;&gt;""),$A86&lt;&gt;"")</formula>
    </cfRule>
  </conditionalFormatting>
  <conditionalFormatting sqref="A85:B85 D85:E85">
    <cfRule type="expression" dxfId="527" priority="599" stopIfTrue="1">
      <formula>AND($A85&lt;&gt;"COMPOSICAO",$A85&lt;&gt;"INSUMO",$A85&lt;&gt;"")</formula>
    </cfRule>
    <cfRule type="expression" dxfId="526" priority="600" stopIfTrue="1">
      <formula>AND(OR($A85="COMPOSICAO",$A85="INSUMO",$A85&lt;&gt;""),$A85&lt;&gt;"")</formula>
    </cfRule>
  </conditionalFormatting>
  <conditionalFormatting sqref="A71:B71 D71:E71">
    <cfRule type="expression" dxfId="525" priority="597" stopIfTrue="1">
      <formula>AND($A71&lt;&gt;"COMPOSICAO",$A71&lt;&gt;"INSUMO",$A71&lt;&gt;"")</formula>
    </cfRule>
    <cfRule type="expression" dxfId="524" priority="598" stopIfTrue="1">
      <formula>AND(OR($A71="COMPOSICAO",$A71="INSUMO",$A71&lt;&gt;""),$A71&lt;&gt;"")</formula>
    </cfRule>
  </conditionalFormatting>
  <conditionalFormatting sqref="B72">
    <cfRule type="expression" dxfId="523" priority="595" stopIfTrue="1">
      <formula>AND($A72&lt;&gt;"COMPOSICAO",$A72&lt;&gt;"INSUMO",$A72&lt;&gt;"")</formula>
    </cfRule>
    <cfRule type="expression" dxfId="522" priority="596" stopIfTrue="1">
      <formula>AND(OR($A72="COMPOSICAO",$A72="INSUMO",$A72&lt;&gt;""),$A72&lt;&gt;"")</formula>
    </cfRule>
  </conditionalFormatting>
  <conditionalFormatting sqref="B72">
    <cfRule type="expression" dxfId="521" priority="593" stopIfTrue="1">
      <formula>AND($A72&lt;&gt;"COMPOSICAO",$A72&lt;&gt;"INSUMO",$A72&lt;&gt;"")</formula>
    </cfRule>
    <cfRule type="expression" dxfId="520" priority="594" stopIfTrue="1">
      <formula>AND(OR($A72="COMPOSICAO",$A72="INSUMO",$A72&lt;&gt;""),$A72&lt;&gt;"")</formula>
    </cfRule>
  </conditionalFormatting>
  <conditionalFormatting sqref="A96:B101 C96 D96:E101">
    <cfRule type="expression" dxfId="519" priority="591" stopIfTrue="1">
      <formula>AND($A96&lt;&gt;"COMPOSICAO",$A96&lt;&gt;"INSUMO",$A96&lt;&gt;"")</formula>
    </cfRule>
    <cfRule type="expression" dxfId="518" priority="592" stopIfTrue="1">
      <formula>AND(OR($A96="COMPOSICAO",$A96="INSUMO",$A96&lt;&gt;""),$A96&lt;&gt;"")</formula>
    </cfRule>
  </conditionalFormatting>
  <conditionalFormatting sqref="F96:G96">
    <cfRule type="expression" dxfId="517" priority="589" stopIfTrue="1">
      <formula>AND($A96&lt;&gt;"COMPOSICAO",$A96&lt;&gt;"INSUMO",$A96&lt;&gt;"")</formula>
    </cfRule>
    <cfRule type="expression" dxfId="516" priority="590" stopIfTrue="1">
      <formula>AND(OR($A96="COMPOSICAO",$A96="INSUMO",$A96&lt;&gt;""),$A96&lt;&gt;"")</formula>
    </cfRule>
  </conditionalFormatting>
  <conditionalFormatting sqref="B102">
    <cfRule type="expression" dxfId="515" priority="587" stopIfTrue="1">
      <formula>AND($A102&lt;&gt;"COMPOSICAO",$A102&lt;&gt;"INSUMO",$A102&lt;&gt;"")</formula>
    </cfRule>
    <cfRule type="expression" dxfId="514" priority="588" stopIfTrue="1">
      <formula>AND(OR($A102="COMPOSICAO",$A102="INSUMO",$A102&lt;&gt;""),$A102&lt;&gt;"")</formula>
    </cfRule>
  </conditionalFormatting>
  <conditionalFormatting sqref="C104">
    <cfRule type="expression" dxfId="513" priority="585" stopIfTrue="1">
      <formula>AND($A104&lt;&gt;"COMPOSICAO",$A104&lt;&gt;"INSUMO",$A104&lt;&gt;"")</formula>
    </cfRule>
    <cfRule type="expression" dxfId="512" priority="586" stopIfTrue="1">
      <formula>AND(OR($A104="COMPOSICAO",$A104="INSUMO",$A104&lt;&gt;""),$A104&lt;&gt;"")</formula>
    </cfRule>
  </conditionalFormatting>
  <conditionalFormatting sqref="F104:G104">
    <cfRule type="expression" dxfId="511" priority="583" stopIfTrue="1">
      <formula>AND($A104&lt;&gt;"COMPOSICAO",$A104&lt;&gt;"INSUMO",$A104&lt;&gt;"")</formula>
    </cfRule>
    <cfRule type="expression" dxfId="510" priority="584" stopIfTrue="1">
      <formula>AND(OR($A104="COMPOSICAO",$A104="INSUMO",$A104&lt;&gt;""),$A104&lt;&gt;"")</formula>
    </cfRule>
  </conditionalFormatting>
  <conditionalFormatting sqref="A105:E106">
    <cfRule type="expression" dxfId="509" priority="579" stopIfTrue="1">
      <formula>AND($A105&lt;&gt;"COMPOSICAO",$A105&lt;&gt;"INSUMO",$A105&lt;&gt;"")</formula>
    </cfRule>
    <cfRule type="expression" dxfId="508" priority="580" stopIfTrue="1">
      <formula>AND(OR($A105="COMPOSICAO",$A105="INSUMO",$A105&lt;&gt;""),$A105&lt;&gt;"")</formula>
    </cfRule>
  </conditionalFormatting>
  <conditionalFormatting sqref="B56">
    <cfRule type="expression" dxfId="507" priority="577" stopIfTrue="1">
      <formula>AND($A56&lt;&gt;"COMPOSICAO",$A56&lt;&gt;"INSUMO",$A56&lt;&gt;"")</formula>
    </cfRule>
    <cfRule type="expression" dxfId="506" priority="578" stopIfTrue="1">
      <formula>AND(OR($A56="COMPOSICAO",$A56="INSUMO",$A56&lt;&gt;""),$A56&lt;&gt;"")</formula>
    </cfRule>
  </conditionalFormatting>
  <conditionalFormatting sqref="A108:E112">
    <cfRule type="expression" dxfId="505" priority="573" stopIfTrue="1">
      <formula>AND($A108&lt;&gt;"COMPOSICAO",$A108&lt;&gt;"INSUMO",$A108&lt;&gt;"")</formula>
    </cfRule>
    <cfRule type="expression" dxfId="504" priority="574" stopIfTrue="1">
      <formula>AND(OR($A108="COMPOSICAO",$A108="INSUMO",$A108&lt;&gt;""),$A108&lt;&gt;"")</formula>
    </cfRule>
  </conditionalFormatting>
  <conditionalFormatting sqref="A134:E145">
    <cfRule type="expression" dxfId="503" priority="563" stopIfTrue="1">
      <formula>AND($A134&lt;&gt;"COMPOSICAO",$A134&lt;&gt;"INSUMO",$A134&lt;&gt;"")</formula>
    </cfRule>
    <cfRule type="expression" dxfId="502" priority="564" stopIfTrue="1">
      <formula>AND(OR($A134="COMPOSICAO",$A134="INSUMO",$A134&lt;&gt;""),$A134&lt;&gt;"")</formula>
    </cfRule>
  </conditionalFormatting>
  <conditionalFormatting sqref="A147:E159">
    <cfRule type="expression" dxfId="501" priority="561" stopIfTrue="1">
      <formula>AND($A147&lt;&gt;"COMPOSICAO",$A147&lt;&gt;"INSUMO",$A147&lt;&gt;"")</formula>
    </cfRule>
    <cfRule type="expression" dxfId="500" priority="562" stopIfTrue="1">
      <formula>AND(OR($A147="COMPOSICAO",$A147="INSUMO",$A147&lt;&gt;""),$A147&lt;&gt;"")</formula>
    </cfRule>
  </conditionalFormatting>
  <conditionalFormatting sqref="A161:E166">
    <cfRule type="expression" dxfId="499" priority="559" stopIfTrue="1">
      <formula>AND($A161&lt;&gt;"COMPOSICAO",$A161&lt;&gt;"INSUMO",$A161&lt;&gt;"")</formula>
    </cfRule>
    <cfRule type="expression" dxfId="498" priority="560" stopIfTrue="1">
      <formula>AND(OR($A161="COMPOSICAO",$A161="INSUMO",$A161&lt;&gt;""),$A161&lt;&gt;"")</formula>
    </cfRule>
  </conditionalFormatting>
  <conditionalFormatting sqref="A168:E169">
    <cfRule type="expression" dxfId="497" priority="557" stopIfTrue="1">
      <formula>AND($A168&lt;&gt;"COMPOSICAO",$A168&lt;&gt;"INSUMO",$A168&lt;&gt;"")</formula>
    </cfRule>
    <cfRule type="expression" dxfId="496" priority="558" stopIfTrue="1">
      <formula>AND(OR($A168="COMPOSICAO",$A168="INSUMO",$A168&lt;&gt;""),$A168&lt;&gt;"")</formula>
    </cfRule>
  </conditionalFormatting>
  <conditionalFormatting sqref="A174:E177 E174:G174">
    <cfRule type="expression" dxfId="495" priority="553" stopIfTrue="1">
      <formula>AND($A174&lt;&gt;"COMPOSICAO",$A174&lt;&gt;"INSUMO",$A174&lt;&gt;"")</formula>
    </cfRule>
    <cfRule type="expression" dxfId="494" priority="554" stopIfTrue="1">
      <formula>AND(OR($A174="COMPOSICAO",$A174="INSUMO",$A174&lt;&gt;""),$A174&lt;&gt;"")</formula>
    </cfRule>
  </conditionalFormatting>
  <conditionalFormatting sqref="F180:G180">
    <cfRule type="expression" dxfId="493" priority="551" stopIfTrue="1">
      <formula>AND($A180&lt;&gt;"COMPOSICAO",$A180&lt;&gt;"INSUMO",$A180&lt;&gt;"")</formula>
    </cfRule>
    <cfRule type="expression" dxfId="492" priority="552" stopIfTrue="1">
      <formula>AND(OR($A180="COMPOSICAO",$A180="INSUMO",$A180&lt;&gt;""),$A180&lt;&gt;"")</formula>
    </cfRule>
  </conditionalFormatting>
  <conditionalFormatting sqref="A183:E190">
    <cfRule type="expression" dxfId="491" priority="549" stopIfTrue="1">
      <formula>AND($A183&lt;&gt;"COMPOSICAO",$A183&lt;&gt;"INSUMO",$A183&lt;&gt;"")</formula>
    </cfRule>
    <cfRule type="expression" dxfId="490" priority="550" stopIfTrue="1">
      <formula>AND(OR($A183="COMPOSICAO",$A183="INSUMO",$A183&lt;&gt;""),$A183&lt;&gt;"")</formula>
    </cfRule>
  </conditionalFormatting>
  <conditionalFormatting sqref="C189">
    <cfRule type="expression" dxfId="489" priority="547" stopIfTrue="1">
      <formula>AND($A189&lt;&gt;"COMPOSICAO",$A189&lt;&gt;"INSUMO",$A189&lt;&gt;"")</formula>
    </cfRule>
    <cfRule type="expression" dxfId="488" priority="548" stopIfTrue="1">
      <formula>AND(OR($A189="COMPOSICAO",$A189="INSUMO",$A189&lt;&gt;""),$A189&lt;&gt;"")</formula>
    </cfRule>
  </conditionalFormatting>
  <conditionalFormatting sqref="A195:E195">
    <cfRule type="expression" dxfId="487" priority="541" stopIfTrue="1">
      <formula>AND($A195&lt;&gt;"COMPOSICAO",$A195&lt;&gt;"INSUMO",$A195&lt;&gt;"")</formula>
    </cfRule>
    <cfRule type="expression" dxfId="486" priority="542" stopIfTrue="1">
      <formula>AND(OR($A195="COMPOSICAO",$A195="INSUMO",$A195&lt;&gt;""),$A195&lt;&gt;"")</formula>
    </cfRule>
  </conditionalFormatting>
  <conditionalFormatting sqref="A198">
    <cfRule type="expression" dxfId="485" priority="539" stopIfTrue="1">
      <formula>AND($A198&lt;&gt;"COMPOSICAO",$A198&lt;&gt;"INSUMO",$A198&lt;&gt;"")</formula>
    </cfRule>
    <cfRule type="expression" dxfId="484" priority="540" stopIfTrue="1">
      <formula>AND(OR($A198="COMPOSICAO",$A198="INSUMO",$A198&lt;&gt;""),$A198&lt;&gt;"")</formula>
    </cfRule>
  </conditionalFormatting>
  <conditionalFormatting sqref="B198:G198">
    <cfRule type="expression" dxfId="483" priority="537" stopIfTrue="1">
      <formula>AND($A198&lt;&gt;"COMPOSICAO",$A198&lt;&gt;"INSUMO",$A198&lt;&gt;"")</formula>
    </cfRule>
    <cfRule type="expression" dxfId="482" priority="538" stopIfTrue="1">
      <formula>AND(OR($A198="COMPOSICAO",$A198="INSUMO",$A198&lt;&gt;""),$A198&lt;&gt;"")</formula>
    </cfRule>
  </conditionalFormatting>
  <conditionalFormatting sqref="A199:E213">
    <cfRule type="expression" dxfId="481" priority="535" stopIfTrue="1">
      <formula>AND($A199&lt;&gt;"COMPOSICAO",$A199&lt;&gt;"INSUMO",$A199&lt;&gt;"")</formula>
    </cfRule>
    <cfRule type="expression" dxfId="480" priority="536" stopIfTrue="1">
      <formula>AND(OR($A199="COMPOSICAO",$A199="INSUMO",$A199&lt;&gt;""),$A199&lt;&gt;"")</formula>
    </cfRule>
  </conditionalFormatting>
  <conditionalFormatting sqref="A198:E213">
    <cfRule type="expression" dxfId="479" priority="533" stopIfTrue="1">
      <formula>AND($A198&lt;&gt;"COMPOSICAO",$A198&lt;&gt;"INSUMO",$A198&lt;&gt;"")</formula>
    </cfRule>
    <cfRule type="expression" dxfId="478" priority="534" stopIfTrue="1">
      <formula>AND(OR($A198="COMPOSICAO",$A198="INSUMO",$A198&lt;&gt;""),$A198&lt;&gt;"")</formula>
    </cfRule>
  </conditionalFormatting>
  <conditionalFormatting sqref="A215:E220">
    <cfRule type="expression" dxfId="477" priority="531" stopIfTrue="1">
      <formula>AND($A215&lt;&gt;"COMPOSICAO",$A215&lt;&gt;"INSUMO",$A215&lt;&gt;"")</formula>
    </cfRule>
    <cfRule type="expression" dxfId="476" priority="532" stopIfTrue="1">
      <formula>AND(OR($A215="COMPOSICAO",$A215="INSUMO",$A215&lt;&gt;""),$A215&lt;&gt;"")</formula>
    </cfRule>
  </conditionalFormatting>
  <conditionalFormatting sqref="F215:G215">
    <cfRule type="expression" dxfId="475" priority="529" stopIfTrue="1">
      <formula>AND($A215&lt;&gt;"COMPOSICAO",$A215&lt;&gt;"INSUMO",$A215&lt;&gt;"")</formula>
    </cfRule>
    <cfRule type="expression" dxfId="474" priority="530" stopIfTrue="1">
      <formula>AND(OR($A215="COMPOSICAO",$A215="INSUMO",$A215&lt;&gt;""),$A215&lt;&gt;"")</formula>
    </cfRule>
  </conditionalFormatting>
  <conditionalFormatting sqref="A222:E227">
    <cfRule type="expression" dxfId="473" priority="527" stopIfTrue="1">
      <formula>AND($A222&lt;&gt;"COMPOSICAO",$A222&lt;&gt;"INSUMO",$A222&lt;&gt;"")</formula>
    </cfRule>
    <cfRule type="expression" dxfId="472" priority="528" stopIfTrue="1">
      <formula>AND(OR($A222="COMPOSICAO",$A222="INSUMO",$A222&lt;&gt;""),$A222&lt;&gt;"")</formula>
    </cfRule>
  </conditionalFormatting>
  <conditionalFormatting sqref="B225:C225">
    <cfRule type="expression" dxfId="471" priority="525" stopIfTrue="1">
      <formula>AND($A225&lt;&gt;"COMPOSICAO",$A225&lt;&gt;"INSUMO",$A225&lt;&gt;"")</formula>
    </cfRule>
    <cfRule type="expression" dxfId="470" priority="526" stopIfTrue="1">
      <formula>AND(OR($A225="COMPOSICAO",$A225="INSUMO",$A225&lt;&gt;""),$A225&lt;&gt;"")</formula>
    </cfRule>
  </conditionalFormatting>
  <conditionalFormatting sqref="B227:C227">
    <cfRule type="expression" dxfId="469" priority="523" stopIfTrue="1">
      <formula>AND($A227&lt;&gt;"COMPOSICAO",$A227&lt;&gt;"INSUMO",$A227&lt;&gt;"")</formula>
    </cfRule>
    <cfRule type="expression" dxfId="468" priority="524" stopIfTrue="1">
      <formula>AND(OR($A227="COMPOSICAO",$A227="INSUMO",$A227&lt;&gt;""),$A227&lt;&gt;"")</formula>
    </cfRule>
  </conditionalFormatting>
  <conditionalFormatting sqref="F222:G222">
    <cfRule type="expression" dxfId="467" priority="521" stopIfTrue="1">
      <formula>AND($A222&lt;&gt;"COMPOSICAO",$A222&lt;&gt;"INSUMO",$A222&lt;&gt;"")</formula>
    </cfRule>
    <cfRule type="expression" dxfId="466" priority="522" stopIfTrue="1">
      <formula>AND(OR($A222="COMPOSICAO",$A222="INSUMO",$A222&lt;&gt;""),$A222&lt;&gt;"")</formula>
    </cfRule>
  </conditionalFormatting>
  <conditionalFormatting sqref="A229:E231 A233:E233">
    <cfRule type="expression" dxfId="465" priority="519" stopIfTrue="1">
      <formula>AND($A229&lt;&gt;"COMPOSICAO",$A229&lt;&gt;"INSUMO",$A229&lt;&gt;"")</formula>
    </cfRule>
    <cfRule type="expression" dxfId="464" priority="520" stopIfTrue="1">
      <formula>AND(OR($A229="COMPOSICAO",$A229="INSUMO",$A229&lt;&gt;""),$A229&lt;&gt;"")</formula>
    </cfRule>
  </conditionalFormatting>
  <conditionalFormatting sqref="F229:G229">
    <cfRule type="expression" dxfId="463" priority="517" stopIfTrue="1">
      <formula>AND($A229&lt;&gt;"COMPOSICAO",$A229&lt;&gt;"INSUMO",$A229&lt;&gt;"")</formula>
    </cfRule>
    <cfRule type="expression" dxfId="462" priority="518" stopIfTrue="1">
      <formula>AND(OR($A229="COMPOSICAO",$A229="INSUMO",$A229&lt;&gt;""),$A229&lt;&gt;"")</formula>
    </cfRule>
  </conditionalFormatting>
  <conditionalFormatting sqref="A236:E238 A240:E240">
    <cfRule type="expression" dxfId="461" priority="509" stopIfTrue="1">
      <formula>AND($A236&lt;&gt;"COMPOSICAO",$A236&lt;&gt;"INSUMO",$A236&lt;&gt;"")</formula>
    </cfRule>
    <cfRule type="expression" dxfId="460" priority="510" stopIfTrue="1">
      <formula>AND(OR($A236="COMPOSICAO",$A236="INSUMO",$A236&lt;&gt;""),$A236&lt;&gt;"")</formula>
    </cfRule>
  </conditionalFormatting>
  <conditionalFormatting sqref="F236:G236">
    <cfRule type="expression" dxfId="459" priority="507" stopIfTrue="1">
      <formula>AND($A236&lt;&gt;"COMPOSICAO",$A236&lt;&gt;"INSUMO",$A236&lt;&gt;"")</formula>
    </cfRule>
    <cfRule type="expression" dxfId="458" priority="508" stopIfTrue="1">
      <formula>AND(OR($A236="COMPOSICAO",$A236="INSUMO",$A236&lt;&gt;""),$A236&lt;&gt;"")</formula>
    </cfRule>
  </conditionalFormatting>
  <conditionalFormatting sqref="A236:E243">
    <cfRule type="expression" dxfId="457" priority="505" stopIfTrue="1">
      <formula>AND($A236&lt;&gt;"COMPOSICAO",$A236&lt;&gt;"INSUMO",$A236&lt;&gt;"")</formula>
    </cfRule>
    <cfRule type="expression" dxfId="456" priority="506" stopIfTrue="1">
      <formula>AND(OR($A236="COMPOSICAO",$A236="INSUMO",$A236&lt;&gt;""),$A236&lt;&gt;"")</formula>
    </cfRule>
  </conditionalFormatting>
  <conditionalFormatting sqref="E237:E243">
    <cfRule type="expression" dxfId="455" priority="503" stopIfTrue="1">
      <formula>AND($A237&lt;&gt;"COMPOSICAO",$A237&lt;&gt;"INSUMO",$A237&lt;&gt;"")</formula>
    </cfRule>
    <cfRule type="expression" dxfId="454" priority="504" stopIfTrue="1">
      <formula>AND(OR($A237="COMPOSICAO",$A237="INSUMO",$A237&lt;&gt;""),$A237&lt;&gt;"")</formula>
    </cfRule>
  </conditionalFormatting>
  <conditionalFormatting sqref="F192:G192">
    <cfRule type="expression" dxfId="453" priority="501" stopIfTrue="1">
      <formula>AND($A192&lt;&gt;"COMPOSICAO",$A192&lt;&gt;"INSUMO",$A192&lt;&gt;"")</formula>
    </cfRule>
    <cfRule type="expression" dxfId="452" priority="502" stopIfTrue="1">
      <formula>AND(OR($A192="COMPOSICAO",$A192="INSUMO",$A192&lt;&gt;""),$A192&lt;&gt;"")</formula>
    </cfRule>
  </conditionalFormatting>
  <conditionalFormatting sqref="F183:G183">
    <cfRule type="expression" dxfId="451" priority="499" stopIfTrue="1">
      <formula>AND($A183&lt;&gt;"COMPOSICAO",$A183&lt;&gt;"INSUMO",$A183&lt;&gt;"")</formula>
    </cfRule>
    <cfRule type="expression" dxfId="450" priority="500" stopIfTrue="1">
      <formula>AND(OR($A183="COMPOSICAO",$A183="INSUMO",$A183&lt;&gt;""),$A183&lt;&gt;"")</formula>
    </cfRule>
  </conditionalFormatting>
  <conditionalFormatting sqref="F245:G245">
    <cfRule type="expression" dxfId="449" priority="495" stopIfTrue="1">
      <formula>AND($A245&lt;&gt;"COMPOSICAO",$A245&lt;&gt;"INSUMO",$A245&lt;&gt;"")</formula>
    </cfRule>
    <cfRule type="expression" dxfId="448" priority="496" stopIfTrue="1">
      <formula>AND(OR($A245="COMPOSICAO",$A245="INSUMO",$A245&lt;&gt;""),$A245&lt;&gt;"")</formula>
    </cfRule>
  </conditionalFormatting>
  <conditionalFormatting sqref="A249:E251">
    <cfRule type="expression" dxfId="447" priority="489" stopIfTrue="1">
      <formula>AND($A249&lt;&gt;"COMPOSICAO",$A249&lt;&gt;"INSUMO",$A249&lt;&gt;"")</formula>
    </cfRule>
    <cfRule type="expression" dxfId="446" priority="490" stopIfTrue="1">
      <formula>AND(OR($A249="COMPOSICAO",$A249="INSUMO",$A249&lt;&gt;""),$A249&lt;&gt;"")</formula>
    </cfRule>
  </conditionalFormatting>
  <conditionalFormatting sqref="F249:G249">
    <cfRule type="expression" dxfId="445" priority="487" stopIfTrue="1">
      <formula>AND($A249&lt;&gt;"COMPOSICAO",$A249&lt;&gt;"INSUMO",$A249&lt;&gt;"")</formula>
    </cfRule>
    <cfRule type="expression" dxfId="444" priority="488" stopIfTrue="1">
      <formula>AND(OR($A249="COMPOSICAO",$A249="INSUMO",$A249&lt;&gt;""),$A249&lt;&gt;"")</formula>
    </cfRule>
  </conditionalFormatting>
  <conditionalFormatting sqref="A249:E251">
    <cfRule type="expression" dxfId="443" priority="485" stopIfTrue="1">
      <formula>AND($A249&lt;&gt;"COMPOSICAO",$A249&lt;&gt;"INSUMO",$A249&lt;&gt;"")</formula>
    </cfRule>
    <cfRule type="expression" dxfId="442" priority="486" stopIfTrue="1">
      <formula>AND(OR($A249="COMPOSICAO",$A249="INSUMO",$A249&lt;&gt;""),$A249&lt;&gt;"")</formula>
    </cfRule>
  </conditionalFormatting>
  <conditionalFormatting sqref="E250:E251">
    <cfRule type="expression" dxfId="441" priority="483" stopIfTrue="1">
      <formula>AND($A250&lt;&gt;"COMPOSICAO",$A250&lt;&gt;"INSUMO",$A250&lt;&gt;"")</formula>
    </cfRule>
    <cfRule type="expression" dxfId="440" priority="484" stopIfTrue="1">
      <formula>AND(OR($A250="COMPOSICAO",$A250="INSUMO",$A250&lt;&gt;""),$A250&lt;&gt;"")</formula>
    </cfRule>
  </conditionalFormatting>
  <conditionalFormatting sqref="A254:E256">
    <cfRule type="expression" dxfId="439" priority="479" stopIfTrue="1">
      <formula>AND($A254&lt;&gt;"COMPOSICAO",$A254&lt;&gt;"INSUMO",$A254&lt;&gt;"")</formula>
    </cfRule>
    <cfRule type="expression" dxfId="438" priority="480" stopIfTrue="1">
      <formula>AND(OR($A254="COMPOSICAO",$A254="INSUMO",$A254&lt;&gt;""),$A254&lt;&gt;"")</formula>
    </cfRule>
  </conditionalFormatting>
  <conditionalFormatting sqref="F254:G254">
    <cfRule type="expression" dxfId="437" priority="477" stopIfTrue="1">
      <formula>AND($A254&lt;&gt;"COMPOSICAO",$A254&lt;&gt;"INSUMO",$A254&lt;&gt;"")</formula>
    </cfRule>
    <cfRule type="expression" dxfId="436" priority="478" stopIfTrue="1">
      <formula>AND(OR($A254="COMPOSICAO",$A254="INSUMO",$A254&lt;&gt;""),$A254&lt;&gt;"")</formula>
    </cfRule>
  </conditionalFormatting>
  <conditionalFormatting sqref="A254:E256">
    <cfRule type="expression" dxfId="435" priority="475" stopIfTrue="1">
      <formula>AND($A254&lt;&gt;"COMPOSICAO",$A254&lt;&gt;"INSUMO",$A254&lt;&gt;"")</formula>
    </cfRule>
    <cfRule type="expression" dxfId="434" priority="476" stopIfTrue="1">
      <formula>AND(OR($A254="COMPOSICAO",$A254="INSUMO",$A254&lt;&gt;""),$A254&lt;&gt;"")</formula>
    </cfRule>
  </conditionalFormatting>
  <conditionalFormatting sqref="E255:E256">
    <cfRule type="expression" dxfId="433" priority="473" stopIfTrue="1">
      <formula>AND($A255&lt;&gt;"COMPOSICAO",$A255&lt;&gt;"INSUMO",$A255&lt;&gt;"")</formula>
    </cfRule>
    <cfRule type="expression" dxfId="432" priority="474" stopIfTrue="1">
      <formula>AND(OR($A255="COMPOSICAO",$A255="INSUMO",$A255&lt;&gt;""),$A255&lt;&gt;"")</formula>
    </cfRule>
  </conditionalFormatting>
  <conditionalFormatting sqref="A265:E265">
    <cfRule type="expression" dxfId="431" priority="471" stopIfTrue="1">
      <formula>AND($A265&lt;&gt;"COMPOSICAO",$A265&lt;&gt;"INSUMO",$A265&lt;&gt;"")</formula>
    </cfRule>
    <cfRule type="expression" dxfId="430" priority="472" stopIfTrue="1">
      <formula>AND(OR($A265="COMPOSICAO",$A265="INSUMO",$A265&lt;&gt;""),$A265&lt;&gt;"")</formula>
    </cfRule>
  </conditionalFormatting>
  <conditionalFormatting sqref="A260:E261 A259:B259 D259:E259">
    <cfRule type="expression" dxfId="429" priority="469" stopIfTrue="1">
      <formula>AND($A259&lt;&gt;"COMPOSICAO",$A259&lt;&gt;"INSUMO",$A259&lt;&gt;"")</formula>
    </cfRule>
    <cfRule type="expression" dxfId="428" priority="470" stopIfTrue="1">
      <formula>AND(OR($A259="COMPOSICAO",$A259="INSUMO",$A259&lt;&gt;""),$A259&lt;&gt;"")</formula>
    </cfRule>
  </conditionalFormatting>
  <conditionalFormatting sqref="F259:G259">
    <cfRule type="expression" dxfId="427" priority="467" stopIfTrue="1">
      <formula>AND($A259&lt;&gt;"COMPOSICAO",$A259&lt;&gt;"INSUMO",$A259&lt;&gt;"")</formula>
    </cfRule>
    <cfRule type="expression" dxfId="426" priority="468" stopIfTrue="1">
      <formula>AND(OR($A259="COMPOSICAO",$A259="INSUMO",$A259&lt;&gt;""),$A259&lt;&gt;"")</formula>
    </cfRule>
  </conditionalFormatting>
  <conditionalFormatting sqref="A260:E261 A259:B259 D259:E259">
    <cfRule type="expression" dxfId="425" priority="465" stopIfTrue="1">
      <formula>AND($A259&lt;&gt;"COMPOSICAO",$A259&lt;&gt;"INSUMO",$A259&lt;&gt;"")</formula>
    </cfRule>
    <cfRule type="expression" dxfId="424" priority="466" stopIfTrue="1">
      <formula>AND(OR($A259="COMPOSICAO",$A259="INSUMO",$A259&lt;&gt;""),$A259&lt;&gt;"")</formula>
    </cfRule>
  </conditionalFormatting>
  <conditionalFormatting sqref="E260:E261">
    <cfRule type="expression" dxfId="423" priority="463" stopIfTrue="1">
      <formula>AND($A260&lt;&gt;"COMPOSICAO",$A260&lt;&gt;"INSUMO",$A260&lt;&gt;"")</formula>
    </cfRule>
    <cfRule type="expression" dxfId="422" priority="464" stopIfTrue="1">
      <formula>AND(OR($A260="COMPOSICAO",$A260="INSUMO",$A260&lt;&gt;""),$A260&lt;&gt;"")</formula>
    </cfRule>
  </conditionalFormatting>
  <conditionalFormatting sqref="A266:E271">
    <cfRule type="expression" dxfId="421" priority="461" stopIfTrue="1">
      <formula>AND($A266&lt;&gt;"COMPOSICAO",$A266&lt;&gt;"INSUMO",$A266&lt;&gt;"")</formula>
    </cfRule>
    <cfRule type="expression" dxfId="420" priority="462" stopIfTrue="1">
      <formula>AND(OR($A266="COMPOSICAO",$A266="INSUMO",$A266&lt;&gt;""),$A266&lt;&gt;"")</formula>
    </cfRule>
  </conditionalFormatting>
  <conditionalFormatting sqref="F266:G266">
    <cfRule type="expression" dxfId="419" priority="459" stopIfTrue="1">
      <formula>AND($A266&lt;&gt;"COMPOSICAO",$A266&lt;&gt;"INSUMO",$A266&lt;&gt;"")</formula>
    </cfRule>
    <cfRule type="expression" dxfId="418" priority="460" stopIfTrue="1">
      <formula>AND(OR($A266="COMPOSICAO",$A266="INSUMO",$A266&lt;&gt;""),$A266&lt;&gt;"")</formula>
    </cfRule>
  </conditionalFormatting>
  <conditionalFormatting sqref="A275:E280">
    <cfRule type="expression" dxfId="417" priority="457" stopIfTrue="1">
      <formula>AND($A275&lt;&gt;"COMPOSICAO",$A275&lt;&gt;"INSUMO",$A275&lt;&gt;"")</formula>
    </cfRule>
    <cfRule type="expression" dxfId="416" priority="458" stopIfTrue="1">
      <formula>AND(OR($A275="COMPOSICAO",$A275="INSUMO",$A275&lt;&gt;""),$A275&lt;&gt;"")</formula>
    </cfRule>
  </conditionalFormatting>
  <conditionalFormatting sqref="A282:E287">
    <cfRule type="expression" dxfId="415" priority="455" stopIfTrue="1">
      <formula>AND($A282&lt;&gt;"COMPOSICAO",$A282&lt;&gt;"INSUMO",$A282&lt;&gt;"")</formula>
    </cfRule>
    <cfRule type="expression" dxfId="414" priority="456" stopIfTrue="1">
      <formula>AND(OR($A282="COMPOSICAO",$A282="INSUMO",$A282&lt;&gt;""),$A282&lt;&gt;"")</formula>
    </cfRule>
  </conditionalFormatting>
  <conditionalFormatting sqref="F282:G282">
    <cfRule type="expression" dxfId="413" priority="453" stopIfTrue="1">
      <formula>AND($A282&lt;&gt;"COMPOSICAO",$A282&lt;&gt;"INSUMO",$A282&lt;&gt;"")</formula>
    </cfRule>
    <cfRule type="expression" dxfId="412" priority="454" stopIfTrue="1">
      <formula>AND(OR($A282="COMPOSICAO",$A282="INSUMO",$A282&lt;&gt;""),$A282&lt;&gt;"")</formula>
    </cfRule>
  </conditionalFormatting>
  <conditionalFormatting sqref="A289:E294">
    <cfRule type="expression" dxfId="411" priority="451" stopIfTrue="1">
      <formula>AND($A289&lt;&gt;"COMPOSICAO",$A289&lt;&gt;"INSUMO",$A289&lt;&gt;"")</formula>
    </cfRule>
    <cfRule type="expression" dxfId="410" priority="452" stopIfTrue="1">
      <formula>AND(OR($A289="COMPOSICAO",$A289="INSUMO",$A289&lt;&gt;""),$A289&lt;&gt;"")</formula>
    </cfRule>
  </conditionalFormatting>
  <conditionalFormatting sqref="F289:G289">
    <cfRule type="expression" dxfId="409" priority="449" stopIfTrue="1">
      <formula>AND($A289&lt;&gt;"COMPOSICAO",$A289&lt;&gt;"INSUMO",$A289&lt;&gt;"")</formula>
    </cfRule>
    <cfRule type="expression" dxfId="408" priority="450" stopIfTrue="1">
      <formula>AND(OR($A289="COMPOSICAO",$A289="INSUMO",$A289&lt;&gt;""),$A289&lt;&gt;"")</formula>
    </cfRule>
  </conditionalFormatting>
  <conditionalFormatting sqref="A296:E302">
    <cfRule type="expression" dxfId="407" priority="447" stopIfTrue="1">
      <formula>AND($A296&lt;&gt;"COMPOSICAO",$A296&lt;&gt;"INSUMO",$A296&lt;&gt;"")</formula>
    </cfRule>
    <cfRule type="expression" dxfId="406" priority="448" stopIfTrue="1">
      <formula>AND(OR($A296="COMPOSICAO",$A296="INSUMO",$A296&lt;&gt;""),$A296&lt;&gt;"")</formula>
    </cfRule>
  </conditionalFormatting>
  <conditionalFormatting sqref="F296:G296">
    <cfRule type="expression" dxfId="405" priority="445" stopIfTrue="1">
      <formula>AND($A296&lt;&gt;"COMPOSICAO",$A296&lt;&gt;"INSUMO",$A296&lt;&gt;"")</formula>
    </cfRule>
    <cfRule type="expression" dxfId="404" priority="446" stopIfTrue="1">
      <formula>AND(OR($A296="COMPOSICAO",$A296="INSUMO",$A296&lt;&gt;""),$A296&lt;&gt;"")</formula>
    </cfRule>
  </conditionalFormatting>
  <conditionalFormatting sqref="A304:E306">
    <cfRule type="expression" dxfId="403" priority="443" stopIfTrue="1">
      <formula>AND($A304&lt;&gt;"COMPOSICAO",$A304&lt;&gt;"INSUMO",$A304&lt;&gt;"")</formula>
    </cfRule>
    <cfRule type="expression" dxfId="402" priority="444" stopIfTrue="1">
      <formula>AND(OR($A304="COMPOSICAO",$A304="INSUMO",$A304&lt;&gt;""),$A304&lt;&gt;"")</formula>
    </cfRule>
  </conditionalFormatting>
  <conditionalFormatting sqref="F304:G304">
    <cfRule type="expression" dxfId="401" priority="441" stopIfTrue="1">
      <formula>AND($A304&lt;&gt;"COMPOSICAO",$A304&lt;&gt;"INSUMO",$A304&lt;&gt;"")</formula>
    </cfRule>
    <cfRule type="expression" dxfId="400" priority="442" stopIfTrue="1">
      <formula>AND(OR($A304="COMPOSICAO",$A304="INSUMO",$A304&lt;&gt;""),$A304&lt;&gt;"")</formula>
    </cfRule>
  </conditionalFormatting>
  <conditionalFormatting sqref="A402:E407">
    <cfRule type="expression" dxfId="399" priority="439" stopIfTrue="1">
      <formula>AND($A402&lt;&gt;"COMPOSICAO",$A402&lt;&gt;"INSUMO",$A402&lt;&gt;"")</formula>
    </cfRule>
    <cfRule type="expression" dxfId="398" priority="440" stopIfTrue="1">
      <formula>AND(OR($A402="COMPOSICAO",$A402="INSUMO",$A402&lt;&gt;""),$A402&lt;&gt;"")</formula>
    </cfRule>
  </conditionalFormatting>
  <conditionalFormatting sqref="F402:G402">
    <cfRule type="expression" dxfId="397" priority="437" stopIfTrue="1">
      <formula>AND($A402&lt;&gt;"COMPOSICAO",$A402&lt;&gt;"INSUMO",$A402&lt;&gt;"")</formula>
    </cfRule>
    <cfRule type="expression" dxfId="396" priority="438" stopIfTrue="1">
      <formula>AND(OR($A402="COMPOSICAO",$A402="INSUMO",$A402&lt;&gt;""),$A402&lt;&gt;"")</formula>
    </cfRule>
  </conditionalFormatting>
  <conditionalFormatting sqref="A309:G309">
    <cfRule type="expression" dxfId="395" priority="435" stopIfTrue="1">
      <formula>AND($A309&lt;&gt;"COMPOSICAO",$A309&lt;&gt;"INSUMO",$A309&lt;&gt;"")</formula>
    </cfRule>
    <cfRule type="expression" dxfId="394" priority="436" stopIfTrue="1">
      <formula>AND(OR($A309="COMPOSICAO",$A309="INSUMO",$A309&lt;&gt;""),$A309&lt;&gt;"")</formula>
    </cfRule>
  </conditionalFormatting>
  <conditionalFormatting sqref="A312:E313">
    <cfRule type="expression" dxfId="393" priority="433" stopIfTrue="1">
      <formula>AND($A312&lt;&gt;"COMPOSICAO",$A312&lt;&gt;"INSUMO",$A312&lt;&gt;"")</formula>
    </cfRule>
    <cfRule type="expression" dxfId="392" priority="434" stopIfTrue="1">
      <formula>AND(OR($A312="COMPOSICAO",$A312="INSUMO",$A312&lt;&gt;""),$A312&lt;&gt;"")</formula>
    </cfRule>
  </conditionalFormatting>
  <conditionalFormatting sqref="G315">
    <cfRule type="expression" dxfId="391" priority="429" stopIfTrue="1">
      <formula>AND($A315&lt;&gt;"COMPOSICAO",$A315&lt;&gt;"INSUMO",$A315&lt;&gt;"")</formula>
    </cfRule>
    <cfRule type="expression" dxfId="390" priority="430" stopIfTrue="1">
      <formula>AND(OR($A315="COMPOSICAO",$A315="INSUMO",$A315&lt;&gt;""),$A315&lt;&gt;"")</formula>
    </cfRule>
  </conditionalFormatting>
  <conditionalFormatting sqref="F315">
    <cfRule type="expression" dxfId="389" priority="427" stopIfTrue="1">
      <formula>AND($A315&lt;&gt;"COMPOSICAO",$A315&lt;&gt;"INSUMO",$A315&lt;&gt;"")</formula>
    </cfRule>
    <cfRule type="expression" dxfId="388" priority="428" stopIfTrue="1">
      <formula>AND(OR($A315="COMPOSICAO",$A315="INSUMO",$A315&lt;&gt;""),$A315&lt;&gt;"")</formula>
    </cfRule>
  </conditionalFormatting>
  <conditionalFormatting sqref="A320:B324 D320:E324 C320 C323:C324">
    <cfRule type="expression" dxfId="387" priority="423" stopIfTrue="1">
      <formula>AND($A320&lt;&gt;"COMPOSICAO",$A320&lt;&gt;"INSUMO",$A320&lt;&gt;"")</formula>
    </cfRule>
    <cfRule type="expression" dxfId="386" priority="424" stopIfTrue="1">
      <formula>AND(OR($A320="COMPOSICAO",$A320="INSUMO",$A320&lt;&gt;""),$A320&lt;&gt;"")</formula>
    </cfRule>
  </conditionalFormatting>
  <conditionalFormatting sqref="G320">
    <cfRule type="expression" dxfId="385" priority="421" stopIfTrue="1">
      <formula>AND($A320&lt;&gt;"COMPOSICAO",$A320&lt;&gt;"INSUMO",$A320&lt;&gt;"")</formula>
    </cfRule>
    <cfRule type="expression" dxfId="384" priority="422" stopIfTrue="1">
      <formula>AND(OR($A320="COMPOSICAO",$A320="INSUMO",$A320&lt;&gt;""),$A320&lt;&gt;"")</formula>
    </cfRule>
  </conditionalFormatting>
  <conditionalFormatting sqref="F320">
    <cfRule type="expression" dxfId="383" priority="419" stopIfTrue="1">
      <formula>AND($A320&lt;&gt;"COMPOSICAO",$A320&lt;&gt;"INSUMO",$A320&lt;&gt;"")</formula>
    </cfRule>
    <cfRule type="expression" dxfId="382" priority="420" stopIfTrue="1">
      <formula>AND(OR($A320="COMPOSICAO",$A320="INSUMO",$A320&lt;&gt;""),$A320&lt;&gt;"")</formula>
    </cfRule>
  </conditionalFormatting>
  <conditionalFormatting sqref="A324:E324">
    <cfRule type="expression" dxfId="381" priority="417" stopIfTrue="1">
      <formula>AND($A324&lt;&gt;"COMPOSICAO",$A324&lt;&gt;"INSUMO",$A324&lt;&gt;"")</formula>
    </cfRule>
    <cfRule type="expression" dxfId="380" priority="418" stopIfTrue="1">
      <formula>AND(OR($A324="COMPOSICAO",$A324="INSUMO",$A324&lt;&gt;""),$A324&lt;&gt;"")</formula>
    </cfRule>
  </conditionalFormatting>
  <conditionalFormatting sqref="A324:E325">
    <cfRule type="expression" dxfId="379" priority="415" stopIfTrue="1">
      <formula>AND($A324&lt;&gt;"COMPOSICAO",$A324&lt;&gt;"INSUMO",$A324&lt;&gt;"")</formula>
    </cfRule>
    <cfRule type="expression" dxfId="378" priority="416" stopIfTrue="1">
      <formula>AND(OR($A324="COMPOSICAO",$A324="INSUMO",$A324&lt;&gt;""),$A324&lt;&gt;"")</formula>
    </cfRule>
  </conditionalFormatting>
  <conditionalFormatting sqref="C327:C333 C335:C336 D327:E336 A327:B336 C334:G334">
    <cfRule type="expression" dxfId="377" priority="413" stopIfTrue="1">
      <formula>AND($A327&lt;&gt;"COMPOSICAO",$A327&lt;&gt;"INSUMO",$A327&lt;&gt;"")</formula>
    </cfRule>
    <cfRule type="expression" dxfId="376" priority="414" stopIfTrue="1">
      <formula>AND(OR($A327="COMPOSICAO",$A327="INSUMO",$A327&lt;&gt;""),$A327&lt;&gt;"")</formula>
    </cfRule>
  </conditionalFormatting>
  <conditionalFormatting sqref="A328:E332">
    <cfRule type="expression" dxfId="375" priority="411" stopIfTrue="1">
      <formula>AND($A328&lt;&gt;"COMPOSICAO",$A328&lt;&gt;"INSUMO",$A328&lt;&gt;"")</formula>
    </cfRule>
    <cfRule type="expression" dxfId="374" priority="412" stopIfTrue="1">
      <formula>AND(OR($A328="COMPOSICAO",$A328="INSUMO",$A328&lt;&gt;""),$A328&lt;&gt;"")</formula>
    </cfRule>
  </conditionalFormatting>
  <conditionalFormatting sqref="F327:G327">
    <cfRule type="expression" dxfId="373" priority="409" stopIfTrue="1">
      <formula>AND($A327&lt;&gt;"COMPOSICAO",$A327&lt;&gt;"INSUMO",$A327&lt;&gt;"")</formula>
    </cfRule>
    <cfRule type="expression" dxfId="372" priority="410" stopIfTrue="1">
      <formula>AND(OR($A327="COMPOSICAO",$A327="INSUMO",$A327&lt;&gt;""),$A327&lt;&gt;"")</formula>
    </cfRule>
  </conditionalFormatting>
  <conditionalFormatting sqref="D334:E336 C335:C336 A334:B336 C334:G334">
    <cfRule type="expression" dxfId="371" priority="407" stopIfTrue="1">
      <formula>AND($A334&lt;&gt;"COMPOSICAO",$A334&lt;&gt;"INSUMO",$A334&lt;&gt;"")</formula>
    </cfRule>
    <cfRule type="expression" dxfId="370" priority="408" stopIfTrue="1">
      <formula>AND(OR($A334="COMPOSICAO",$A334="INSUMO",$A334&lt;&gt;""),$A334&lt;&gt;"")</formula>
    </cfRule>
  </conditionalFormatting>
  <conditionalFormatting sqref="F339:G339 A339:B341 D339:E341 C340:C341">
    <cfRule type="expression" dxfId="369" priority="401" stopIfTrue="1">
      <formula>AND($A339&lt;&gt;"COMPOSICAO",$A339&lt;&gt;"INSUMO",$A339&lt;&gt;"")</formula>
    </cfRule>
    <cfRule type="expression" dxfId="368" priority="402" stopIfTrue="1">
      <formula>AND(OR($A339="COMPOSICAO",$A339="INSUMO",$A339&lt;&gt;""),$A339&lt;&gt;"")</formula>
    </cfRule>
  </conditionalFormatting>
  <conditionalFormatting sqref="F339:G339 A339:B341 D339:E341 C340:C341">
    <cfRule type="expression" dxfId="367" priority="399" stopIfTrue="1">
      <formula>AND($A339&lt;&gt;"COMPOSICAO",$A339&lt;&gt;"INSUMO",$A339&lt;&gt;"")</formula>
    </cfRule>
    <cfRule type="expression" dxfId="366" priority="400" stopIfTrue="1">
      <formula>AND(OR($A339="COMPOSICAO",$A339="INSUMO",$A339&lt;&gt;""),$A339&lt;&gt;"")</formula>
    </cfRule>
  </conditionalFormatting>
  <conditionalFormatting sqref="A336:E336">
    <cfRule type="expression" dxfId="365" priority="397" stopIfTrue="1">
      <formula>AND($A336&lt;&gt;"COMPOSICAO",$A336&lt;&gt;"INSUMO",$A336&lt;&gt;"")</formula>
    </cfRule>
    <cfRule type="expression" dxfId="364" priority="398" stopIfTrue="1">
      <formula>AND(OR($A336="COMPOSICAO",$A336="INSUMO",$A336&lt;&gt;""),$A336&lt;&gt;"")</formula>
    </cfRule>
  </conditionalFormatting>
  <conditionalFormatting sqref="A341:E341">
    <cfRule type="expression" dxfId="363" priority="395" stopIfTrue="1">
      <formula>AND($A341&lt;&gt;"COMPOSICAO",$A341&lt;&gt;"INSUMO",$A341&lt;&gt;"")</formula>
    </cfRule>
    <cfRule type="expression" dxfId="362" priority="396" stopIfTrue="1">
      <formula>AND(OR($A341="COMPOSICAO",$A341="INSUMO",$A341&lt;&gt;""),$A341&lt;&gt;"")</formula>
    </cfRule>
  </conditionalFormatting>
  <conditionalFormatting sqref="A341:E341">
    <cfRule type="expression" dxfId="361" priority="393" stopIfTrue="1">
      <formula>AND($A341&lt;&gt;"COMPOSICAO",$A341&lt;&gt;"INSUMO",$A341&lt;&gt;"")</formula>
    </cfRule>
    <cfRule type="expression" dxfId="360" priority="394" stopIfTrue="1">
      <formula>AND(OR($A341="COMPOSICAO",$A341="INSUMO",$A341&lt;&gt;""),$A341&lt;&gt;"")</formula>
    </cfRule>
  </conditionalFormatting>
  <conditionalFormatting sqref="A341:E341">
    <cfRule type="expression" dxfId="359" priority="391" stopIfTrue="1">
      <formula>AND($A341&lt;&gt;"COMPOSICAO",$A341&lt;&gt;"INSUMO",$A341&lt;&gt;"")</formula>
    </cfRule>
    <cfRule type="expression" dxfId="358" priority="392" stopIfTrue="1">
      <formula>AND(OR($A341="COMPOSICAO",$A341="INSUMO",$A341&lt;&gt;""),$A341&lt;&gt;"")</formula>
    </cfRule>
  </conditionalFormatting>
  <conditionalFormatting sqref="F344:G344 A344:B346 D344:E346 C345:C346">
    <cfRule type="expression" dxfId="357" priority="389" stopIfTrue="1">
      <formula>AND($A344&lt;&gt;"COMPOSICAO",$A344&lt;&gt;"INSUMO",$A344&lt;&gt;"")</formula>
    </cfRule>
    <cfRule type="expression" dxfId="356" priority="390" stopIfTrue="1">
      <formula>AND(OR($A344="COMPOSICAO",$A344="INSUMO",$A344&lt;&gt;""),$A344&lt;&gt;"")</formula>
    </cfRule>
  </conditionalFormatting>
  <conditionalFormatting sqref="F344:G344 A344:B346 D344:E346 C345:C346">
    <cfRule type="expression" dxfId="355" priority="387" stopIfTrue="1">
      <formula>AND($A344&lt;&gt;"COMPOSICAO",$A344&lt;&gt;"INSUMO",$A344&lt;&gt;"")</formula>
    </cfRule>
    <cfRule type="expression" dxfId="354" priority="388" stopIfTrue="1">
      <formula>AND(OR($A344="COMPOSICAO",$A344="INSUMO",$A344&lt;&gt;""),$A344&lt;&gt;"")</formula>
    </cfRule>
  </conditionalFormatting>
  <conditionalFormatting sqref="A346:E346">
    <cfRule type="expression" dxfId="353" priority="385" stopIfTrue="1">
      <formula>AND($A346&lt;&gt;"COMPOSICAO",$A346&lt;&gt;"INSUMO",$A346&lt;&gt;"")</formula>
    </cfRule>
    <cfRule type="expression" dxfId="352" priority="386" stopIfTrue="1">
      <formula>AND(OR($A346="COMPOSICAO",$A346="INSUMO",$A346&lt;&gt;""),$A346&lt;&gt;"")</formula>
    </cfRule>
  </conditionalFormatting>
  <conditionalFormatting sqref="A346:E346">
    <cfRule type="expression" dxfId="351" priority="383" stopIfTrue="1">
      <formula>AND($A346&lt;&gt;"COMPOSICAO",$A346&lt;&gt;"INSUMO",$A346&lt;&gt;"")</formula>
    </cfRule>
    <cfRule type="expression" dxfId="350" priority="384" stopIfTrue="1">
      <formula>AND(OR($A346="COMPOSICAO",$A346="INSUMO",$A346&lt;&gt;""),$A346&lt;&gt;"")</formula>
    </cfRule>
  </conditionalFormatting>
  <conditionalFormatting sqref="A346:E346">
    <cfRule type="expression" dxfId="349" priority="381" stopIfTrue="1">
      <formula>AND($A346&lt;&gt;"COMPOSICAO",$A346&lt;&gt;"INSUMO",$A346&lt;&gt;"")</formula>
    </cfRule>
    <cfRule type="expression" dxfId="348" priority="382" stopIfTrue="1">
      <formula>AND(OR($A346="COMPOSICAO",$A346="INSUMO",$A346&lt;&gt;""),$A346&lt;&gt;"")</formula>
    </cfRule>
  </conditionalFormatting>
  <conditionalFormatting sqref="C339">
    <cfRule type="expression" dxfId="347" priority="379" stopIfTrue="1">
      <formula>AND($A339&lt;&gt;"COMPOSICAO",$A339&lt;&gt;"INSUMO",$A339&lt;&gt;"")</formula>
    </cfRule>
    <cfRule type="expression" dxfId="346" priority="380" stopIfTrue="1">
      <formula>AND(OR($A339="COMPOSICAO",$A339="INSUMO",$A339&lt;&gt;""),$A339&lt;&gt;"")</formula>
    </cfRule>
  </conditionalFormatting>
  <conditionalFormatting sqref="C339">
    <cfRule type="expression" dxfId="345" priority="377" stopIfTrue="1">
      <formula>AND($A339&lt;&gt;"COMPOSICAO",$A339&lt;&gt;"INSUMO",$A339&lt;&gt;"")</formula>
    </cfRule>
    <cfRule type="expression" dxfId="344" priority="378" stopIfTrue="1">
      <formula>AND(OR($A339="COMPOSICAO",$A339="INSUMO",$A339&lt;&gt;""),$A339&lt;&gt;"")</formula>
    </cfRule>
  </conditionalFormatting>
  <conditionalFormatting sqref="C344">
    <cfRule type="expression" dxfId="343" priority="375" stopIfTrue="1">
      <formula>AND($A344&lt;&gt;"COMPOSICAO",$A344&lt;&gt;"INSUMO",$A344&lt;&gt;"")</formula>
    </cfRule>
    <cfRule type="expression" dxfId="342" priority="376" stopIfTrue="1">
      <formula>AND(OR($A344="COMPOSICAO",$A344="INSUMO",$A344&lt;&gt;""),$A344&lt;&gt;"")</formula>
    </cfRule>
  </conditionalFormatting>
  <conditionalFormatting sqref="C344">
    <cfRule type="expression" dxfId="341" priority="373" stopIfTrue="1">
      <formula>AND($A344&lt;&gt;"COMPOSICAO",$A344&lt;&gt;"INSUMO",$A344&lt;&gt;"")</formula>
    </cfRule>
    <cfRule type="expression" dxfId="340" priority="374" stopIfTrue="1">
      <formula>AND(OR($A344="COMPOSICAO",$A344="INSUMO",$A344&lt;&gt;""),$A344&lt;&gt;"")</formula>
    </cfRule>
  </conditionalFormatting>
  <conditionalFormatting sqref="F349:G349 A349:B351 D349:E351 C350:C351">
    <cfRule type="expression" dxfId="339" priority="371" stopIfTrue="1">
      <formula>AND($A349&lt;&gt;"COMPOSICAO",$A349&lt;&gt;"INSUMO",$A349&lt;&gt;"")</formula>
    </cfRule>
    <cfRule type="expression" dxfId="338" priority="372" stopIfTrue="1">
      <formula>AND(OR($A349="COMPOSICAO",$A349="INSUMO",$A349&lt;&gt;""),$A349&lt;&gt;"")</formula>
    </cfRule>
  </conditionalFormatting>
  <conditionalFormatting sqref="F349:G349 A349:B351 D349:E351 C350:C351">
    <cfRule type="expression" dxfId="337" priority="369" stopIfTrue="1">
      <formula>AND($A349&lt;&gt;"COMPOSICAO",$A349&lt;&gt;"INSUMO",$A349&lt;&gt;"")</formula>
    </cfRule>
    <cfRule type="expression" dxfId="336" priority="370" stopIfTrue="1">
      <formula>AND(OR($A349="COMPOSICAO",$A349="INSUMO",$A349&lt;&gt;""),$A349&lt;&gt;"")</formula>
    </cfRule>
  </conditionalFormatting>
  <conditionalFormatting sqref="A351:E351">
    <cfRule type="expression" dxfId="335" priority="367" stopIfTrue="1">
      <formula>AND($A351&lt;&gt;"COMPOSICAO",$A351&lt;&gt;"INSUMO",$A351&lt;&gt;"")</formula>
    </cfRule>
    <cfRule type="expression" dxfId="334" priority="368" stopIfTrue="1">
      <formula>AND(OR($A351="COMPOSICAO",$A351="INSUMO",$A351&lt;&gt;""),$A351&lt;&gt;"")</formula>
    </cfRule>
  </conditionalFormatting>
  <conditionalFormatting sqref="A351:E351">
    <cfRule type="expression" dxfId="333" priority="365" stopIfTrue="1">
      <formula>AND($A351&lt;&gt;"COMPOSICAO",$A351&lt;&gt;"INSUMO",$A351&lt;&gt;"")</formula>
    </cfRule>
    <cfRule type="expression" dxfId="332" priority="366" stopIfTrue="1">
      <formula>AND(OR($A351="COMPOSICAO",$A351="INSUMO",$A351&lt;&gt;""),$A351&lt;&gt;"")</formula>
    </cfRule>
  </conditionalFormatting>
  <conditionalFormatting sqref="A351:E351">
    <cfRule type="expression" dxfId="331" priority="363" stopIfTrue="1">
      <formula>AND($A351&lt;&gt;"COMPOSICAO",$A351&lt;&gt;"INSUMO",$A351&lt;&gt;"")</formula>
    </cfRule>
    <cfRule type="expression" dxfId="330" priority="364" stopIfTrue="1">
      <formula>AND(OR($A351="COMPOSICAO",$A351="INSUMO",$A351&lt;&gt;""),$A351&lt;&gt;"")</formula>
    </cfRule>
  </conditionalFormatting>
  <conditionalFormatting sqref="C349">
    <cfRule type="expression" dxfId="329" priority="361" stopIfTrue="1">
      <formula>AND($A349&lt;&gt;"COMPOSICAO",$A349&lt;&gt;"INSUMO",$A349&lt;&gt;"")</formula>
    </cfRule>
    <cfRule type="expression" dxfId="328" priority="362" stopIfTrue="1">
      <formula>AND(OR($A349="COMPOSICAO",$A349="INSUMO",$A349&lt;&gt;""),$A349&lt;&gt;"")</formula>
    </cfRule>
  </conditionalFormatting>
  <conditionalFormatting sqref="C349">
    <cfRule type="expression" dxfId="327" priority="359" stopIfTrue="1">
      <formula>AND($A349&lt;&gt;"COMPOSICAO",$A349&lt;&gt;"INSUMO",$A349&lt;&gt;"")</formula>
    </cfRule>
    <cfRule type="expression" dxfId="326" priority="360" stopIfTrue="1">
      <formula>AND(OR($A349="COMPOSICAO",$A349="INSUMO",$A349&lt;&gt;""),$A349&lt;&gt;"")</formula>
    </cfRule>
  </conditionalFormatting>
  <conditionalFormatting sqref="A352:E352">
    <cfRule type="expression" dxfId="325" priority="357" stopIfTrue="1">
      <formula>AND($A352&lt;&gt;"COMPOSICAO",$A352&lt;&gt;"INSUMO",$A352&lt;&gt;"")</formula>
    </cfRule>
    <cfRule type="expression" dxfId="324" priority="358" stopIfTrue="1">
      <formula>AND(OR($A352="COMPOSICAO",$A352="INSUMO",$A352&lt;&gt;""),$A352&lt;&gt;"")</formula>
    </cfRule>
  </conditionalFormatting>
  <conditionalFormatting sqref="G352">
    <cfRule type="expression" dxfId="323" priority="355" stopIfTrue="1">
      <formula>AND($A352&lt;&gt;"COMPOSICAO",$A352&lt;&gt;"INSUMO",$A352&lt;&gt;"")</formula>
    </cfRule>
    <cfRule type="expression" dxfId="322" priority="356" stopIfTrue="1">
      <formula>AND(OR($A352="COMPOSICAO",$A352="INSUMO",$A352&lt;&gt;""),$A352&lt;&gt;"")</formula>
    </cfRule>
  </conditionalFormatting>
  <conditionalFormatting sqref="F352">
    <cfRule type="expression" dxfId="321" priority="353" stopIfTrue="1">
      <formula>AND($A352&lt;&gt;"COMPOSICAO",$A352&lt;&gt;"INSUMO",$A352&lt;&gt;"")</formula>
    </cfRule>
    <cfRule type="expression" dxfId="320" priority="354" stopIfTrue="1">
      <formula>AND(OR($A352="COMPOSICAO",$A352="INSUMO",$A352&lt;&gt;""),$A352&lt;&gt;"")</formula>
    </cfRule>
  </conditionalFormatting>
  <conditionalFormatting sqref="A356:E356">
    <cfRule type="expression" dxfId="319" priority="351" stopIfTrue="1">
      <formula>AND($A356&lt;&gt;"COMPOSICAO",$A356&lt;&gt;"INSUMO",$A356&lt;&gt;"")</formula>
    </cfRule>
    <cfRule type="expression" dxfId="318" priority="352" stopIfTrue="1">
      <formula>AND(OR($A356="COMPOSICAO",$A356="INSUMO",$A356&lt;&gt;""),$A356&lt;&gt;"")</formula>
    </cfRule>
  </conditionalFormatting>
  <conditionalFormatting sqref="G356">
    <cfRule type="expression" dxfId="317" priority="349" stopIfTrue="1">
      <formula>AND($A356&lt;&gt;"COMPOSICAO",$A356&lt;&gt;"INSUMO",$A356&lt;&gt;"")</formula>
    </cfRule>
    <cfRule type="expression" dxfId="316" priority="350" stopIfTrue="1">
      <formula>AND(OR($A356="COMPOSICAO",$A356="INSUMO",$A356&lt;&gt;""),$A356&lt;&gt;"")</formula>
    </cfRule>
  </conditionalFormatting>
  <conditionalFormatting sqref="F356">
    <cfRule type="expression" dxfId="315" priority="347" stopIfTrue="1">
      <formula>AND($A356&lt;&gt;"COMPOSICAO",$A356&lt;&gt;"INSUMO",$A356&lt;&gt;"")</formula>
    </cfRule>
    <cfRule type="expression" dxfId="314" priority="348" stopIfTrue="1">
      <formula>AND(OR($A356="COMPOSICAO",$A356="INSUMO",$A356&lt;&gt;""),$A356&lt;&gt;"")</formula>
    </cfRule>
  </conditionalFormatting>
  <conditionalFormatting sqref="A362:E362">
    <cfRule type="expression" dxfId="313" priority="345" stopIfTrue="1">
      <formula>AND($A362&lt;&gt;"COMPOSICAO",$A362&lt;&gt;"INSUMO",$A362&lt;&gt;"")</formula>
    </cfRule>
    <cfRule type="expression" dxfId="312" priority="346" stopIfTrue="1">
      <formula>AND(OR($A362="COMPOSICAO",$A362="INSUMO",$A362&lt;&gt;""),$A362&lt;&gt;"")</formula>
    </cfRule>
  </conditionalFormatting>
  <conditionalFormatting sqref="G362">
    <cfRule type="expression" dxfId="311" priority="343" stopIfTrue="1">
      <formula>AND($A362&lt;&gt;"COMPOSICAO",$A362&lt;&gt;"INSUMO",$A362&lt;&gt;"")</formula>
    </cfRule>
    <cfRule type="expression" dxfId="310" priority="344" stopIfTrue="1">
      <formula>AND(OR($A362="COMPOSICAO",$A362="INSUMO",$A362&lt;&gt;""),$A362&lt;&gt;"")</formula>
    </cfRule>
  </conditionalFormatting>
  <conditionalFormatting sqref="F362">
    <cfRule type="expression" dxfId="309" priority="341" stopIfTrue="1">
      <formula>AND($A362&lt;&gt;"COMPOSICAO",$A362&lt;&gt;"INSUMO",$A362&lt;&gt;"")</formula>
    </cfRule>
    <cfRule type="expression" dxfId="308" priority="342" stopIfTrue="1">
      <formula>AND(OR($A362="COMPOSICAO",$A362="INSUMO",$A362&lt;&gt;""),$A362&lt;&gt;"")</formula>
    </cfRule>
  </conditionalFormatting>
  <conditionalFormatting sqref="A368:E368">
    <cfRule type="expression" dxfId="307" priority="339" stopIfTrue="1">
      <formula>AND($A368&lt;&gt;"COMPOSICAO",$A368&lt;&gt;"INSUMO",$A368&lt;&gt;"")</formula>
    </cfRule>
    <cfRule type="expression" dxfId="306" priority="340" stopIfTrue="1">
      <formula>AND(OR($A368="COMPOSICAO",$A368="INSUMO",$A368&lt;&gt;""),$A368&lt;&gt;"")</formula>
    </cfRule>
  </conditionalFormatting>
  <conditionalFormatting sqref="G368">
    <cfRule type="expression" dxfId="305" priority="337" stopIfTrue="1">
      <formula>AND($A368&lt;&gt;"COMPOSICAO",$A368&lt;&gt;"INSUMO",$A368&lt;&gt;"")</formula>
    </cfRule>
    <cfRule type="expression" dxfId="304" priority="338" stopIfTrue="1">
      <formula>AND(OR($A368="COMPOSICAO",$A368="INSUMO",$A368&lt;&gt;""),$A368&lt;&gt;"")</formula>
    </cfRule>
  </conditionalFormatting>
  <conditionalFormatting sqref="F368">
    <cfRule type="expression" dxfId="303" priority="335" stopIfTrue="1">
      <formula>AND($A368&lt;&gt;"COMPOSICAO",$A368&lt;&gt;"INSUMO",$A368&lt;&gt;"")</formula>
    </cfRule>
    <cfRule type="expression" dxfId="302" priority="336" stopIfTrue="1">
      <formula>AND(OR($A368="COMPOSICAO",$A368="INSUMO",$A368&lt;&gt;""),$A368&lt;&gt;"")</formula>
    </cfRule>
  </conditionalFormatting>
  <conditionalFormatting sqref="A374:E374">
    <cfRule type="expression" dxfId="301" priority="333" stopIfTrue="1">
      <formula>AND($A374&lt;&gt;"COMPOSICAO",$A374&lt;&gt;"INSUMO",$A374&lt;&gt;"")</formula>
    </cfRule>
    <cfRule type="expression" dxfId="300" priority="334" stopIfTrue="1">
      <formula>AND(OR($A374="COMPOSICAO",$A374="INSUMO",$A374&lt;&gt;""),$A374&lt;&gt;"")</formula>
    </cfRule>
  </conditionalFormatting>
  <conditionalFormatting sqref="G374">
    <cfRule type="expression" dxfId="299" priority="331" stopIfTrue="1">
      <formula>AND($A374&lt;&gt;"COMPOSICAO",$A374&lt;&gt;"INSUMO",$A374&lt;&gt;"")</formula>
    </cfRule>
    <cfRule type="expression" dxfId="298" priority="332" stopIfTrue="1">
      <formula>AND(OR($A374="COMPOSICAO",$A374="INSUMO",$A374&lt;&gt;""),$A374&lt;&gt;"")</formula>
    </cfRule>
  </conditionalFormatting>
  <conditionalFormatting sqref="F374">
    <cfRule type="expression" dxfId="297" priority="329" stopIfTrue="1">
      <formula>AND($A374&lt;&gt;"COMPOSICAO",$A374&lt;&gt;"INSUMO",$A374&lt;&gt;"")</formula>
    </cfRule>
    <cfRule type="expression" dxfId="296" priority="330" stopIfTrue="1">
      <formula>AND(OR($A374="COMPOSICAO",$A374="INSUMO",$A374&lt;&gt;""),$A374&lt;&gt;"")</formula>
    </cfRule>
  </conditionalFormatting>
  <conditionalFormatting sqref="A380:E380">
    <cfRule type="expression" dxfId="295" priority="327" stopIfTrue="1">
      <formula>AND($A380&lt;&gt;"COMPOSICAO",$A380&lt;&gt;"INSUMO",$A380&lt;&gt;"")</formula>
    </cfRule>
    <cfRule type="expression" dxfId="294" priority="328" stopIfTrue="1">
      <formula>AND(OR($A380="COMPOSICAO",$A380="INSUMO",$A380&lt;&gt;""),$A380&lt;&gt;"")</formula>
    </cfRule>
  </conditionalFormatting>
  <conditionalFormatting sqref="G380">
    <cfRule type="expression" dxfId="293" priority="325" stopIfTrue="1">
      <formula>AND($A380&lt;&gt;"COMPOSICAO",$A380&lt;&gt;"INSUMO",$A380&lt;&gt;"")</formula>
    </cfRule>
    <cfRule type="expression" dxfId="292" priority="326" stopIfTrue="1">
      <formula>AND(OR($A380="COMPOSICAO",$A380="INSUMO",$A380&lt;&gt;""),$A380&lt;&gt;"")</formula>
    </cfRule>
  </conditionalFormatting>
  <conditionalFormatting sqref="F380">
    <cfRule type="expression" dxfId="291" priority="323" stopIfTrue="1">
      <formula>AND($A380&lt;&gt;"COMPOSICAO",$A380&lt;&gt;"INSUMO",$A380&lt;&gt;"")</formula>
    </cfRule>
    <cfRule type="expression" dxfId="290" priority="324" stopIfTrue="1">
      <formula>AND(OR($A380="COMPOSICAO",$A380="INSUMO",$A380&lt;&gt;""),$A380&lt;&gt;"")</formula>
    </cfRule>
  </conditionalFormatting>
  <conditionalFormatting sqref="A386:E386">
    <cfRule type="expression" dxfId="289" priority="321" stopIfTrue="1">
      <formula>AND($A386&lt;&gt;"COMPOSICAO",$A386&lt;&gt;"INSUMO",$A386&lt;&gt;"")</formula>
    </cfRule>
    <cfRule type="expression" dxfId="288" priority="322" stopIfTrue="1">
      <formula>AND(OR($A386="COMPOSICAO",$A386="INSUMO",$A386&lt;&gt;""),$A386&lt;&gt;"")</formula>
    </cfRule>
  </conditionalFormatting>
  <conditionalFormatting sqref="G386">
    <cfRule type="expression" dxfId="287" priority="319" stopIfTrue="1">
      <formula>AND($A386&lt;&gt;"COMPOSICAO",$A386&lt;&gt;"INSUMO",$A386&lt;&gt;"")</formula>
    </cfRule>
    <cfRule type="expression" dxfId="286" priority="320" stopIfTrue="1">
      <formula>AND(OR($A386="COMPOSICAO",$A386="INSUMO",$A386&lt;&gt;""),$A386&lt;&gt;"")</formula>
    </cfRule>
  </conditionalFormatting>
  <conditionalFormatting sqref="F386">
    <cfRule type="expression" dxfId="285" priority="317" stopIfTrue="1">
      <formula>AND($A386&lt;&gt;"COMPOSICAO",$A386&lt;&gt;"INSUMO",$A386&lt;&gt;"")</formula>
    </cfRule>
    <cfRule type="expression" dxfId="284" priority="318" stopIfTrue="1">
      <formula>AND(OR($A386="COMPOSICAO",$A386="INSUMO",$A386&lt;&gt;""),$A386&lt;&gt;"")</formula>
    </cfRule>
  </conditionalFormatting>
  <conditionalFormatting sqref="A392:E392">
    <cfRule type="expression" dxfId="283" priority="315" stopIfTrue="1">
      <formula>AND($A392&lt;&gt;"COMPOSICAO",$A392&lt;&gt;"INSUMO",$A392&lt;&gt;"")</formula>
    </cfRule>
    <cfRule type="expression" dxfId="282" priority="316" stopIfTrue="1">
      <formula>AND(OR($A392="COMPOSICAO",$A392="INSUMO",$A392&lt;&gt;""),$A392&lt;&gt;"")</formula>
    </cfRule>
  </conditionalFormatting>
  <conditionalFormatting sqref="G392">
    <cfRule type="expression" dxfId="281" priority="313" stopIfTrue="1">
      <formula>AND($A392&lt;&gt;"COMPOSICAO",$A392&lt;&gt;"INSUMO",$A392&lt;&gt;"")</formula>
    </cfRule>
    <cfRule type="expression" dxfId="280" priority="314" stopIfTrue="1">
      <formula>AND(OR($A392="COMPOSICAO",$A392="INSUMO",$A392&lt;&gt;""),$A392&lt;&gt;"")</formula>
    </cfRule>
  </conditionalFormatting>
  <conditionalFormatting sqref="F392">
    <cfRule type="expression" dxfId="279" priority="311" stopIfTrue="1">
      <formula>AND($A392&lt;&gt;"COMPOSICAO",$A392&lt;&gt;"INSUMO",$A392&lt;&gt;"")</formula>
    </cfRule>
    <cfRule type="expression" dxfId="278" priority="312" stopIfTrue="1">
      <formula>AND(OR($A392="COMPOSICAO",$A392="INSUMO",$A392&lt;&gt;""),$A392&lt;&gt;"")</formula>
    </cfRule>
  </conditionalFormatting>
  <conditionalFormatting sqref="A397:E397">
    <cfRule type="expression" dxfId="277" priority="309" stopIfTrue="1">
      <formula>AND($A397&lt;&gt;"COMPOSICAO",$A397&lt;&gt;"INSUMO",$A397&lt;&gt;"")</formula>
    </cfRule>
    <cfRule type="expression" dxfId="276" priority="310" stopIfTrue="1">
      <formula>AND(OR($A397="COMPOSICAO",$A397="INSUMO",$A397&lt;&gt;""),$A397&lt;&gt;"")</formula>
    </cfRule>
  </conditionalFormatting>
  <conditionalFormatting sqref="G397">
    <cfRule type="expression" dxfId="275" priority="307" stopIfTrue="1">
      <formula>AND($A397&lt;&gt;"COMPOSICAO",$A397&lt;&gt;"INSUMO",$A397&lt;&gt;"")</formula>
    </cfRule>
    <cfRule type="expression" dxfId="274" priority="308" stopIfTrue="1">
      <formula>AND(OR($A397="COMPOSICAO",$A397="INSUMO",$A397&lt;&gt;""),$A397&lt;&gt;"")</formula>
    </cfRule>
  </conditionalFormatting>
  <conditionalFormatting sqref="F397">
    <cfRule type="expression" dxfId="273" priority="305" stopIfTrue="1">
      <formula>AND($A397&lt;&gt;"COMPOSICAO",$A397&lt;&gt;"INSUMO",$A397&lt;&gt;"")</formula>
    </cfRule>
    <cfRule type="expression" dxfId="272" priority="306" stopIfTrue="1">
      <formula>AND(OR($A397="COMPOSICAO",$A397="INSUMO",$A397&lt;&gt;""),$A397&lt;&gt;"")</formula>
    </cfRule>
  </conditionalFormatting>
  <conditionalFormatting sqref="A409:E414">
    <cfRule type="expression" dxfId="271" priority="303" stopIfTrue="1">
      <formula>AND($A409&lt;&gt;"COMPOSICAO",$A409&lt;&gt;"INSUMO",$A409&lt;&gt;"")</formula>
    </cfRule>
    <cfRule type="expression" dxfId="270" priority="304" stopIfTrue="1">
      <formula>AND(OR($A409="COMPOSICAO",$A409="INSUMO",$A409&lt;&gt;""),$A409&lt;&gt;"")</formula>
    </cfRule>
  </conditionalFormatting>
  <conditionalFormatting sqref="F409:G409">
    <cfRule type="expression" dxfId="269" priority="301" stopIfTrue="1">
      <formula>AND($A409&lt;&gt;"COMPOSICAO",$A409&lt;&gt;"INSUMO",$A409&lt;&gt;"")</formula>
    </cfRule>
    <cfRule type="expression" dxfId="268" priority="302" stopIfTrue="1">
      <formula>AND(OR($A409="COMPOSICAO",$A409="INSUMO",$A409&lt;&gt;""),$A409&lt;&gt;"")</formula>
    </cfRule>
  </conditionalFormatting>
  <conditionalFormatting sqref="A415:E420 A420:A421">
    <cfRule type="expression" dxfId="267" priority="299" stopIfTrue="1">
      <formula>AND($A415&lt;&gt;"COMPOSICAO",$A415&lt;&gt;"INSUMO",$A415&lt;&gt;"")</formula>
    </cfRule>
    <cfRule type="expression" dxfId="266" priority="300" stopIfTrue="1">
      <formula>AND(OR($A415="COMPOSICAO",$A415="INSUMO",$A415&lt;&gt;""),$A415&lt;&gt;"")</formula>
    </cfRule>
  </conditionalFormatting>
  <conditionalFormatting sqref="F415:G415">
    <cfRule type="expression" dxfId="265" priority="297" stopIfTrue="1">
      <formula>AND($A415&lt;&gt;"COMPOSICAO",$A415&lt;&gt;"INSUMO",$A415&lt;&gt;"")</formula>
    </cfRule>
    <cfRule type="expression" dxfId="264" priority="298" stopIfTrue="1">
      <formula>AND(OR($A415="COMPOSICAO",$A415="INSUMO",$A415&lt;&gt;""),$A415&lt;&gt;"")</formula>
    </cfRule>
  </conditionalFormatting>
  <conditionalFormatting sqref="A423:E426">
    <cfRule type="expression" dxfId="263" priority="295" stopIfTrue="1">
      <formula>AND($A423&lt;&gt;"COMPOSICAO",$A423&lt;&gt;"INSUMO",$A423&lt;&gt;"")</formula>
    </cfRule>
    <cfRule type="expression" dxfId="262" priority="296" stopIfTrue="1">
      <formula>AND(OR($A423="COMPOSICAO",$A423="INSUMO",$A423&lt;&gt;""),$A423&lt;&gt;"")</formula>
    </cfRule>
  </conditionalFormatting>
  <conditionalFormatting sqref="F423:G423">
    <cfRule type="expression" dxfId="261" priority="293" stopIfTrue="1">
      <formula>AND($A423&lt;&gt;"COMPOSICAO",$A423&lt;&gt;"INSUMO",$A423&lt;&gt;"")</formula>
    </cfRule>
    <cfRule type="expression" dxfId="260" priority="294" stopIfTrue="1">
      <formula>AND(OR($A423="COMPOSICAO",$A423="INSUMO",$A423&lt;&gt;""),$A423&lt;&gt;"")</formula>
    </cfRule>
  </conditionalFormatting>
  <conditionalFormatting sqref="A429:E431">
    <cfRule type="expression" dxfId="259" priority="289" stopIfTrue="1">
      <formula>AND($A429&lt;&gt;"COMPOSICAO",$A429&lt;&gt;"INSUMO",$A429&lt;&gt;"")</formula>
    </cfRule>
    <cfRule type="expression" dxfId="258" priority="290" stopIfTrue="1">
      <formula>AND(OR($A429="COMPOSICAO",$A429="INSUMO",$A429&lt;&gt;""),$A429&lt;&gt;"")</formula>
    </cfRule>
  </conditionalFormatting>
  <conditionalFormatting sqref="F429:G429">
    <cfRule type="expression" dxfId="257" priority="287" stopIfTrue="1">
      <formula>AND($A429&lt;&gt;"COMPOSICAO",$A429&lt;&gt;"INSUMO",$A429&lt;&gt;"")</formula>
    </cfRule>
    <cfRule type="expression" dxfId="256" priority="288" stopIfTrue="1">
      <formula>AND(OR($A429="COMPOSICAO",$A429="INSUMO",$A429&lt;&gt;""),$A429&lt;&gt;"")</formula>
    </cfRule>
  </conditionalFormatting>
  <conditionalFormatting sqref="A436:E437 A440:E440 A435:B435 D435:E435 A439:B439 D439:E439">
    <cfRule type="expression" dxfId="255" priority="285" stopIfTrue="1">
      <formula>AND($A435&lt;&gt;"COMPOSICAO",$A435&lt;&gt;"INSUMO",$A435&lt;&gt;"")</formula>
    </cfRule>
    <cfRule type="expression" dxfId="254" priority="286" stopIfTrue="1">
      <formula>AND(OR($A435="COMPOSICAO",$A435="INSUMO",$A435&lt;&gt;""),$A435&lt;&gt;"")</formula>
    </cfRule>
  </conditionalFormatting>
  <conditionalFormatting sqref="F435:G435">
    <cfRule type="expression" dxfId="253" priority="283" stopIfTrue="1">
      <formula>AND($A435&lt;&gt;"COMPOSICAO",$A435&lt;&gt;"INSUMO",$A435&lt;&gt;"")</formula>
    </cfRule>
    <cfRule type="expression" dxfId="252" priority="284" stopIfTrue="1">
      <formula>AND(OR($A435="COMPOSICAO",$A435="INSUMO",$A435&lt;&gt;""),$A435&lt;&gt;"")</formula>
    </cfRule>
  </conditionalFormatting>
  <conditionalFormatting sqref="C435">
    <cfRule type="expression" dxfId="251" priority="281" stopIfTrue="1">
      <formula>AND($A435&lt;&gt;"COMPOSICAO",$A435&lt;&gt;"INSUMO",$A435&lt;&gt;"")</formula>
    </cfRule>
    <cfRule type="expression" dxfId="250" priority="282" stopIfTrue="1">
      <formula>AND(OR($A435="COMPOSICAO",$A435="INSUMO",$A435&lt;&gt;""),$A435&lt;&gt;"")</formula>
    </cfRule>
  </conditionalFormatting>
  <conditionalFormatting sqref="A442:E443 A441:B441 D441:E441 A445:B445 D445:E445">
    <cfRule type="expression" dxfId="249" priority="279" stopIfTrue="1">
      <formula>AND($A441&lt;&gt;"COMPOSICAO",$A441&lt;&gt;"INSUMO",$A441&lt;&gt;"")</formula>
    </cfRule>
    <cfRule type="expression" dxfId="248" priority="280" stopIfTrue="1">
      <formula>AND(OR($A441="COMPOSICAO",$A441="INSUMO",$A441&lt;&gt;""),$A441&lt;&gt;"")</formula>
    </cfRule>
  </conditionalFormatting>
  <conditionalFormatting sqref="F441:G441">
    <cfRule type="expression" dxfId="247" priority="277" stopIfTrue="1">
      <formula>AND($A441&lt;&gt;"COMPOSICAO",$A441&lt;&gt;"INSUMO",$A441&lt;&gt;"")</formula>
    </cfRule>
    <cfRule type="expression" dxfId="246" priority="278" stopIfTrue="1">
      <formula>AND(OR($A441="COMPOSICAO",$A441="INSUMO",$A441&lt;&gt;""),$A441&lt;&gt;"")</formula>
    </cfRule>
  </conditionalFormatting>
  <conditionalFormatting sqref="C453">
    <cfRule type="expression" dxfId="245" priority="259" stopIfTrue="1">
      <formula>AND($A453&lt;&gt;"COMPOSICAO",$A453&lt;&gt;"INSUMO",$A453&lt;&gt;"")</formula>
    </cfRule>
    <cfRule type="expression" dxfId="244" priority="260" stopIfTrue="1">
      <formula>AND(OR($A453="COMPOSICAO",$A453="INSUMO",$A453&lt;&gt;""),$A453&lt;&gt;"")</formula>
    </cfRule>
  </conditionalFormatting>
  <conditionalFormatting sqref="C441">
    <cfRule type="expression" dxfId="243" priority="273" stopIfTrue="1">
      <formula>AND($A441&lt;&gt;"COMPOSICAO",$A441&lt;&gt;"INSUMO",$A441&lt;&gt;"")</formula>
    </cfRule>
    <cfRule type="expression" dxfId="242" priority="274" stopIfTrue="1">
      <formula>AND(OR($A441="COMPOSICAO",$A441="INSUMO",$A441&lt;&gt;""),$A441&lt;&gt;"")</formula>
    </cfRule>
  </conditionalFormatting>
  <conditionalFormatting sqref="A448:E449 A447:B447 D447:E447 A451:B451 D451:E451">
    <cfRule type="expression" dxfId="241" priority="271" stopIfTrue="1">
      <formula>AND($A447&lt;&gt;"COMPOSICAO",$A447&lt;&gt;"INSUMO",$A447&lt;&gt;"")</formula>
    </cfRule>
    <cfRule type="expression" dxfId="240" priority="272" stopIfTrue="1">
      <formula>AND(OR($A447="COMPOSICAO",$A447="INSUMO",$A447&lt;&gt;""),$A447&lt;&gt;"")</formula>
    </cfRule>
  </conditionalFormatting>
  <conditionalFormatting sqref="F447:G447">
    <cfRule type="expression" dxfId="239" priority="269" stopIfTrue="1">
      <formula>AND($A447&lt;&gt;"COMPOSICAO",$A447&lt;&gt;"INSUMO",$A447&lt;&gt;"")</formula>
    </cfRule>
    <cfRule type="expression" dxfId="238" priority="270" stopIfTrue="1">
      <formula>AND(OR($A447="COMPOSICAO",$A447="INSUMO",$A447&lt;&gt;""),$A447&lt;&gt;"")</formula>
    </cfRule>
  </conditionalFormatting>
  <conditionalFormatting sqref="C447">
    <cfRule type="expression" dxfId="237" priority="267" stopIfTrue="1">
      <formula>AND($A447&lt;&gt;"COMPOSICAO",$A447&lt;&gt;"INSUMO",$A447&lt;&gt;"")</formula>
    </cfRule>
    <cfRule type="expression" dxfId="236" priority="268" stopIfTrue="1">
      <formula>AND(OR($A447="COMPOSICAO",$A447="INSUMO",$A447&lt;&gt;""),$A447&lt;&gt;"")</formula>
    </cfRule>
  </conditionalFormatting>
  <conditionalFormatting sqref="A454:E455 A453:B453 D453:E453 A457:B457 D457:E457">
    <cfRule type="expression" dxfId="235" priority="265" stopIfTrue="1">
      <formula>AND($A453&lt;&gt;"COMPOSICAO",$A453&lt;&gt;"INSUMO",$A453&lt;&gt;"")</formula>
    </cfRule>
    <cfRule type="expression" dxfId="234" priority="266" stopIfTrue="1">
      <formula>AND(OR($A453="COMPOSICAO",$A453="INSUMO",$A453&lt;&gt;""),$A453&lt;&gt;"")</formula>
    </cfRule>
  </conditionalFormatting>
  <conditionalFormatting sqref="F453:G453">
    <cfRule type="expression" dxfId="233" priority="263" stopIfTrue="1">
      <formula>AND($A453&lt;&gt;"COMPOSICAO",$A453&lt;&gt;"INSUMO",$A453&lt;&gt;"")</formula>
    </cfRule>
    <cfRule type="expression" dxfId="232" priority="264" stopIfTrue="1">
      <formula>AND(OR($A453="COMPOSICAO",$A453="INSUMO",$A453&lt;&gt;""),$A453&lt;&gt;"")</formula>
    </cfRule>
  </conditionalFormatting>
  <conditionalFormatting sqref="C465">
    <cfRule type="expression" dxfId="231" priority="245" stopIfTrue="1">
      <formula>AND($A465&lt;&gt;"COMPOSICAO",$A465&lt;&gt;"INSUMO",$A465&lt;&gt;"")</formula>
    </cfRule>
    <cfRule type="expression" dxfId="230" priority="246" stopIfTrue="1">
      <formula>AND(OR($A465="COMPOSICAO",$A465="INSUMO",$A465&lt;&gt;""),$A465&lt;&gt;"")</formula>
    </cfRule>
  </conditionalFormatting>
  <conditionalFormatting sqref="A460:E461 A459:B459 D459:E459 A463:B463 D463:E463">
    <cfRule type="expression" dxfId="229" priority="257" stopIfTrue="1">
      <formula>AND($A459&lt;&gt;"COMPOSICAO",$A459&lt;&gt;"INSUMO",$A459&lt;&gt;"")</formula>
    </cfRule>
    <cfRule type="expression" dxfId="228" priority="258" stopIfTrue="1">
      <formula>AND(OR($A459="COMPOSICAO",$A459="INSUMO",$A459&lt;&gt;""),$A459&lt;&gt;"")</formula>
    </cfRule>
  </conditionalFormatting>
  <conditionalFormatting sqref="F459:G459">
    <cfRule type="expression" dxfId="227" priority="255" stopIfTrue="1">
      <formula>AND($A459&lt;&gt;"COMPOSICAO",$A459&lt;&gt;"INSUMO",$A459&lt;&gt;"")</formula>
    </cfRule>
    <cfRule type="expression" dxfId="226" priority="256" stopIfTrue="1">
      <formula>AND(OR($A459="COMPOSICAO",$A459="INSUMO",$A459&lt;&gt;""),$A459&lt;&gt;"")</formula>
    </cfRule>
  </conditionalFormatting>
  <conditionalFormatting sqref="C459">
    <cfRule type="expression" dxfId="225" priority="251" stopIfTrue="1">
      <formula>AND($A459&lt;&gt;"COMPOSICAO",$A459&lt;&gt;"INSUMO",$A459&lt;&gt;"")</formula>
    </cfRule>
    <cfRule type="expression" dxfId="224" priority="252" stopIfTrue="1">
      <formula>AND(OR($A459="COMPOSICAO",$A459="INSUMO",$A459&lt;&gt;""),$A459&lt;&gt;"")</formula>
    </cfRule>
  </conditionalFormatting>
  <conditionalFormatting sqref="A466:E467 A465:B465 D465:E465 A469:B470 D469:E470">
    <cfRule type="expression" dxfId="223" priority="249" stopIfTrue="1">
      <formula>AND($A465&lt;&gt;"COMPOSICAO",$A465&lt;&gt;"INSUMO",$A465&lt;&gt;"")</formula>
    </cfRule>
    <cfRule type="expression" dxfId="222" priority="250" stopIfTrue="1">
      <formula>AND(OR($A465="COMPOSICAO",$A465="INSUMO",$A465&lt;&gt;""),$A465&lt;&gt;"")</formula>
    </cfRule>
  </conditionalFormatting>
  <conditionalFormatting sqref="F465:G465">
    <cfRule type="expression" dxfId="221" priority="247" stopIfTrue="1">
      <formula>AND($A465&lt;&gt;"COMPOSICAO",$A465&lt;&gt;"INSUMO",$A465&lt;&gt;"")</formula>
    </cfRule>
    <cfRule type="expression" dxfId="220" priority="248" stopIfTrue="1">
      <formula>AND(OR($A465="COMPOSICAO",$A465="INSUMO",$A465&lt;&gt;""),$A465&lt;&gt;"")</formula>
    </cfRule>
  </conditionalFormatting>
  <conditionalFormatting sqref="C473">
    <cfRule type="expression" dxfId="219" priority="239" stopIfTrue="1">
      <formula>AND($A473&lt;&gt;"COMPOSICAO",$A473&lt;&gt;"INSUMO",$A473&lt;&gt;"")</formula>
    </cfRule>
    <cfRule type="expression" dxfId="218" priority="240" stopIfTrue="1">
      <formula>AND(OR($A473="COMPOSICAO",$A473="INSUMO",$A473&lt;&gt;""),$A473&lt;&gt;"")</formula>
    </cfRule>
  </conditionalFormatting>
  <conditionalFormatting sqref="A474:E475 A473:B473 D473:E473">
    <cfRule type="expression" dxfId="217" priority="243" stopIfTrue="1">
      <formula>AND($A473&lt;&gt;"COMPOSICAO",$A473&lt;&gt;"INSUMO",$A473&lt;&gt;"")</formula>
    </cfRule>
    <cfRule type="expression" dxfId="216" priority="244" stopIfTrue="1">
      <formula>AND(OR($A473="COMPOSICAO",$A473="INSUMO",$A473&lt;&gt;""),$A473&lt;&gt;"")</formula>
    </cfRule>
  </conditionalFormatting>
  <conditionalFormatting sqref="F473:G473">
    <cfRule type="expression" dxfId="215" priority="241" stopIfTrue="1">
      <formula>AND($A473&lt;&gt;"COMPOSICAO",$A473&lt;&gt;"INSUMO",$A473&lt;&gt;"")</formula>
    </cfRule>
    <cfRule type="expression" dxfId="214" priority="242" stopIfTrue="1">
      <formula>AND(OR($A473="COMPOSICAO",$A473="INSUMO",$A473&lt;&gt;""),$A473&lt;&gt;"")</formula>
    </cfRule>
  </conditionalFormatting>
  <conditionalFormatting sqref="C479">
    <cfRule type="expression" dxfId="213" priority="233" stopIfTrue="1">
      <formula>AND($A479&lt;&gt;"COMPOSICAO",$A479&lt;&gt;"INSUMO",$A479&lt;&gt;"")</formula>
    </cfRule>
    <cfRule type="expression" dxfId="212" priority="234" stopIfTrue="1">
      <formula>AND(OR($A479="COMPOSICAO",$A479="INSUMO",$A479&lt;&gt;""),$A479&lt;&gt;"")</formula>
    </cfRule>
  </conditionalFormatting>
  <conditionalFormatting sqref="A480:E481 A479:B479 D479:E479">
    <cfRule type="expression" dxfId="211" priority="237" stopIfTrue="1">
      <formula>AND($A479&lt;&gt;"COMPOSICAO",$A479&lt;&gt;"INSUMO",$A479&lt;&gt;"")</formula>
    </cfRule>
    <cfRule type="expression" dxfId="210" priority="238" stopIfTrue="1">
      <formula>AND(OR($A479="COMPOSICAO",$A479="INSUMO",$A479&lt;&gt;""),$A479&lt;&gt;"")</formula>
    </cfRule>
  </conditionalFormatting>
  <conditionalFormatting sqref="F479:G479">
    <cfRule type="expression" dxfId="209" priority="235" stopIfTrue="1">
      <formula>AND($A479&lt;&gt;"COMPOSICAO",$A479&lt;&gt;"INSUMO",$A479&lt;&gt;"")</formula>
    </cfRule>
    <cfRule type="expression" dxfId="208" priority="236" stopIfTrue="1">
      <formula>AND(OR($A479="COMPOSICAO",$A479="INSUMO",$A479&lt;&gt;""),$A479&lt;&gt;"")</formula>
    </cfRule>
  </conditionalFormatting>
  <conditionalFormatting sqref="A499:B499 D499:E499">
    <cfRule type="expression" dxfId="207" priority="213" stopIfTrue="1">
      <formula>AND($A499&lt;&gt;"COMPOSICAO",$A499&lt;&gt;"INSUMO",$A499&lt;&gt;"")</formula>
    </cfRule>
    <cfRule type="expression" dxfId="206" priority="214" stopIfTrue="1">
      <formula>AND(OR($A499="COMPOSICAO",$A499="INSUMO",$A499&lt;&gt;""),$A499&lt;&gt;"")</formula>
    </cfRule>
  </conditionalFormatting>
  <conditionalFormatting sqref="C485">
    <cfRule type="expression" dxfId="205" priority="225" stopIfTrue="1">
      <formula>AND($A485&lt;&gt;"COMPOSICAO",$A485&lt;&gt;"INSUMO",$A485&lt;&gt;"")</formula>
    </cfRule>
    <cfRule type="expression" dxfId="204" priority="226" stopIfTrue="1">
      <formula>AND(OR($A485="COMPOSICAO",$A485="INSUMO",$A485&lt;&gt;""),$A485&lt;&gt;"")</formula>
    </cfRule>
  </conditionalFormatting>
  <conditionalFormatting sqref="A486:E487 A485:B485 D485:E485">
    <cfRule type="expression" dxfId="203" priority="229" stopIfTrue="1">
      <formula>AND($A485&lt;&gt;"COMPOSICAO",$A485&lt;&gt;"INSUMO",$A485&lt;&gt;"")</formula>
    </cfRule>
    <cfRule type="expression" dxfId="202" priority="230" stopIfTrue="1">
      <formula>AND(OR($A485="COMPOSICAO",$A485="INSUMO",$A485&lt;&gt;""),$A485&lt;&gt;"")</formula>
    </cfRule>
  </conditionalFormatting>
  <conditionalFormatting sqref="F485:G485">
    <cfRule type="expression" dxfId="201" priority="227" stopIfTrue="1">
      <formula>AND($A485&lt;&gt;"COMPOSICAO",$A485&lt;&gt;"INSUMO",$A485&lt;&gt;"")</formula>
    </cfRule>
    <cfRule type="expression" dxfId="200" priority="228" stopIfTrue="1">
      <formula>AND(OR($A485="COMPOSICAO",$A485="INSUMO",$A485&lt;&gt;""),$A485&lt;&gt;"")</formula>
    </cfRule>
  </conditionalFormatting>
  <conditionalFormatting sqref="A489:E490">
    <cfRule type="expression" dxfId="199" priority="223" stopIfTrue="1">
      <formula>AND($A489&lt;&gt;"COMPOSICAO",$A489&lt;&gt;"INSUMO",$A489&lt;&gt;"")</formula>
    </cfRule>
    <cfRule type="expression" dxfId="198" priority="224" stopIfTrue="1">
      <formula>AND(OR($A489="COMPOSICAO",$A489="INSUMO",$A489&lt;&gt;""),$A489&lt;&gt;"")</formula>
    </cfRule>
  </conditionalFormatting>
  <conditionalFormatting sqref="C492">
    <cfRule type="expression" dxfId="197" priority="217" stopIfTrue="1">
      <formula>AND($A492&lt;&gt;"COMPOSICAO",$A492&lt;&gt;"INSUMO",$A492&lt;&gt;"")</formula>
    </cfRule>
    <cfRule type="expression" dxfId="196" priority="218" stopIfTrue="1">
      <formula>AND(OR($A492="COMPOSICAO",$A492="INSUMO",$A492&lt;&gt;""),$A492&lt;&gt;"")</formula>
    </cfRule>
  </conditionalFormatting>
  <conditionalFormatting sqref="A493:E494 A492:B492 D492:E492">
    <cfRule type="expression" dxfId="195" priority="221" stopIfTrue="1">
      <formula>AND($A492&lt;&gt;"COMPOSICAO",$A492&lt;&gt;"INSUMO",$A492&lt;&gt;"")</formula>
    </cfRule>
    <cfRule type="expression" dxfId="194" priority="222" stopIfTrue="1">
      <formula>AND(OR($A492="COMPOSICAO",$A492="INSUMO",$A492&lt;&gt;""),$A492&lt;&gt;"")</formula>
    </cfRule>
  </conditionalFormatting>
  <conditionalFormatting sqref="F492:G492">
    <cfRule type="expression" dxfId="193" priority="219" stopIfTrue="1">
      <formula>AND($A492&lt;&gt;"COMPOSICAO",$A492&lt;&gt;"INSUMO",$A492&lt;&gt;"")</formula>
    </cfRule>
    <cfRule type="expression" dxfId="192" priority="220" stopIfTrue="1">
      <formula>AND(OR($A492="COMPOSICAO",$A492="INSUMO",$A492&lt;&gt;""),$A492&lt;&gt;"")</formula>
    </cfRule>
  </conditionalFormatting>
  <conditionalFormatting sqref="A496:E497">
    <cfRule type="expression" dxfId="191" priority="215" stopIfTrue="1">
      <formula>AND($A496&lt;&gt;"COMPOSICAO",$A496&lt;&gt;"INSUMO",$A496&lt;&gt;"")</formula>
    </cfRule>
    <cfRule type="expression" dxfId="190" priority="216" stopIfTrue="1">
      <formula>AND(OR($A496="COMPOSICAO",$A496="INSUMO",$A496&lt;&gt;""),$A496&lt;&gt;"")</formula>
    </cfRule>
  </conditionalFormatting>
  <conditionalFormatting sqref="C499">
    <cfRule type="expression" dxfId="189" priority="209" stopIfTrue="1">
      <formula>AND($A499&lt;&gt;"COMPOSICAO",$A499&lt;&gt;"INSUMO",$A499&lt;&gt;"")</formula>
    </cfRule>
    <cfRule type="expression" dxfId="188" priority="210" stopIfTrue="1">
      <formula>AND(OR($A499="COMPOSICAO",$A499="INSUMO",$A499&lt;&gt;""),$A499&lt;&gt;"")</formula>
    </cfRule>
  </conditionalFormatting>
  <conditionalFormatting sqref="F499:G499">
    <cfRule type="expression" dxfId="187" priority="211" stopIfTrue="1">
      <formula>AND($A499&lt;&gt;"COMPOSICAO",$A499&lt;&gt;"INSUMO",$A499&lt;&gt;"")</formula>
    </cfRule>
    <cfRule type="expression" dxfId="186" priority="212" stopIfTrue="1">
      <formula>AND(OR($A499="COMPOSICAO",$A499="INSUMO",$A499&lt;&gt;""),$A499&lt;&gt;"")</formula>
    </cfRule>
  </conditionalFormatting>
  <conditionalFormatting sqref="A504:E504">
    <cfRule type="expression" dxfId="185" priority="205" stopIfTrue="1">
      <formula>AND($A504&lt;&gt;"COMPOSICAO",$A504&lt;&gt;"INSUMO",$A504&lt;&gt;"")</formula>
    </cfRule>
    <cfRule type="expression" dxfId="184" priority="206" stopIfTrue="1">
      <formula>AND(OR($A504="COMPOSICAO",$A504="INSUMO",$A504&lt;&gt;""),$A504&lt;&gt;"")</formula>
    </cfRule>
  </conditionalFormatting>
  <conditionalFormatting sqref="A503:B503 D503:E503">
    <cfRule type="expression" dxfId="183" priority="203" stopIfTrue="1">
      <formula>AND($A503&lt;&gt;"COMPOSICAO",$A503&lt;&gt;"INSUMO",$A503&lt;&gt;"")</formula>
    </cfRule>
    <cfRule type="expression" dxfId="182" priority="204" stopIfTrue="1">
      <formula>AND(OR($A503="COMPOSICAO",$A503="INSUMO",$A503&lt;&gt;""),$A503&lt;&gt;"")</formula>
    </cfRule>
  </conditionalFormatting>
  <conditionalFormatting sqref="C503">
    <cfRule type="expression" dxfId="181" priority="199" stopIfTrue="1">
      <formula>AND($A503&lt;&gt;"COMPOSICAO",$A503&lt;&gt;"INSUMO",$A503&lt;&gt;"")</formula>
    </cfRule>
    <cfRule type="expression" dxfId="180" priority="200" stopIfTrue="1">
      <formula>AND(OR($A503="COMPOSICAO",$A503="INSUMO",$A503&lt;&gt;""),$A503&lt;&gt;"")</formula>
    </cfRule>
  </conditionalFormatting>
  <conditionalFormatting sqref="F503:G503">
    <cfRule type="expression" dxfId="179" priority="201" stopIfTrue="1">
      <formula>AND($A503&lt;&gt;"COMPOSICAO",$A503&lt;&gt;"INSUMO",$A503&lt;&gt;"")</formula>
    </cfRule>
    <cfRule type="expression" dxfId="178" priority="202" stopIfTrue="1">
      <formula>AND(OR($A503="COMPOSICAO",$A503="INSUMO",$A503&lt;&gt;""),$A503&lt;&gt;"")</formula>
    </cfRule>
  </conditionalFormatting>
  <conditionalFormatting sqref="A506:E506">
    <cfRule type="expression" dxfId="177" priority="197" stopIfTrue="1">
      <formula>AND($A506&lt;&gt;"COMPOSICAO",$A506&lt;&gt;"INSUMO",$A506&lt;&gt;"")</formula>
    </cfRule>
    <cfRule type="expression" dxfId="176" priority="198" stopIfTrue="1">
      <formula>AND(OR($A506="COMPOSICAO",$A506="INSUMO",$A506&lt;&gt;""),$A506&lt;&gt;"")</formula>
    </cfRule>
  </conditionalFormatting>
  <conditionalFormatting sqref="A508:E508">
    <cfRule type="expression" dxfId="175" priority="195" stopIfTrue="1">
      <formula>AND($A508&lt;&gt;"COMPOSICAO",$A508&lt;&gt;"INSUMO",$A508&lt;&gt;"")</formula>
    </cfRule>
    <cfRule type="expression" dxfId="174" priority="196" stopIfTrue="1">
      <formula>AND(OR($A508="COMPOSICAO",$A508="INSUMO",$A508&lt;&gt;""),$A508&lt;&gt;"")</formula>
    </cfRule>
  </conditionalFormatting>
  <conditionalFormatting sqref="A507:B507 D507:E507">
    <cfRule type="expression" dxfId="173" priority="193" stopIfTrue="1">
      <formula>AND($A507&lt;&gt;"COMPOSICAO",$A507&lt;&gt;"INSUMO",$A507&lt;&gt;"")</formula>
    </cfRule>
    <cfRule type="expression" dxfId="172" priority="194" stopIfTrue="1">
      <formula>AND(OR($A507="COMPOSICAO",$A507="INSUMO",$A507&lt;&gt;""),$A507&lt;&gt;"")</formula>
    </cfRule>
  </conditionalFormatting>
  <conditionalFormatting sqref="C507">
    <cfRule type="expression" dxfId="171" priority="189" stopIfTrue="1">
      <formula>AND($A507&lt;&gt;"COMPOSICAO",$A507&lt;&gt;"INSUMO",$A507&lt;&gt;"")</formula>
    </cfRule>
    <cfRule type="expression" dxfId="170" priority="190" stopIfTrue="1">
      <formula>AND(OR($A507="COMPOSICAO",$A507="INSUMO",$A507&lt;&gt;""),$A507&lt;&gt;"")</formula>
    </cfRule>
  </conditionalFormatting>
  <conditionalFormatting sqref="F507:G507">
    <cfRule type="expression" dxfId="169" priority="191" stopIfTrue="1">
      <formula>AND($A507&lt;&gt;"COMPOSICAO",$A507&lt;&gt;"INSUMO",$A507&lt;&gt;"")</formula>
    </cfRule>
    <cfRule type="expression" dxfId="168" priority="192" stopIfTrue="1">
      <formula>AND(OR($A507="COMPOSICAO",$A507="INSUMO",$A507&lt;&gt;""),$A507&lt;&gt;"")</formula>
    </cfRule>
  </conditionalFormatting>
  <conditionalFormatting sqref="A511:E514 A516:E516 A515 D515:E515">
    <cfRule type="expression" dxfId="167" priority="185" stopIfTrue="1">
      <formula>AND($A511&lt;&gt;"COMPOSICAO",$A511&lt;&gt;"INSUMO",$A511&lt;&gt;"")</formula>
    </cfRule>
    <cfRule type="expression" dxfId="166" priority="186" stopIfTrue="1">
      <formula>AND(OR($A511="COMPOSICAO",$A511="INSUMO",$A511&lt;&gt;""),$A511&lt;&gt;"")</formula>
    </cfRule>
  </conditionalFormatting>
  <conditionalFormatting sqref="F511:G511">
    <cfRule type="expression" dxfId="165" priority="183" stopIfTrue="1">
      <formula>AND($A511&lt;&gt;"COMPOSICAO",$A511&lt;&gt;"INSUMO",$A511&lt;&gt;"")</formula>
    </cfRule>
    <cfRule type="expression" dxfId="164" priority="184" stopIfTrue="1">
      <formula>AND(OR($A511="COMPOSICAO",$A511="INSUMO",$A511&lt;&gt;""),$A511&lt;&gt;"")</formula>
    </cfRule>
  </conditionalFormatting>
  <conditionalFormatting sqref="A517:E522">
    <cfRule type="expression" dxfId="163" priority="181" stopIfTrue="1">
      <formula>AND($A517&lt;&gt;"COMPOSICAO",$A517&lt;&gt;"INSUMO",$A517&lt;&gt;"")</formula>
    </cfRule>
    <cfRule type="expression" dxfId="162" priority="182" stopIfTrue="1">
      <formula>AND(OR($A517="COMPOSICAO",$A517="INSUMO",$A517&lt;&gt;""),$A517&lt;&gt;"")</formula>
    </cfRule>
  </conditionalFormatting>
  <conditionalFormatting sqref="F517:G517">
    <cfRule type="expression" dxfId="161" priority="179" stopIfTrue="1">
      <formula>AND($A517&lt;&gt;"COMPOSICAO",$A517&lt;&gt;"INSUMO",$A517&lt;&gt;"")</formula>
    </cfRule>
    <cfRule type="expression" dxfId="160" priority="180" stopIfTrue="1">
      <formula>AND(OR($A517="COMPOSICAO",$A517="INSUMO",$A517&lt;&gt;""),$A517&lt;&gt;"")</formula>
    </cfRule>
  </conditionalFormatting>
  <conditionalFormatting sqref="A524:E529">
    <cfRule type="expression" dxfId="159" priority="177" stopIfTrue="1">
      <formula>AND($A524&lt;&gt;"COMPOSICAO",$A524&lt;&gt;"INSUMO",$A524&lt;&gt;"")</formula>
    </cfRule>
    <cfRule type="expression" dxfId="158" priority="178" stopIfTrue="1">
      <formula>AND(OR($A524="COMPOSICAO",$A524="INSUMO",$A524&lt;&gt;""),$A524&lt;&gt;"")</formula>
    </cfRule>
  </conditionalFormatting>
  <conditionalFormatting sqref="A529:E529">
    <cfRule type="expression" dxfId="157" priority="175" stopIfTrue="1">
      <formula>AND($A529&lt;&gt;"COMPOSICAO",$A529&lt;&gt;"INSUMO",$A529&lt;&gt;"")</formula>
    </cfRule>
    <cfRule type="expression" dxfId="156" priority="176" stopIfTrue="1">
      <formula>AND(OR($A529="COMPOSICAO",$A529="INSUMO",$A529&lt;&gt;""),$A529&lt;&gt;"")</formula>
    </cfRule>
  </conditionalFormatting>
  <conditionalFormatting sqref="F524:G524">
    <cfRule type="expression" dxfId="155" priority="173" stopIfTrue="1">
      <formula>AND($A524&lt;&gt;"COMPOSICAO",$A524&lt;&gt;"INSUMO",$A524&lt;&gt;"")</formula>
    </cfRule>
    <cfRule type="expression" dxfId="154" priority="174" stopIfTrue="1">
      <formula>AND(OR($A524="COMPOSICAO",$A524="INSUMO",$A524&lt;&gt;""),$A524&lt;&gt;"")</formula>
    </cfRule>
  </conditionalFormatting>
  <conditionalFormatting sqref="G524">
    <cfRule type="expression" dxfId="153" priority="171" stopIfTrue="1">
      <formula>AND($A524&lt;&gt;"COMPOSICAO",$A524&lt;&gt;"INSUMO",$A524&lt;&gt;"")</formula>
    </cfRule>
    <cfRule type="expression" dxfId="152" priority="172" stopIfTrue="1">
      <formula>AND(OR($A524="COMPOSICAO",$A524="INSUMO",$A524&lt;&gt;""),$A524&lt;&gt;"")</formula>
    </cfRule>
  </conditionalFormatting>
  <conditionalFormatting sqref="A532:E533 A531:B531 D531:E531 A535:B535 D535:E535">
    <cfRule type="expression" dxfId="151" priority="169" stopIfTrue="1">
      <formula>AND($A531&lt;&gt;"COMPOSICAO",$A531&lt;&gt;"INSUMO",$A531&lt;&gt;"")</formula>
    </cfRule>
    <cfRule type="expression" dxfId="150" priority="170" stopIfTrue="1">
      <formula>AND(OR($A531="COMPOSICAO",$A531="INSUMO",$A531&lt;&gt;""),$A531&lt;&gt;"")</formula>
    </cfRule>
  </conditionalFormatting>
  <conditionalFormatting sqref="F531:G531">
    <cfRule type="expression" dxfId="149" priority="167" stopIfTrue="1">
      <formula>AND($A531&lt;&gt;"COMPOSICAO",$A531&lt;&gt;"INSUMO",$A531&lt;&gt;"")</formula>
    </cfRule>
    <cfRule type="expression" dxfId="148" priority="168" stopIfTrue="1">
      <formula>AND(OR($A531="COMPOSICAO",$A531="INSUMO",$A531&lt;&gt;""),$A531&lt;&gt;"")</formula>
    </cfRule>
  </conditionalFormatting>
  <conditionalFormatting sqref="C531">
    <cfRule type="expression" dxfId="147" priority="165" stopIfTrue="1">
      <formula>AND($A531&lt;&gt;"COMPOSICAO",$A531&lt;&gt;"INSUMO",$A531&lt;&gt;"")</formula>
    </cfRule>
    <cfRule type="expression" dxfId="146" priority="166" stopIfTrue="1">
      <formula>AND(OR($A531="COMPOSICAO",$A531="INSUMO",$A531&lt;&gt;""),$A531&lt;&gt;"")</formula>
    </cfRule>
  </conditionalFormatting>
  <conditionalFormatting sqref="A537:E538 A542:D542 A541 D541 A539:D540">
    <cfRule type="expression" dxfId="145" priority="163" stopIfTrue="1">
      <formula>AND($A537&lt;&gt;"COMPOSICAO",$A537&lt;&gt;"INSUMO",$A537&lt;&gt;"")</formula>
    </cfRule>
    <cfRule type="expression" dxfId="144" priority="164" stopIfTrue="1">
      <formula>AND(OR($A537="COMPOSICAO",$A537="INSUMO",$A537&lt;&gt;""),$A537&lt;&gt;"")</formula>
    </cfRule>
  </conditionalFormatting>
  <conditionalFormatting sqref="F537:G537">
    <cfRule type="expression" dxfId="143" priority="161" stopIfTrue="1">
      <formula>AND($A537&lt;&gt;"COMPOSICAO",$A537&lt;&gt;"INSUMO",$A537&lt;&gt;"")</formula>
    </cfRule>
    <cfRule type="expression" dxfId="142" priority="162" stopIfTrue="1">
      <formula>AND(OR($A537="COMPOSICAO",$A537="INSUMO",$A537&lt;&gt;""),$A537&lt;&gt;"")</formula>
    </cfRule>
  </conditionalFormatting>
  <conditionalFormatting sqref="A544:E547 A548:D548">
    <cfRule type="expression" dxfId="141" priority="159" stopIfTrue="1">
      <formula>AND($A544&lt;&gt;"COMPOSICAO",$A544&lt;&gt;"INSUMO",$A544&lt;&gt;"")</formula>
    </cfRule>
    <cfRule type="expression" dxfId="140" priority="160" stopIfTrue="1">
      <formula>AND(OR($A544="COMPOSICAO",$A544="INSUMO",$A544&lt;&gt;""),$A544&lt;&gt;"")</formula>
    </cfRule>
  </conditionalFormatting>
  <conditionalFormatting sqref="F544:G544">
    <cfRule type="expression" dxfId="139" priority="157" stopIfTrue="1">
      <formula>AND($A544&lt;&gt;"COMPOSICAO",$A544&lt;&gt;"INSUMO",$A544&lt;&gt;"")</formula>
    </cfRule>
    <cfRule type="expression" dxfId="138" priority="158" stopIfTrue="1">
      <formula>AND(OR($A544="COMPOSICAO",$A544="INSUMO",$A544&lt;&gt;""),$A544&lt;&gt;"")</formula>
    </cfRule>
  </conditionalFormatting>
  <conditionalFormatting sqref="B541:C541">
    <cfRule type="expression" dxfId="137" priority="155" stopIfTrue="1">
      <formula>AND($A541&lt;&gt;"COMPOSICAO",$A541&lt;&gt;"INSUMO",$A541&lt;&gt;"")</formula>
    </cfRule>
    <cfRule type="expression" dxfId="136" priority="156" stopIfTrue="1">
      <formula>AND(OR($A541="COMPOSICAO",$A541="INSUMO",$A541&lt;&gt;""),$A541&lt;&gt;"")</formula>
    </cfRule>
  </conditionalFormatting>
  <conditionalFormatting sqref="B515:C515">
    <cfRule type="expression" dxfId="135" priority="153" stopIfTrue="1">
      <formula>AND($A515&lt;&gt;"COMPOSICAO",$A515&lt;&gt;"INSUMO",$A515&lt;&gt;"")</formula>
    </cfRule>
    <cfRule type="expression" dxfId="134" priority="154" stopIfTrue="1">
      <formula>AND(OR($A515="COMPOSICAO",$A515="INSUMO",$A515&lt;&gt;""),$A515&lt;&gt;"")</formula>
    </cfRule>
  </conditionalFormatting>
  <conditionalFormatting sqref="A549:D550">
    <cfRule type="expression" dxfId="133" priority="151" stopIfTrue="1">
      <formula>AND($A549&lt;&gt;"COMPOSICAO",$A549&lt;&gt;"INSUMO",$A549&lt;&gt;"")</formula>
    </cfRule>
    <cfRule type="expression" dxfId="132" priority="152" stopIfTrue="1">
      <formula>AND(OR($A549="COMPOSICAO",$A549="INSUMO",$A549&lt;&gt;""),$A549&lt;&gt;"")</formula>
    </cfRule>
  </conditionalFormatting>
  <conditionalFormatting sqref="E545:F550">
    <cfRule type="expression" dxfId="131" priority="149" stopIfTrue="1">
      <formula>AND($A545&lt;&gt;"COMPOSICAO",$A545&lt;&gt;"INSUMO",$A545&lt;&gt;"")</formula>
    </cfRule>
    <cfRule type="expression" dxfId="130" priority="150" stopIfTrue="1">
      <formula>AND(OR($A545="COMPOSICAO",$A545="INSUMO",$A545&lt;&gt;""),$A545&lt;&gt;"")</formula>
    </cfRule>
  </conditionalFormatting>
  <conditionalFormatting sqref="E539:F542">
    <cfRule type="expression" dxfId="129" priority="147" stopIfTrue="1">
      <formula>AND($A539&lt;&gt;"COMPOSICAO",$A539&lt;&gt;"INSUMO",$A539&lt;&gt;"")</formula>
    </cfRule>
    <cfRule type="expression" dxfId="128" priority="148" stopIfTrue="1">
      <formula>AND(OR($A539="COMPOSICAO",$A539="INSUMO",$A539&lt;&gt;""),$A539&lt;&gt;"")</formula>
    </cfRule>
  </conditionalFormatting>
  <conditionalFormatting sqref="F538">
    <cfRule type="expression" dxfId="127" priority="145" stopIfTrue="1">
      <formula>AND($A538&lt;&gt;"COMPOSICAO",$A538&lt;&gt;"INSUMO",$A538&lt;&gt;"")</formula>
    </cfRule>
    <cfRule type="expression" dxfId="126" priority="146" stopIfTrue="1">
      <formula>AND(OR($A538="COMPOSICAO",$A538="INSUMO",$A538&lt;&gt;""),$A538&lt;&gt;"")</formula>
    </cfRule>
  </conditionalFormatting>
  <conditionalFormatting sqref="A552:E552">
    <cfRule type="expression" dxfId="125" priority="141" stopIfTrue="1">
      <formula>AND($A552&lt;&gt;"COMPOSICAO",$A552&lt;&gt;"INSUMO",$A552&lt;&gt;"")</formula>
    </cfRule>
    <cfRule type="expression" dxfId="124" priority="142" stopIfTrue="1">
      <formula>AND(OR($A552="COMPOSICAO",$A552="INSUMO",$A552&lt;&gt;""),$A552&lt;&gt;"")</formula>
    </cfRule>
  </conditionalFormatting>
  <conditionalFormatting sqref="F552:G552">
    <cfRule type="expression" dxfId="123" priority="139" stopIfTrue="1">
      <formula>AND($A552&lt;&gt;"COMPOSICAO",$A552&lt;&gt;"INSUMO",$A552&lt;&gt;"")</formula>
    </cfRule>
    <cfRule type="expression" dxfId="122" priority="140" stopIfTrue="1">
      <formula>AND(OR($A552="COMPOSICAO",$A552="INSUMO",$A552&lt;&gt;""),$A552&lt;&gt;"")</formula>
    </cfRule>
  </conditionalFormatting>
  <conditionalFormatting sqref="C259">
    <cfRule type="expression" dxfId="121" priority="131" stopIfTrue="1">
      <formula>AND($A259&lt;&gt;"COMPOSICAO",$A259&lt;&gt;"INSUMO",$A259&lt;&gt;"")</formula>
    </cfRule>
    <cfRule type="expression" dxfId="120" priority="132" stopIfTrue="1">
      <formula>AND(OR($A259="COMPOSICAO",$A259="INSUMO",$A259&lt;&gt;""),$A259&lt;&gt;"")</formula>
    </cfRule>
  </conditionalFormatting>
  <conditionalFormatting sqref="A554:B554 D554:E554">
    <cfRule type="expression" dxfId="119" priority="129" stopIfTrue="1">
      <formula>AND($A554&lt;&gt;"COMPOSICAO",$A554&lt;&gt;"INSUMO",$A554&lt;&gt;"")</formula>
    </cfRule>
    <cfRule type="expression" dxfId="118" priority="130" stopIfTrue="1">
      <formula>AND(OR($A554="COMPOSICAO",$A554="INSUMO",$A554&lt;&gt;""),$A554&lt;&gt;"")</formula>
    </cfRule>
  </conditionalFormatting>
  <conditionalFormatting sqref="F553:F554">
    <cfRule type="expression" dxfId="117" priority="127" stopIfTrue="1">
      <formula>AND($A553&lt;&gt;"COMPOSICAO",$A553&lt;&gt;"INSUMO",$A553&lt;&gt;"")</formula>
    </cfRule>
    <cfRule type="expression" dxfId="116" priority="128" stopIfTrue="1">
      <formula>AND(OR($A553="COMPOSICAO",$A553="INSUMO",$A553&lt;&gt;""),$A553&lt;&gt;"")</formula>
    </cfRule>
  </conditionalFormatting>
  <conditionalFormatting sqref="A557:E562">
    <cfRule type="expression" dxfId="115" priority="125" stopIfTrue="1">
      <formula>AND($A557&lt;&gt;"COMPOSICAO",$A557&lt;&gt;"INSUMO",$A557&lt;&gt;"")</formula>
    </cfRule>
    <cfRule type="expression" dxfId="114" priority="126" stopIfTrue="1">
      <formula>AND(OR($A557="COMPOSICAO",$A557="INSUMO",$A557&lt;&gt;""),$A557&lt;&gt;"")</formula>
    </cfRule>
  </conditionalFormatting>
  <conditionalFormatting sqref="A563:D563">
    <cfRule type="expression" dxfId="113" priority="123" stopIfTrue="1">
      <formula>AND($A563&lt;&gt;"COMPOSICAO",$A563&lt;&gt;"INSUMO",$A563&lt;&gt;"")</formula>
    </cfRule>
    <cfRule type="expression" dxfId="112" priority="124" stopIfTrue="1">
      <formula>AND(OR($A563="COMPOSICAO",$A563="INSUMO",$A563&lt;&gt;""),$A563&lt;&gt;"")</formula>
    </cfRule>
  </conditionalFormatting>
  <conditionalFormatting sqref="E563:F563">
    <cfRule type="expression" dxfId="111" priority="121" stopIfTrue="1">
      <formula>AND($A563&lt;&gt;"COMPOSICAO",$A563&lt;&gt;"INSUMO",$A563&lt;&gt;"")</formula>
    </cfRule>
    <cfRule type="expression" dxfId="110" priority="122" stopIfTrue="1">
      <formula>AND(OR($A563="COMPOSICAO",$A563="INSUMO",$A563&lt;&gt;""),$A563&lt;&gt;"")</formula>
    </cfRule>
  </conditionalFormatting>
  <conditionalFormatting sqref="E558:F562">
    <cfRule type="expression" dxfId="109" priority="119" stopIfTrue="1">
      <formula>AND($A558&lt;&gt;"COMPOSICAO",$A558&lt;&gt;"INSUMO",$A558&lt;&gt;"")</formula>
    </cfRule>
    <cfRule type="expression" dxfId="108" priority="120" stopIfTrue="1">
      <formula>AND(OR($A558="COMPOSICAO",$A558="INSUMO",$A558&lt;&gt;""),$A558&lt;&gt;"")</formula>
    </cfRule>
  </conditionalFormatting>
  <conditionalFormatting sqref="A564:D564">
    <cfRule type="expression" dxfId="107" priority="117" stopIfTrue="1">
      <formula>AND($A564&lt;&gt;"COMPOSICAO",$A564&lt;&gt;"INSUMO",$A564&lt;&gt;"")</formula>
    </cfRule>
    <cfRule type="expression" dxfId="106" priority="118" stopIfTrue="1">
      <formula>AND(OR($A564="COMPOSICAO",$A564="INSUMO",$A564&lt;&gt;""),$A564&lt;&gt;"")</formula>
    </cfRule>
  </conditionalFormatting>
  <conditionalFormatting sqref="E564:F564">
    <cfRule type="expression" dxfId="105" priority="115" stopIfTrue="1">
      <formula>AND($A564&lt;&gt;"COMPOSICAO",$A564&lt;&gt;"INSUMO",$A564&lt;&gt;"")</formula>
    </cfRule>
    <cfRule type="expression" dxfId="104" priority="116" stopIfTrue="1">
      <formula>AND(OR($A564="COMPOSICAO",$A564="INSUMO",$A564&lt;&gt;""),$A564&lt;&gt;"")</formula>
    </cfRule>
  </conditionalFormatting>
  <conditionalFormatting sqref="F557:G557">
    <cfRule type="expression" dxfId="103" priority="111" stopIfTrue="1">
      <formula>AND($A557&lt;&gt;"COMPOSICAO",$A557&lt;&gt;"INSUMO",$A557&lt;&gt;"")</formula>
    </cfRule>
    <cfRule type="expression" dxfId="102" priority="112" stopIfTrue="1">
      <formula>AND(OR($A557="COMPOSICAO",$A557="INSUMO",$A557&lt;&gt;""),$A557&lt;&gt;"")</formula>
    </cfRule>
  </conditionalFormatting>
  <conditionalFormatting sqref="A566:E567">
    <cfRule type="expression" dxfId="101" priority="109" stopIfTrue="1">
      <formula>AND($A566&lt;&gt;"COMPOSICAO",$A566&lt;&gt;"INSUMO",$A566&lt;&gt;"")</formula>
    </cfRule>
    <cfRule type="expression" dxfId="100" priority="110" stopIfTrue="1">
      <formula>AND(OR($A566="COMPOSICAO",$A566="INSUMO",$A566&lt;&gt;""),$A566&lt;&gt;"")</formula>
    </cfRule>
  </conditionalFormatting>
  <conditionalFormatting sqref="E567:F567">
    <cfRule type="expression" dxfId="99" priority="107" stopIfTrue="1">
      <formula>AND($A567&lt;&gt;"COMPOSICAO",$A567&lt;&gt;"INSUMO",$A567&lt;&gt;"")</formula>
    </cfRule>
    <cfRule type="expression" dxfId="98" priority="108" stopIfTrue="1">
      <formula>AND(OR($A567="COMPOSICAO",$A567="INSUMO",$A567&lt;&gt;""),$A567&lt;&gt;"")</formula>
    </cfRule>
  </conditionalFormatting>
  <conditionalFormatting sqref="F566:G566">
    <cfRule type="expression" dxfId="97" priority="105" stopIfTrue="1">
      <formula>AND($A566&lt;&gt;"COMPOSICAO",$A566&lt;&gt;"INSUMO",$A566&lt;&gt;"")</formula>
    </cfRule>
    <cfRule type="expression" dxfId="96" priority="106" stopIfTrue="1">
      <formula>AND(OR($A566="COMPOSICAO",$A566="INSUMO",$A566&lt;&gt;""),$A566&lt;&gt;"")</formula>
    </cfRule>
  </conditionalFormatting>
  <conditionalFormatting sqref="A569:E574">
    <cfRule type="expression" dxfId="95" priority="103" stopIfTrue="1">
      <formula>AND($A569&lt;&gt;"COMPOSICAO",$A569&lt;&gt;"INSUMO",$A569&lt;&gt;"")</formula>
    </cfRule>
    <cfRule type="expression" dxfId="94" priority="104" stopIfTrue="1">
      <formula>AND(OR($A569="COMPOSICAO",$A569="INSUMO",$A569&lt;&gt;""),$A569&lt;&gt;"")</formula>
    </cfRule>
  </conditionalFormatting>
  <conditionalFormatting sqref="F569:G569">
    <cfRule type="expression" dxfId="93" priority="101" stopIfTrue="1">
      <formula>AND($A569&lt;&gt;"COMPOSICAO",$A569&lt;&gt;"INSUMO",$A569&lt;&gt;"")</formula>
    </cfRule>
    <cfRule type="expression" dxfId="92" priority="102" stopIfTrue="1">
      <formula>AND(OR($A569="COMPOSICAO",$A569="INSUMO",$A569&lt;&gt;""),$A569&lt;&gt;"")</formula>
    </cfRule>
  </conditionalFormatting>
  <conditionalFormatting sqref="F570:F574">
    <cfRule type="expression" dxfId="91" priority="99" stopIfTrue="1">
      <formula>AND($A570&lt;&gt;"COMPOSICAO",$A570&lt;&gt;"INSUMO",$A570&lt;&gt;"")</formula>
    </cfRule>
    <cfRule type="expression" dxfId="90" priority="100" stopIfTrue="1">
      <formula>AND(OR($A570="COMPOSICAO",$A570="INSUMO",$A570&lt;&gt;""),$A570&lt;&gt;"")</formula>
    </cfRule>
  </conditionalFormatting>
  <conditionalFormatting sqref="F171:G171">
    <cfRule type="expression" dxfId="89" priority="97" stopIfTrue="1">
      <formula>AND($A171&lt;&gt;"COMPOSICAO",$A171&lt;&gt;"INSUMO",$A171&lt;&gt;"")</formula>
    </cfRule>
    <cfRule type="expression" dxfId="88" priority="98" stopIfTrue="1">
      <formula>AND(OR($A171="COMPOSICAO",$A171="INSUMO",$A171&lt;&gt;""),$A171&lt;&gt;"")</formula>
    </cfRule>
  </conditionalFormatting>
  <conditionalFormatting sqref="A576:E581">
    <cfRule type="expression" dxfId="87" priority="95" stopIfTrue="1">
      <formula>AND($A576&lt;&gt;"COMPOSICAO",$A576&lt;&gt;"INSUMO",$A576&lt;&gt;"")</formula>
    </cfRule>
    <cfRule type="expression" dxfId="86" priority="96" stopIfTrue="1">
      <formula>AND(OR($A576="COMPOSICAO",$A576="INSUMO",$A576&lt;&gt;""),$A576&lt;&gt;"")</formula>
    </cfRule>
  </conditionalFormatting>
  <conditionalFormatting sqref="F576:G576">
    <cfRule type="expression" dxfId="85" priority="93" stopIfTrue="1">
      <formula>AND($A576&lt;&gt;"COMPOSICAO",$A576&lt;&gt;"INSUMO",$A576&lt;&gt;"")</formula>
    </cfRule>
    <cfRule type="expression" dxfId="84" priority="94" stopIfTrue="1">
      <formula>AND(OR($A576="COMPOSICAO",$A576="INSUMO",$A576&lt;&gt;""),$A576&lt;&gt;"")</formula>
    </cfRule>
  </conditionalFormatting>
  <conditionalFormatting sqref="F577:F581">
    <cfRule type="expression" dxfId="83" priority="91" stopIfTrue="1">
      <formula>AND($A577&lt;&gt;"COMPOSICAO",$A577&lt;&gt;"INSUMO",$A577&lt;&gt;"")</formula>
    </cfRule>
    <cfRule type="expression" dxfId="82" priority="92" stopIfTrue="1">
      <formula>AND(OR($A577="COMPOSICAO",$A577="INSUMO",$A577&lt;&gt;""),$A577&lt;&gt;"")</formula>
    </cfRule>
  </conditionalFormatting>
  <conditionalFormatting sqref="F275:G275">
    <cfRule type="expression" dxfId="81" priority="89" stopIfTrue="1">
      <formula>AND($A275&lt;&gt;"COMPOSICAO",$A275&lt;&gt;"INSUMO",$A275&lt;&gt;"")</formula>
    </cfRule>
    <cfRule type="expression" dxfId="80" priority="90" stopIfTrue="1">
      <formula>AND(OR($A275="COMPOSICAO",$A275="INSUMO",$A275&lt;&gt;""),$A275&lt;&gt;"")</formula>
    </cfRule>
  </conditionalFormatting>
  <conditionalFormatting sqref="F147:G147">
    <cfRule type="expression" dxfId="79" priority="87" stopIfTrue="1">
      <formula>AND($A147&lt;&gt;"COMPOSICAO",$A147&lt;&gt;"INSUMO",$A147&lt;&gt;"")</formula>
    </cfRule>
    <cfRule type="expression" dxfId="78" priority="88" stopIfTrue="1">
      <formula>AND(OR($A147="COMPOSICAO",$A147="INSUMO",$A147&lt;&gt;""),$A147&lt;&gt;"")</formula>
    </cfRule>
  </conditionalFormatting>
  <conditionalFormatting sqref="F161:G161">
    <cfRule type="expression" dxfId="77" priority="85" stopIfTrue="1">
      <formula>AND($A161&lt;&gt;"COMPOSICAO",$A161&lt;&gt;"INSUMO",$A161&lt;&gt;"")</formula>
    </cfRule>
    <cfRule type="expression" dxfId="76" priority="86" stopIfTrue="1">
      <formula>AND(OR($A161="COMPOSICAO",$A161="INSUMO",$A161&lt;&gt;""),$A161&lt;&gt;"")</formula>
    </cfRule>
  </conditionalFormatting>
  <conditionalFormatting sqref="F168:G168">
    <cfRule type="expression" dxfId="75" priority="83" stopIfTrue="1">
      <formula>AND($A168&lt;&gt;"COMPOSICAO",$A168&lt;&gt;"INSUMO",$A168&lt;&gt;"")</formula>
    </cfRule>
    <cfRule type="expression" dxfId="74" priority="84" stopIfTrue="1">
      <formula>AND(OR($A168="COMPOSICAO",$A168="INSUMO",$A168&lt;&gt;""),$A168&lt;&gt;"")</formula>
    </cfRule>
  </conditionalFormatting>
  <conditionalFormatting sqref="A583:E586 A588:E588 A587 D587:E587">
    <cfRule type="expression" dxfId="73" priority="81" stopIfTrue="1">
      <formula>AND($A583&lt;&gt;"COMPOSICAO",$A583&lt;&gt;"INSUMO",$A583&lt;&gt;"")</formula>
    </cfRule>
    <cfRule type="expression" dxfId="72" priority="82" stopIfTrue="1">
      <formula>AND(OR($A583="COMPOSICAO",$A583="INSUMO",$A583&lt;&gt;""),$A583&lt;&gt;"")</formula>
    </cfRule>
  </conditionalFormatting>
  <conditionalFormatting sqref="F583:G583">
    <cfRule type="expression" dxfId="71" priority="79" stopIfTrue="1">
      <formula>AND($A583&lt;&gt;"COMPOSICAO",$A583&lt;&gt;"INSUMO",$A583&lt;&gt;"")</formula>
    </cfRule>
    <cfRule type="expression" dxfId="70" priority="80" stopIfTrue="1">
      <formula>AND(OR($A583="COMPOSICAO",$A583="INSUMO",$A583&lt;&gt;""),$A583&lt;&gt;"")</formula>
    </cfRule>
  </conditionalFormatting>
  <conditionalFormatting sqref="A589:F589">
    <cfRule type="expression" dxfId="69" priority="77" stopIfTrue="1">
      <formula>AND($A589&lt;&gt;"COMPOSICAO",$A589&lt;&gt;"INSUMO",$A589&lt;&gt;"")</formula>
    </cfRule>
    <cfRule type="expression" dxfId="68" priority="78" stopIfTrue="1">
      <formula>AND(OR($A589="COMPOSICAO",$A589="INSUMO",$A589&lt;&gt;""),$A589&lt;&gt;"")</formula>
    </cfRule>
  </conditionalFormatting>
  <conditionalFormatting sqref="B587:C587">
    <cfRule type="expression" dxfId="67" priority="75" stopIfTrue="1">
      <formula>AND($A587&lt;&gt;"COMPOSICAO",$A587&lt;&gt;"INSUMO",$A587&lt;&gt;"")</formula>
    </cfRule>
    <cfRule type="expression" dxfId="66" priority="76" stopIfTrue="1">
      <formula>AND(OR($A587="COMPOSICAO",$A587="INSUMO",$A587&lt;&gt;""),$A587&lt;&gt;"")</formula>
    </cfRule>
  </conditionalFormatting>
  <conditionalFormatting sqref="A591:E591">
    <cfRule type="expression" dxfId="65" priority="71" stopIfTrue="1">
      <formula>AND($A591&lt;&gt;"COMPOSICAO",$A591&lt;&gt;"INSUMO",$A591&lt;&gt;"")</formula>
    </cfRule>
    <cfRule type="expression" dxfId="64" priority="72" stopIfTrue="1">
      <formula>AND(OR($A591="COMPOSICAO",$A591="INSUMO",$A591&lt;&gt;""),$A591&lt;&gt;"")</formula>
    </cfRule>
  </conditionalFormatting>
  <conditionalFormatting sqref="F591:G591">
    <cfRule type="expression" dxfId="63" priority="69" stopIfTrue="1">
      <formula>AND($A591&lt;&gt;"COMPOSICAO",$A591&lt;&gt;"INSUMO",$A591&lt;&gt;"")</formula>
    </cfRule>
    <cfRule type="expression" dxfId="62" priority="70" stopIfTrue="1">
      <formula>AND(OR($A591="COMPOSICAO",$A591="INSUMO",$A591&lt;&gt;""),$A591&lt;&gt;"")</formula>
    </cfRule>
  </conditionalFormatting>
  <conditionalFormatting sqref="A597:E597">
    <cfRule type="expression" dxfId="61" priority="61" stopIfTrue="1">
      <formula>AND($A597&lt;&gt;"COMPOSICAO",$A597&lt;&gt;"INSUMO",$A597&lt;&gt;"")</formula>
    </cfRule>
    <cfRule type="expression" dxfId="60" priority="62" stopIfTrue="1">
      <formula>AND(OR($A597="COMPOSICAO",$A597="INSUMO",$A597&lt;&gt;""),$A597&lt;&gt;"")</formula>
    </cfRule>
  </conditionalFormatting>
  <conditionalFormatting sqref="F597:G597">
    <cfRule type="expression" dxfId="59" priority="59" stopIfTrue="1">
      <formula>AND($A597&lt;&gt;"COMPOSICAO",$A597&lt;&gt;"INSUMO",$A597&lt;&gt;"")</formula>
    </cfRule>
    <cfRule type="expression" dxfId="58" priority="60" stopIfTrue="1">
      <formula>AND(OR($A597="COMPOSICAO",$A597="INSUMO",$A597&lt;&gt;""),$A597&lt;&gt;"")</formula>
    </cfRule>
  </conditionalFormatting>
  <conditionalFormatting sqref="B605 D605:E605">
    <cfRule type="expression" dxfId="57" priority="57" stopIfTrue="1">
      <formula>AND($A605&lt;&gt;"COMPOSICAO",$A605&lt;&gt;"INSUMO",$A605&lt;&gt;"")</formula>
    </cfRule>
    <cfRule type="expression" dxfId="56" priority="58" stopIfTrue="1">
      <formula>AND(OR($A605="COMPOSICAO",$A605="INSUMO",$A605&lt;&gt;""),$A605&lt;&gt;"")</formula>
    </cfRule>
  </conditionalFormatting>
  <conditionalFormatting sqref="F605:G605">
    <cfRule type="expression" dxfId="55" priority="55" stopIfTrue="1">
      <formula>AND($A605&lt;&gt;"COMPOSICAO",$A605&lt;&gt;"INSUMO",$A605&lt;&gt;"")</formula>
    </cfRule>
    <cfRule type="expression" dxfId="54" priority="56" stopIfTrue="1">
      <formula>AND(OR($A605="COMPOSICAO",$A605="INSUMO",$A605&lt;&gt;""),$A605&lt;&gt;"")</formula>
    </cfRule>
  </conditionalFormatting>
  <conditionalFormatting sqref="B605:G605">
    <cfRule type="expression" dxfId="53" priority="53" stopIfTrue="1">
      <formula>AND($A605&lt;&gt;"COMPOSICAO",$A605&lt;&gt;"INSUMO",$A605&lt;&gt;"")</formula>
    </cfRule>
    <cfRule type="expression" dxfId="52" priority="54" stopIfTrue="1">
      <formula>AND(OR($A605="COMPOSICAO",$A605="INSUMO",$A605&lt;&gt;""),$A605&lt;&gt;"")</formula>
    </cfRule>
  </conditionalFormatting>
  <conditionalFormatting sqref="B605:G605">
    <cfRule type="expression" dxfId="51" priority="51" stopIfTrue="1">
      <formula>AND($A605&lt;&gt;"COMPOSICAO",$A605&lt;&gt;"INSUMO",$A605&lt;&gt;"")</formula>
    </cfRule>
    <cfRule type="expression" dxfId="50" priority="52" stopIfTrue="1">
      <formula>AND(OR($A605="COMPOSICAO",$A605="INSUMO",$A605&lt;&gt;""),$A605&lt;&gt;"")</formula>
    </cfRule>
  </conditionalFormatting>
  <conditionalFormatting sqref="B605:G605">
    <cfRule type="expression" dxfId="49" priority="49">
      <formula>AND($A605&lt;&gt;"COMPOSICAO",$A605&lt;&gt;"INSUMO",$A605&lt;&gt;"")</formula>
    </cfRule>
    <cfRule type="expression" dxfId="48" priority="50">
      <formula>AND(OR($A605="COMPOSICAO",$A605="INSUMO",$A605&lt;&gt;""),$A605&lt;&gt;"")</formula>
    </cfRule>
  </conditionalFormatting>
  <conditionalFormatting sqref="B605:E605">
    <cfRule type="expression" dxfId="47" priority="47">
      <formula>AND($A605&lt;&gt;"COMPOSICAO",$A605&lt;&gt;"INSUMO",$A605&lt;&gt;"")</formula>
    </cfRule>
    <cfRule type="expression" dxfId="46" priority="48">
      <formula>AND(OR($A605="COMPOSICAO",$A605="INSUMO",$A605&lt;&gt;""),$A605&lt;&gt;"")</formula>
    </cfRule>
  </conditionalFormatting>
  <conditionalFormatting sqref="F605:G605">
    <cfRule type="expression" dxfId="45" priority="45">
      <formula>AND($A605&lt;&gt;"COMPOSICAO",$A605&lt;&gt;"INSUMO",$A605&lt;&gt;"")</formula>
    </cfRule>
    <cfRule type="expression" dxfId="44" priority="46">
      <formula>AND(OR($A605="COMPOSICAO",$A605="INSUMO",$A605&lt;&gt;""),$A605&lt;&gt;"")</formula>
    </cfRule>
  </conditionalFormatting>
  <conditionalFormatting sqref="B605:E605">
    <cfRule type="expression" dxfId="43" priority="43">
      <formula>AND($A605&lt;&gt;"COMPOSICAO",$A605&lt;&gt;"INSUMO",$A605&lt;&gt;"")</formula>
    </cfRule>
    <cfRule type="expression" dxfId="42" priority="44">
      <formula>AND(OR($A605="COMPOSICAO",$A605="INSUMO",$A605&lt;&gt;""),$A605&lt;&gt;"")</formula>
    </cfRule>
  </conditionalFormatting>
  <conditionalFormatting sqref="F605:G605">
    <cfRule type="expression" dxfId="41" priority="41" stopIfTrue="1">
      <formula>AND($A605&lt;&gt;"COMPOSICAO",$A605&lt;&gt;"INSUMO",$A605&lt;&gt;"")</formula>
    </cfRule>
    <cfRule type="expression" dxfId="40" priority="42">
      <formula>AND(OR($A605="COMPOSICAO",$A605="INSUMO",$A605&lt;&gt;""),$A605&lt;&gt;"")</formula>
    </cfRule>
  </conditionalFormatting>
  <conditionalFormatting sqref="A605:G605">
    <cfRule type="expression" dxfId="39" priority="39" stopIfTrue="1">
      <formula>AND($A605&lt;&gt;"COMPOSICAO",$A605&lt;&gt;"INSUMO",$A605&lt;&gt;"")</formula>
    </cfRule>
    <cfRule type="expression" dxfId="38" priority="40" stopIfTrue="1">
      <formula>AND(OR($A605="COMPOSICAO",$A605="INSUMO",$A605&lt;&gt;""),$A605&lt;&gt;"")</formula>
    </cfRule>
  </conditionalFormatting>
  <conditionalFormatting sqref="F108:G108">
    <cfRule type="expression" dxfId="37" priority="37" stopIfTrue="1">
      <formula>AND($A108&lt;&gt;"COMPOSICAO",$A108&lt;&gt;"INSUMO",$A108&lt;&gt;"")</formula>
    </cfRule>
    <cfRule type="expression" dxfId="36" priority="38" stopIfTrue="1">
      <formula>AND(OR($A108="COMPOSICAO",$A108="INSUMO",$A108&lt;&gt;""),$A108&lt;&gt;"")</formula>
    </cfRule>
  </conditionalFormatting>
  <conditionalFormatting sqref="F114:G114">
    <cfRule type="expression" dxfId="35" priority="35" stopIfTrue="1">
      <formula>AND($A114&lt;&gt;"COMPOSICAO",$A114&lt;&gt;"INSUMO",$A114&lt;&gt;"")</formula>
    </cfRule>
    <cfRule type="expression" dxfId="34" priority="36" stopIfTrue="1">
      <formula>AND(OR($A114="COMPOSICAO",$A114="INSUMO",$A114&lt;&gt;""),$A114&lt;&gt;"")</formula>
    </cfRule>
  </conditionalFormatting>
  <conditionalFormatting sqref="F114:G114">
    <cfRule type="expression" dxfId="33" priority="33" stopIfTrue="1">
      <formula>AND($A114&lt;&gt;"COMPOSICAO",$A114&lt;&gt;"INSUMO",$A114&lt;&gt;"")</formula>
    </cfRule>
    <cfRule type="expression" dxfId="32" priority="34" stopIfTrue="1">
      <formula>AND(OR($A114="COMPOSICAO",$A114="INSUMO",$A114&lt;&gt;""),$A114&lt;&gt;"")</formula>
    </cfRule>
  </conditionalFormatting>
  <conditionalFormatting sqref="F121:G121">
    <cfRule type="expression" dxfId="31" priority="31" stopIfTrue="1">
      <formula>AND($A121&lt;&gt;"COMPOSICAO",$A121&lt;&gt;"INSUMO",$A121&lt;&gt;"")</formula>
    </cfRule>
    <cfRule type="expression" dxfId="30" priority="32" stopIfTrue="1">
      <formula>AND(OR($A121="COMPOSICAO",$A121="INSUMO",$A121&lt;&gt;""),$A121&lt;&gt;"")</formula>
    </cfRule>
  </conditionalFormatting>
  <conditionalFormatting sqref="F134:G134">
    <cfRule type="expression" dxfId="29" priority="29" stopIfTrue="1">
      <formula>AND($A134&lt;&gt;"COMPOSICAO",$A134&lt;&gt;"INSUMO",$A134&lt;&gt;"")</formula>
    </cfRule>
    <cfRule type="expression" dxfId="28" priority="30" stopIfTrue="1">
      <formula>AND(OR($A134="COMPOSICAO",$A134="INSUMO",$A134&lt;&gt;""),$A134&lt;&gt;"")</formula>
    </cfRule>
  </conditionalFormatting>
  <conditionalFormatting sqref="B622 D622:E622">
    <cfRule type="expression" dxfId="27" priority="27" stopIfTrue="1">
      <formula>AND($A622&lt;&gt;"COMPOSICAO",$A622&lt;&gt;"INSUMO",$A622&lt;&gt;"")</formula>
    </cfRule>
    <cfRule type="expression" dxfId="26" priority="28" stopIfTrue="1">
      <formula>AND(OR($A622="COMPOSICAO",$A622="INSUMO",$A622&lt;&gt;""),$A622&lt;&gt;"")</formula>
    </cfRule>
  </conditionalFormatting>
  <conditionalFormatting sqref="F622:G622">
    <cfRule type="expression" dxfId="25" priority="25" stopIfTrue="1">
      <formula>AND($A622&lt;&gt;"COMPOSICAO",$A622&lt;&gt;"INSUMO",$A622&lt;&gt;"")</formula>
    </cfRule>
    <cfRule type="expression" dxfId="24" priority="26" stopIfTrue="1">
      <formula>AND(OR($A622="COMPOSICAO",$A622="INSUMO",$A622&lt;&gt;""),$A622&lt;&gt;"")</formula>
    </cfRule>
  </conditionalFormatting>
  <conditionalFormatting sqref="B622:G622">
    <cfRule type="expression" dxfId="23" priority="23" stopIfTrue="1">
      <formula>AND($A622&lt;&gt;"COMPOSICAO",$A622&lt;&gt;"INSUMO",$A622&lt;&gt;"")</formula>
    </cfRule>
    <cfRule type="expression" dxfId="22" priority="24" stopIfTrue="1">
      <formula>AND(OR($A622="COMPOSICAO",$A622="INSUMO",$A622&lt;&gt;""),$A622&lt;&gt;"")</formula>
    </cfRule>
  </conditionalFormatting>
  <conditionalFormatting sqref="B622:G622">
    <cfRule type="expression" dxfId="21" priority="21" stopIfTrue="1">
      <formula>AND($A622&lt;&gt;"COMPOSICAO",$A622&lt;&gt;"INSUMO",$A622&lt;&gt;"")</formula>
    </cfRule>
    <cfRule type="expression" dxfId="20" priority="22" stopIfTrue="1">
      <formula>AND(OR($A622="COMPOSICAO",$A622="INSUMO",$A622&lt;&gt;""),$A622&lt;&gt;"")</formula>
    </cfRule>
  </conditionalFormatting>
  <conditionalFormatting sqref="B622:G622">
    <cfRule type="expression" dxfId="19" priority="19">
      <formula>AND($A622&lt;&gt;"COMPOSICAO",$A622&lt;&gt;"INSUMO",$A622&lt;&gt;"")</formula>
    </cfRule>
    <cfRule type="expression" dxfId="18" priority="20">
      <formula>AND(OR($A622="COMPOSICAO",$A622="INSUMO",$A622&lt;&gt;""),$A622&lt;&gt;"")</formula>
    </cfRule>
  </conditionalFormatting>
  <conditionalFormatting sqref="B622:E622">
    <cfRule type="expression" dxfId="17" priority="17">
      <formula>AND($A622&lt;&gt;"COMPOSICAO",$A622&lt;&gt;"INSUMO",$A622&lt;&gt;"")</formula>
    </cfRule>
    <cfRule type="expression" dxfId="16" priority="18">
      <formula>AND(OR($A622="COMPOSICAO",$A622="INSUMO",$A622&lt;&gt;""),$A622&lt;&gt;"")</formula>
    </cfRule>
  </conditionalFormatting>
  <conditionalFormatting sqref="F622:G622">
    <cfRule type="expression" dxfId="15" priority="15">
      <formula>AND($A622&lt;&gt;"COMPOSICAO",$A622&lt;&gt;"INSUMO",$A622&lt;&gt;"")</formula>
    </cfRule>
    <cfRule type="expression" dxfId="14" priority="16">
      <formula>AND(OR($A622="COMPOSICAO",$A622="INSUMO",$A622&lt;&gt;""),$A622&lt;&gt;"")</formula>
    </cfRule>
  </conditionalFormatting>
  <conditionalFormatting sqref="B622:E622">
    <cfRule type="expression" dxfId="13" priority="13">
      <formula>AND($A622&lt;&gt;"COMPOSICAO",$A622&lt;&gt;"INSUMO",$A622&lt;&gt;"")</formula>
    </cfRule>
    <cfRule type="expression" dxfId="12" priority="14">
      <formula>AND(OR($A622="COMPOSICAO",$A622="INSUMO",$A622&lt;&gt;""),$A622&lt;&gt;"")</formula>
    </cfRule>
  </conditionalFormatting>
  <conditionalFormatting sqref="F622:G622">
    <cfRule type="expression" dxfId="11" priority="11" stopIfTrue="1">
      <formula>AND($A622&lt;&gt;"COMPOSICAO",$A622&lt;&gt;"INSUMO",$A622&lt;&gt;"")</formula>
    </cfRule>
    <cfRule type="expression" dxfId="10" priority="12">
      <formula>AND(OR($A622="COMPOSICAO",$A622="INSUMO",$A622&lt;&gt;""),$A622&lt;&gt;"")</formula>
    </cfRule>
  </conditionalFormatting>
  <conditionalFormatting sqref="A622:G622">
    <cfRule type="expression" dxfId="9" priority="9" stopIfTrue="1">
      <formula>AND($A622&lt;&gt;"COMPOSICAO",$A622&lt;&gt;"INSUMO",$A622&lt;&gt;"")</formula>
    </cfRule>
    <cfRule type="expression" dxfId="8" priority="10" stopIfTrue="1">
      <formula>AND(OR($A622="COMPOSICAO",$A622="INSUMO",$A622&lt;&gt;""),$A622&lt;&gt;"")</formula>
    </cfRule>
  </conditionalFormatting>
  <conditionalFormatting sqref="A622:E627 A624:A631">
    <cfRule type="expression" dxfId="7" priority="7" stopIfTrue="1">
      <formula>AND($A622&lt;&gt;"COMPOSICAO",$A622&lt;&gt;"INSUMO",$A622&lt;&gt;"")</formula>
    </cfRule>
    <cfRule type="expression" dxfId="6" priority="8" stopIfTrue="1">
      <formula>AND(OR($A622="COMPOSICAO",$A622="INSUMO",$A622&lt;&gt;""),$A622&lt;&gt;"")</formula>
    </cfRule>
  </conditionalFormatting>
  <conditionalFormatting sqref="A627:E627">
    <cfRule type="expression" dxfId="5" priority="5" stopIfTrue="1">
      <formula>AND($A627&lt;&gt;"COMPOSICAO",$A627&lt;&gt;"INSUMO",$A627&lt;&gt;"")</formula>
    </cfRule>
    <cfRule type="expression" dxfId="4" priority="6" stopIfTrue="1">
      <formula>AND(OR($A627="COMPOSICAO",$A627="INSUMO",$A627&lt;&gt;""),$A627&lt;&gt;"")</formula>
    </cfRule>
  </conditionalFormatting>
  <conditionalFormatting sqref="F622:G622">
    <cfRule type="expression" dxfId="3" priority="3" stopIfTrue="1">
      <formula>AND($A622&lt;&gt;"COMPOSICAO",$A622&lt;&gt;"INSUMO",$A622&lt;&gt;"")</formula>
    </cfRule>
    <cfRule type="expression" dxfId="2" priority="4" stopIfTrue="1">
      <formula>AND(OR($A622="COMPOSICAO",$A622="INSUMO",$A622&lt;&gt;""),$A622&lt;&gt;"")</formula>
    </cfRule>
  </conditionalFormatting>
  <conditionalFormatting sqref="G622">
    <cfRule type="expression" dxfId="1" priority="1" stopIfTrue="1">
      <formula>AND($A622&lt;&gt;"COMPOSICAO",$A622&lt;&gt;"INSUMO",$A622&lt;&gt;"")</formula>
    </cfRule>
    <cfRule type="expression" dxfId="0" priority="2" stopIfTrue="1">
      <formula>AND(OR($A622="COMPOSICAO",$A622="INSUMO",$A622&lt;&gt;""),$A622&lt;&gt;"")</formula>
    </cfRule>
  </conditionalFormatting>
  <pageMargins left="0.511811024" right="0.511811024" top="0.78740157499999996" bottom="0.78740157499999996" header="0.31496062000000002" footer="0.31496062000000002"/>
  <pageSetup paperSize="9" scale="75" fitToHeight="0" orientation="portrait" r:id="rId1"/>
  <rowBreaks count="8" manualBreakCount="8">
    <brk id="79" max="6" man="1"/>
    <brk id="133" max="6" man="1"/>
    <brk id="182" max="6" man="1"/>
    <brk id="303" max="6" man="1"/>
    <brk id="361" max="6" man="1"/>
    <brk id="408" max="6" man="1"/>
    <brk id="472" max="6" man="1"/>
    <brk id="590" max="6" man="1"/>
  </rowBreaks>
</worksheet>
</file>

<file path=xl/worksheets/sheet11.xml><?xml version="1.0" encoding="utf-8"?>
<worksheet xmlns="http://schemas.openxmlformats.org/spreadsheetml/2006/main" xmlns:r="http://schemas.openxmlformats.org/officeDocument/2006/relationships">
  <sheetPr>
    <pageSetUpPr fitToPage="1"/>
  </sheetPr>
  <dimension ref="B1:AE687"/>
  <sheetViews>
    <sheetView workbookViewId="0"/>
  </sheetViews>
  <sheetFormatPr defaultColWidth="9" defaultRowHeight="15.6"/>
  <cols>
    <col min="1" max="1" width="9" style="501"/>
    <col min="2" max="2" width="28.8984375" style="501" customWidth="1"/>
    <col min="3" max="3" width="6.59765625" style="604" bestFit="1" customWidth="1"/>
    <col min="4" max="4" width="1.69921875" style="501" bestFit="1" customWidth="1"/>
    <col min="5" max="5" width="7.59765625" style="604" bestFit="1" customWidth="1"/>
    <col min="6" max="6" width="9.19921875" style="501" bestFit="1" customWidth="1"/>
    <col min="7" max="7" width="9.8984375" style="501" bestFit="1" customWidth="1"/>
    <col min="8" max="8" width="3" style="605" bestFit="1" customWidth="1"/>
    <col min="9" max="9" width="9.19921875" style="501" bestFit="1" customWidth="1"/>
    <col min="10" max="10" width="3.09765625" style="501" customWidth="1"/>
    <col min="11" max="11" width="9.19921875" style="501" customWidth="1"/>
    <col min="12" max="12" width="3.59765625" style="501" customWidth="1"/>
    <col min="13" max="13" width="9.8984375" style="501" customWidth="1"/>
    <col min="14" max="14" width="2.69921875" style="501" customWidth="1"/>
    <col min="15" max="15" width="8.59765625" style="501" bestFit="1" customWidth="1"/>
    <col min="16" max="16" width="3.19921875" style="501" customWidth="1"/>
    <col min="17" max="17" width="8.59765625" style="501" customWidth="1"/>
    <col min="18" max="18" width="2.8984375" style="501" customWidth="1"/>
    <col min="19" max="19" width="7.19921875" style="501" bestFit="1" customWidth="1"/>
    <col min="20" max="20" width="3" style="501" bestFit="1" customWidth="1"/>
    <col min="21" max="21" width="10.3984375" style="501" customWidth="1"/>
    <col min="22" max="22" width="3" style="501" bestFit="1" customWidth="1"/>
    <col min="23" max="23" width="9.3984375" style="501" bestFit="1" customWidth="1"/>
    <col min="24" max="24" width="3.8984375" style="501" customWidth="1"/>
    <col min="25" max="25" width="9" style="501"/>
    <col min="26" max="26" width="5.19921875" style="501" customWidth="1"/>
    <col min="27" max="27" width="9" style="501"/>
    <col min="28" max="28" width="5.09765625" style="501" customWidth="1"/>
    <col min="29" max="29" width="9" style="501"/>
    <col min="30" max="30" width="5.5" style="501" customWidth="1"/>
    <col min="31" max="16384" width="9" style="501"/>
  </cols>
  <sheetData>
    <row r="1" spans="2:31">
      <c r="B1" s="1091" t="s">
        <v>950</v>
      </c>
      <c r="C1" s="1091"/>
      <c r="D1" s="1091"/>
      <c r="E1" s="1091"/>
      <c r="F1" s="1091"/>
      <c r="G1" s="1091"/>
      <c r="H1" s="1091"/>
      <c r="I1" s="1091"/>
      <c r="J1" s="1091"/>
      <c r="K1" s="1091"/>
      <c r="L1" s="1091"/>
      <c r="M1" s="1091"/>
      <c r="N1" s="1091"/>
      <c r="O1" s="1091"/>
      <c r="P1" s="1091"/>
      <c r="Q1" s="1091"/>
      <c r="R1" s="1091"/>
      <c r="S1" s="1091"/>
      <c r="T1" s="1091"/>
      <c r="U1" s="1091"/>
      <c r="V1" s="1091"/>
      <c r="W1" s="1091"/>
    </row>
    <row r="3" spans="2:31" s="497" customFormat="1" ht="32.4" customHeight="1">
      <c r="B3" s="495" t="s">
        <v>951</v>
      </c>
      <c r="C3" s="496" t="s">
        <v>952</v>
      </c>
      <c r="D3" s="495"/>
      <c r="E3" s="496" t="s">
        <v>953</v>
      </c>
      <c r="F3" s="495" t="s">
        <v>584</v>
      </c>
      <c r="G3" s="495" t="s">
        <v>954</v>
      </c>
      <c r="H3" s="999" t="s">
        <v>955</v>
      </c>
      <c r="I3" s="1000"/>
      <c r="J3" s="1092" t="s">
        <v>2489</v>
      </c>
      <c r="K3" s="1093"/>
      <c r="L3" s="994" t="s">
        <v>2305</v>
      </c>
      <c r="M3" s="995"/>
      <c r="N3" s="994" t="s">
        <v>1564</v>
      </c>
      <c r="O3" s="995"/>
      <c r="P3" s="994" t="s">
        <v>2482</v>
      </c>
      <c r="Q3" s="995"/>
      <c r="R3" s="994" t="s">
        <v>1565</v>
      </c>
      <c r="S3" s="995"/>
      <c r="T3" s="999" t="s">
        <v>1518</v>
      </c>
      <c r="U3" s="1000"/>
      <c r="V3" s="999" t="s">
        <v>1059</v>
      </c>
      <c r="W3" s="1000"/>
      <c r="X3" s="994" t="s">
        <v>2107</v>
      </c>
      <c r="Y3" s="995"/>
      <c r="Z3" s="994" t="s">
        <v>2108</v>
      </c>
      <c r="AA3" s="995"/>
      <c r="AB3" s="994" t="s">
        <v>2109</v>
      </c>
      <c r="AC3" s="995"/>
      <c r="AD3" s="994" t="s">
        <v>2664</v>
      </c>
      <c r="AE3" s="995"/>
    </row>
    <row r="4" spans="2:31">
      <c r="B4" s="582" t="s">
        <v>956</v>
      </c>
      <c r="C4" s="583"/>
      <c r="D4" s="583"/>
      <c r="E4" s="583"/>
      <c r="F4" s="583"/>
      <c r="G4" s="583"/>
      <c r="H4" s="584"/>
      <c r="I4" s="583"/>
      <c r="J4" s="583"/>
      <c r="K4" s="583"/>
      <c r="L4" s="583"/>
      <c r="M4" s="583"/>
      <c r="N4" s="583"/>
      <c r="O4" s="583"/>
      <c r="P4" s="583"/>
      <c r="Q4" s="583"/>
      <c r="R4" s="583"/>
      <c r="S4" s="583"/>
      <c r="T4" s="583"/>
      <c r="U4" s="583"/>
      <c r="V4" s="583"/>
      <c r="W4" s="585"/>
      <c r="X4" s="583"/>
      <c r="Y4" s="585"/>
      <c r="Z4" s="583"/>
      <c r="AA4" s="585"/>
      <c r="AB4" s="583"/>
      <c r="AC4" s="585"/>
      <c r="AD4" s="586"/>
      <c r="AE4" s="586"/>
    </row>
    <row r="5" spans="2:31">
      <c r="B5" s="586" t="s">
        <v>288</v>
      </c>
      <c r="C5" s="587">
        <v>2.8</v>
      </c>
      <c r="D5" s="588" t="s">
        <v>957</v>
      </c>
      <c r="E5" s="587">
        <v>4.0270000000000001</v>
      </c>
      <c r="F5" s="587">
        <f t="shared" ref="F5:F12" si="0">C5*E5</f>
        <v>11.275599999999999</v>
      </c>
      <c r="G5" s="587">
        <f t="shared" ref="G5:G12" si="1">(C5+E5)*2</f>
        <v>13.654</v>
      </c>
      <c r="H5" s="589" t="s">
        <v>957</v>
      </c>
      <c r="I5" s="587">
        <f>IF(H5="x",F5,"")</f>
        <v>11.275599999999999</v>
      </c>
      <c r="J5" s="589" t="s">
        <v>957</v>
      </c>
      <c r="K5" s="587">
        <f>IF(J5="x",G5,"")</f>
        <v>13.654</v>
      </c>
      <c r="L5" s="587"/>
      <c r="M5" s="587" t="str">
        <f>IF(L5="x",F5,"")</f>
        <v/>
      </c>
      <c r="N5" s="587"/>
      <c r="O5" s="587" t="str">
        <f>IF(N5="x",F5,"")</f>
        <v/>
      </c>
      <c r="P5" s="587"/>
      <c r="Q5" s="587" t="str">
        <f>IF(P5="x",G5,"")</f>
        <v/>
      </c>
      <c r="R5" s="587"/>
      <c r="S5" s="587" t="str">
        <f>IF(R5="x",F5,"")</f>
        <v/>
      </c>
      <c r="T5" s="587"/>
      <c r="U5" s="587" t="str">
        <f>IF(T5="x",F5,"")</f>
        <v/>
      </c>
      <c r="V5" s="589" t="s">
        <v>957</v>
      </c>
      <c r="W5" s="587">
        <f>IF(V5="x",F5,"")</f>
        <v>11.275599999999999</v>
      </c>
      <c r="X5" s="589"/>
      <c r="Y5" s="587" t="str">
        <f>IF(X5="x",F5,"")</f>
        <v/>
      </c>
      <c r="Z5" s="589"/>
      <c r="AA5" s="587" t="str">
        <f>IF(Z5="x",F5,"")</f>
        <v/>
      </c>
      <c r="AB5" s="589"/>
      <c r="AC5" s="587" t="str">
        <f>IF(AB5="x",F5,"")</f>
        <v/>
      </c>
      <c r="AD5" s="586"/>
      <c r="AE5" s="587" t="str">
        <f>IF(AD5="x",F5,"")</f>
        <v/>
      </c>
    </row>
    <row r="6" spans="2:31">
      <c r="B6" s="586" t="s">
        <v>289</v>
      </c>
      <c r="C6" s="587">
        <v>2.8</v>
      </c>
      <c r="D6" s="588" t="s">
        <v>957</v>
      </c>
      <c r="E6" s="587">
        <v>4.0270000000000001</v>
      </c>
      <c r="F6" s="587">
        <f t="shared" si="0"/>
        <v>11.275599999999999</v>
      </c>
      <c r="G6" s="587">
        <f t="shared" si="1"/>
        <v>13.654</v>
      </c>
      <c r="H6" s="589" t="s">
        <v>957</v>
      </c>
      <c r="I6" s="587">
        <f t="shared" ref="I6:I53" si="2">IF(H6="x",F6,"")</f>
        <v>11.275599999999999</v>
      </c>
      <c r="J6" s="589" t="s">
        <v>957</v>
      </c>
      <c r="K6" s="587">
        <f t="shared" ref="K6:K69" si="3">IF(J6="x",G6,"")</f>
        <v>13.654</v>
      </c>
      <c r="L6" s="587"/>
      <c r="M6" s="587" t="str">
        <f t="shared" ref="M6:M21" si="4">IF(L6="x",F6,"")</f>
        <v/>
      </c>
      <c r="N6" s="587"/>
      <c r="O6" s="587" t="str">
        <f t="shared" ref="O6:O69" si="5">IF(N6="x",F6,"")</f>
        <v/>
      </c>
      <c r="P6" s="587"/>
      <c r="Q6" s="587" t="str">
        <f t="shared" ref="Q6:Q69" si="6">IF(P6="x",G6,"")</f>
        <v/>
      </c>
      <c r="R6" s="587"/>
      <c r="S6" s="587" t="str">
        <f t="shared" ref="S6:S69" si="7">IF(R6="x",F6,"")</f>
        <v/>
      </c>
      <c r="T6" s="587"/>
      <c r="U6" s="587" t="str">
        <f t="shared" ref="U6:U69" si="8">IF(T6="x",F6,"")</f>
        <v/>
      </c>
      <c r="V6" s="589" t="s">
        <v>957</v>
      </c>
      <c r="W6" s="587">
        <f t="shared" ref="W6:W69" si="9">IF(V6="x",F6,"")</f>
        <v>11.275599999999999</v>
      </c>
      <c r="X6" s="589"/>
      <c r="Y6" s="587" t="str">
        <f t="shared" ref="Y6:Y69" si="10">IF(X6="x",F6,"")</f>
        <v/>
      </c>
      <c r="Z6" s="589"/>
      <c r="AA6" s="587" t="str">
        <f t="shared" ref="AA6:AA69" si="11">IF(Z6="x",F6,"")</f>
        <v/>
      </c>
      <c r="AB6" s="589"/>
      <c r="AC6" s="587" t="str">
        <f t="shared" ref="AC6:AC69" si="12">IF(AB6="x",F6,"")</f>
        <v/>
      </c>
      <c r="AD6" s="586"/>
      <c r="AE6" s="587" t="str">
        <f t="shared" ref="AE6:AE69" si="13">IF(AD6="x",F6,"")</f>
        <v/>
      </c>
    </row>
    <row r="7" spans="2:31">
      <c r="B7" s="586" t="s">
        <v>290</v>
      </c>
      <c r="C7" s="587">
        <v>7.85</v>
      </c>
      <c r="D7" s="588" t="s">
        <v>957</v>
      </c>
      <c r="E7" s="587">
        <v>4.0270000000000001</v>
      </c>
      <c r="F7" s="587">
        <f t="shared" si="0"/>
        <v>31.61195</v>
      </c>
      <c r="G7" s="587">
        <f t="shared" si="1"/>
        <v>23.753999999999998</v>
      </c>
      <c r="H7" s="589" t="s">
        <v>957</v>
      </c>
      <c r="I7" s="587">
        <f t="shared" si="2"/>
        <v>31.61195</v>
      </c>
      <c r="J7" s="589" t="s">
        <v>957</v>
      </c>
      <c r="K7" s="587">
        <f t="shared" si="3"/>
        <v>23.753999999999998</v>
      </c>
      <c r="L7" s="587"/>
      <c r="M7" s="587" t="str">
        <f t="shared" si="4"/>
        <v/>
      </c>
      <c r="N7" s="587"/>
      <c r="O7" s="587" t="str">
        <f t="shared" si="5"/>
        <v/>
      </c>
      <c r="P7" s="587"/>
      <c r="Q7" s="587" t="str">
        <f t="shared" si="6"/>
        <v/>
      </c>
      <c r="R7" s="587"/>
      <c r="S7" s="587" t="str">
        <f t="shared" si="7"/>
        <v/>
      </c>
      <c r="T7" s="587"/>
      <c r="U7" s="587" t="str">
        <f t="shared" si="8"/>
        <v/>
      </c>
      <c r="V7" s="589" t="s">
        <v>957</v>
      </c>
      <c r="W7" s="587">
        <f t="shared" si="9"/>
        <v>31.61195</v>
      </c>
      <c r="X7" s="589"/>
      <c r="Y7" s="587" t="str">
        <f t="shared" si="10"/>
        <v/>
      </c>
      <c r="Z7" s="589"/>
      <c r="AA7" s="587" t="str">
        <f t="shared" si="11"/>
        <v/>
      </c>
      <c r="AB7" s="589"/>
      <c r="AC7" s="587" t="str">
        <f t="shared" si="12"/>
        <v/>
      </c>
      <c r="AD7" s="586"/>
      <c r="AE7" s="587" t="str">
        <f t="shared" si="13"/>
        <v/>
      </c>
    </row>
    <row r="8" spans="2:31">
      <c r="B8" s="586" t="s">
        <v>291</v>
      </c>
      <c r="C8" s="587">
        <v>7.85</v>
      </c>
      <c r="D8" s="588" t="s">
        <v>957</v>
      </c>
      <c r="E8" s="587">
        <v>4.0270000000000001</v>
      </c>
      <c r="F8" s="587">
        <f t="shared" si="0"/>
        <v>31.61195</v>
      </c>
      <c r="G8" s="587">
        <f t="shared" si="1"/>
        <v>23.753999999999998</v>
      </c>
      <c r="H8" s="589" t="s">
        <v>957</v>
      </c>
      <c r="I8" s="587">
        <f t="shared" si="2"/>
        <v>31.61195</v>
      </c>
      <c r="J8" s="589" t="s">
        <v>957</v>
      </c>
      <c r="K8" s="587">
        <f t="shared" si="3"/>
        <v>23.753999999999998</v>
      </c>
      <c r="L8" s="587"/>
      <c r="M8" s="587" t="str">
        <f t="shared" si="4"/>
        <v/>
      </c>
      <c r="N8" s="587"/>
      <c r="O8" s="587" t="str">
        <f t="shared" si="5"/>
        <v/>
      </c>
      <c r="P8" s="587"/>
      <c r="Q8" s="587" t="str">
        <f t="shared" si="6"/>
        <v/>
      </c>
      <c r="R8" s="587"/>
      <c r="S8" s="587" t="str">
        <f t="shared" si="7"/>
        <v/>
      </c>
      <c r="T8" s="587"/>
      <c r="U8" s="587" t="str">
        <f t="shared" si="8"/>
        <v/>
      </c>
      <c r="V8" s="589" t="s">
        <v>957</v>
      </c>
      <c r="W8" s="587">
        <f t="shared" si="9"/>
        <v>31.61195</v>
      </c>
      <c r="X8" s="589"/>
      <c r="Y8" s="587" t="str">
        <f t="shared" si="10"/>
        <v/>
      </c>
      <c r="Z8" s="589"/>
      <c r="AA8" s="587" t="str">
        <f t="shared" si="11"/>
        <v/>
      </c>
      <c r="AB8" s="589"/>
      <c r="AC8" s="587" t="str">
        <f t="shared" si="12"/>
        <v/>
      </c>
      <c r="AD8" s="586"/>
      <c r="AE8" s="587" t="str">
        <f t="shared" si="13"/>
        <v/>
      </c>
    </row>
    <row r="9" spans="2:31">
      <c r="B9" s="586" t="s">
        <v>292</v>
      </c>
      <c r="C9" s="587">
        <v>2.8010000000000002</v>
      </c>
      <c r="D9" s="588" t="s">
        <v>957</v>
      </c>
      <c r="E9" s="587">
        <v>4.3499999999999996</v>
      </c>
      <c r="F9" s="587">
        <f t="shared" si="0"/>
        <v>12.18435</v>
      </c>
      <c r="G9" s="587">
        <f t="shared" si="1"/>
        <v>14.302</v>
      </c>
      <c r="H9" s="589" t="s">
        <v>957</v>
      </c>
      <c r="I9" s="587">
        <f t="shared" si="2"/>
        <v>12.18435</v>
      </c>
      <c r="J9" s="589" t="s">
        <v>957</v>
      </c>
      <c r="K9" s="587">
        <f t="shared" si="3"/>
        <v>14.302</v>
      </c>
      <c r="L9" s="587"/>
      <c r="M9" s="587" t="str">
        <f t="shared" si="4"/>
        <v/>
      </c>
      <c r="N9" s="587"/>
      <c r="O9" s="587" t="str">
        <f t="shared" si="5"/>
        <v/>
      </c>
      <c r="P9" s="587"/>
      <c r="Q9" s="587" t="str">
        <f t="shared" si="6"/>
        <v/>
      </c>
      <c r="R9" s="587"/>
      <c r="S9" s="587" t="str">
        <f t="shared" si="7"/>
        <v/>
      </c>
      <c r="T9" s="587"/>
      <c r="U9" s="587" t="str">
        <f t="shared" si="8"/>
        <v/>
      </c>
      <c r="V9" s="589" t="s">
        <v>957</v>
      </c>
      <c r="W9" s="587">
        <f t="shared" si="9"/>
        <v>12.18435</v>
      </c>
      <c r="X9" s="589"/>
      <c r="Y9" s="587" t="str">
        <f t="shared" si="10"/>
        <v/>
      </c>
      <c r="Z9" s="589"/>
      <c r="AA9" s="587" t="str">
        <f t="shared" si="11"/>
        <v/>
      </c>
      <c r="AB9" s="589"/>
      <c r="AC9" s="587" t="str">
        <f t="shared" si="12"/>
        <v/>
      </c>
      <c r="AD9" s="586"/>
      <c r="AE9" s="587" t="str">
        <f t="shared" si="13"/>
        <v/>
      </c>
    </row>
    <row r="10" spans="2:31">
      <c r="B10" s="586" t="s">
        <v>293</v>
      </c>
      <c r="C10" s="587">
        <v>2.8010000000000002</v>
      </c>
      <c r="D10" s="588" t="s">
        <v>957</v>
      </c>
      <c r="E10" s="587">
        <v>2.8</v>
      </c>
      <c r="F10" s="587">
        <f t="shared" si="0"/>
        <v>7.8427999999999995</v>
      </c>
      <c r="G10" s="587">
        <f t="shared" si="1"/>
        <v>11.202</v>
      </c>
      <c r="H10" s="589" t="s">
        <v>957</v>
      </c>
      <c r="I10" s="587">
        <f t="shared" si="2"/>
        <v>7.8427999999999995</v>
      </c>
      <c r="J10" s="589" t="s">
        <v>957</v>
      </c>
      <c r="K10" s="587">
        <f t="shared" si="3"/>
        <v>11.202</v>
      </c>
      <c r="L10" s="587"/>
      <c r="M10" s="587" t="str">
        <f t="shared" si="4"/>
        <v/>
      </c>
      <c r="N10" s="587"/>
      <c r="O10" s="587" t="str">
        <f t="shared" si="5"/>
        <v/>
      </c>
      <c r="P10" s="587"/>
      <c r="Q10" s="587" t="str">
        <f t="shared" si="6"/>
        <v/>
      </c>
      <c r="R10" s="587"/>
      <c r="S10" s="587" t="str">
        <f t="shared" si="7"/>
        <v/>
      </c>
      <c r="T10" s="587"/>
      <c r="U10" s="587" t="str">
        <f t="shared" si="8"/>
        <v/>
      </c>
      <c r="V10" s="589" t="s">
        <v>957</v>
      </c>
      <c r="W10" s="587">
        <f t="shared" si="9"/>
        <v>7.8427999999999995</v>
      </c>
      <c r="X10" s="589"/>
      <c r="Y10" s="587" t="str">
        <f t="shared" si="10"/>
        <v/>
      </c>
      <c r="Z10" s="589"/>
      <c r="AA10" s="587" t="str">
        <f t="shared" si="11"/>
        <v/>
      </c>
      <c r="AB10" s="589"/>
      <c r="AC10" s="587" t="str">
        <f t="shared" si="12"/>
        <v/>
      </c>
      <c r="AD10" s="586"/>
      <c r="AE10" s="587" t="str">
        <f t="shared" si="13"/>
        <v/>
      </c>
    </row>
    <row r="11" spans="2:31">
      <c r="B11" s="586" t="s">
        <v>293</v>
      </c>
      <c r="C11" s="587">
        <v>2.8010000000000002</v>
      </c>
      <c r="D11" s="588" t="s">
        <v>957</v>
      </c>
      <c r="E11" s="587">
        <v>2.8</v>
      </c>
      <c r="F11" s="587">
        <f t="shared" si="0"/>
        <v>7.8427999999999995</v>
      </c>
      <c r="G11" s="587">
        <f t="shared" si="1"/>
        <v>11.202</v>
      </c>
      <c r="H11" s="589" t="s">
        <v>957</v>
      </c>
      <c r="I11" s="587">
        <f t="shared" si="2"/>
        <v>7.8427999999999995</v>
      </c>
      <c r="J11" s="589" t="s">
        <v>957</v>
      </c>
      <c r="K11" s="587">
        <f t="shared" si="3"/>
        <v>11.202</v>
      </c>
      <c r="L11" s="587"/>
      <c r="M11" s="587" t="str">
        <f t="shared" si="4"/>
        <v/>
      </c>
      <c r="N11" s="587"/>
      <c r="O11" s="587" t="str">
        <f t="shared" si="5"/>
        <v/>
      </c>
      <c r="P11" s="587"/>
      <c r="Q11" s="587" t="str">
        <f t="shared" si="6"/>
        <v/>
      </c>
      <c r="R11" s="587"/>
      <c r="S11" s="587" t="str">
        <f t="shared" si="7"/>
        <v/>
      </c>
      <c r="T11" s="587"/>
      <c r="U11" s="587" t="str">
        <f t="shared" si="8"/>
        <v/>
      </c>
      <c r="V11" s="589" t="s">
        <v>957</v>
      </c>
      <c r="W11" s="587">
        <f t="shared" si="9"/>
        <v>7.8427999999999995</v>
      </c>
      <c r="X11" s="589"/>
      <c r="Y11" s="587" t="str">
        <f t="shared" si="10"/>
        <v/>
      </c>
      <c r="Z11" s="589"/>
      <c r="AA11" s="587" t="str">
        <f t="shared" si="11"/>
        <v/>
      </c>
      <c r="AB11" s="589"/>
      <c r="AC11" s="587" t="str">
        <f t="shared" si="12"/>
        <v/>
      </c>
      <c r="AD11" s="586"/>
      <c r="AE11" s="587" t="str">
        <f t="shared" si="13"/>
        <v/>
      </c>
    </row>
    <row r="12" spans="2:31">
      <c r="B12" s="586" t="s">
        <v>294</v>
      </c>
      <c r="C12" s="587">
        <v>2.8010000000000002</v>
      </c>
      <c r="D12" s="588" t="s">
        <v>957</v>
      </c>
      <c r="E12" s="587">
        <v>4.3499999999999996</v>
      </c>
      <c r="F12" s="587">
        <f t="shared" si="0"/>
        <v>12.18435</v>
      </c>
      <c r="G12" s="587">
        <f t="shared" si="1"/>
        <v>14.302</v>
      </c>
      <c r="H12" s="589" t="s">
        <v>957</v>
      </c>
      <c r="I12" s="587">
        <f t="shared" si="2"/>
        <v>12.18435</v>
      </c>
      <c r="J12" s="589" t="s">
        <v>957</v>
      </c>
      <c r="K12" s="587">
        <f t="shared" si="3"/>
        <v>14.302</v>
      </c>
      <c r="L12" s="587"/>
      <c r="M12" s="587" t="str">
        <f t="shared" si="4"/>
        <v/>
      </c>
      <c r="N12" s="587"/>
      <c r="O12" s="587" t="str">
        <f t="shared" si="5"/>
        <v/>
      </c>
      <c r="P12" s="587"/>
      <c r="Q12" s="587" t="str">
        <f t="shared" si="6"/>
        <v/>
      </c>
      <c r="R12" s="587"/>
      <c r="S12" s="587" t="str">
        <f t="shared" si="7"/>
        <v/>
      </c>
      <c r="T12" s="587"/>
      <c r="U12" s="587" t="str">
        <f t="shared" si="8"/>
        <v/>
      </c>
      <c r="V12" s="589" t="s">
        <v>957</v>
      </c>
      <c r="W12" s="587">
        <f t="shared" si="9"/>
        <v>12.18435</v>
      </c>
      <c r="X12" s="589"/>
      <c r="Y12" s="587" t="str">
        <f t="shared" si="10"/>
        <v/>
      </c>
      <c r="Z12" s="589"/>
      <c r="AA12" s="587" t="str">
        <f t="shared" si="11"/>
        <v/>
      </c>
      <c r="AB12" s="589"/>
      <c r="AC12" s="587" t="str">
        <f t="shared" si="12"/>
        <v/>
      </c>
      <c r="AD12" s="586"/>
      <c r="AE12" s="587" t="str">
        <f t="shared" si="13"/>
        <v/>
      </c>
    </row>
    <row r="13" spans="2:31">
      <c r="B13" s="586" t="s">
        <v>295</v>
      </c>
      <c r="C13" s="587"/>
      <c r="D13" s="588"/>
      <c r="E13" s="587"/>
      <c r="F13" s="587">
        <f>2.5*(13.75*4+2.15*2)+5.15*2*3</f>
        <v>179.15</v>
      </c>
      <c r="G13" s="587"/>
      <c r="H13" s="589"/>
      <c r="I13" s="587" t="str">
        <f t="shared" si="2"/>
        <v/>
      </c>
      <c r="J13" s="589"/>
      <c r="K13" s="587" t="str">
        <f t="shared" si="3"/>
        <v/>
      </c>
      <c r="L13" s="587" t="s">
        <v>952</v>
      </c>
      <c r="M13" s="587">
        <f t="shared" si="4"/>
        <v>179.15</v>
      </c>
      <c r="N13" s="587"/>
      <c r="O13" s="587" t="str">
        <f t="shared" si="5"/>
        <v/>
      </c>
      <c r="P13" s="587"/>
      <c r="Q13" s="587" t="str">
        <f t="shared" si="6"/>
        <v/>
      </c>
      <c r="R13" s="587"/>
      <c r="S13" s="587" t="str">
        <f t="shared" si="7"/>
        <v/>
      </c>
      <c r="T13" s="587"/>
      <c r="U13" s="587" t="str">
        <f t="shared" si="8"/>
        <v/>
      </c>
      <c r="V13" s="589"/>
      <c r="W13" s="587" t="str">
        <f t="shared" si="9"/>
        <v/>
      </c>
      <c r="X13" s="589"/>
      <c r="Y13" s="587" t="str">
        <f t="shared" si="10"/>
        <v/>
      </c>
      <c r="Z13" s="589"/>
      <c r="AA13" s="587" t="str">
        <f t="shared" si="11"/>
        <v/>
      </c>
      <c r="AB13" s="589" t="s">
        <v>952</v>
      </c>
      <c r="AC13" s="587">
        <f t="shared" si="12"/>
        <v>179.15</v>
      </c>
      <c r="AD13" s="586"/>
      <c r="AE13" s="587" t="str">
        <f t="shared" si="13"/>
        <v/>
      </c>
    </row>
    <row r="14" spans="2:31">
      <c r="B14" s="586" t="s">
        <v>296</v>
      </c>
      <c r="C14" s="587"/>
      <c r="D14" s="588"/>
      <c r="E14" s="587"/>
      <c r="F14" s="587">
        <v>193.19</v>
      </c>
      <c r="G14" s="587">
        <v>102.08</v>
      </c>
      <c r="H14" s="589" t="s">
        <v>957</v>
      </c>
      <c r="I14" s="587">
        <v>203.93</v>
      </c>
      <c r="J14" s="589" t="s">
        <v>957</v>
      </c>
      <c r="K14" s="587">
        <f t="shared" si="3"/>
        <v>102.08</v>
      </c>
      <c r="L14" s="587"/>
      <c r="M14" s="587" t="str">
        <f t="shared" si="4"/>
        <v/>
      </c>
      <c r="N14" s="587"/>
      <c r="O14" s="587" t="str">
        <f t="shared" si="5"/>
        <v/>
      </c>
      <c r="P14" s="587"/>
      <c r="Q14" s="587" t="str">
        <f t="shared" si="6"/>
        <v/>
      </c>
      <c r="R14" s="587"/>
      <c r="S14" s="587" t="str">
        <f t="shared" si="7"/>
        <v/>
      </c>
      <c r="T14" s="587"/>
      <c r="U14" s="587" t="str">
        <f t="shared" si="8"/>
        <v/>
      </c>
      <c r="V14" s="589" t="s">
        <v>957</v>
      </c>
      <c r="W14" s="587">
        <f t="shared" si="9"/>
        <v>193.19</v>
      </c>
      <c r="X14" s="589"/>
      <c r="Y14" s="587" t="str">
        <f t="shared" si="10"/>
        <v/>
      </c>
      <c r="Z14" s="589"/>
      <c r="AA14" s="587" t="str">
        <f t="shared" si="11"/>
        <v/>
      </c>
      <c r="AB14" s="589"/>
      <c r="AC14" s="587" t="str">
        <f t="shared" si="12"/>
        <v/>
      </c>
      <c r="AD14" s="586"/>
      <c r="AE14" s="587" t="str">
        <f t="shared" si="13"/>
        <v/>
      </c>
    </row>
    <row r="15" spans="2:31">
      <c r="B15" s="586" t="s">
        <v>297</v>
      </c>
      <c r="C15" s="587">
        <v>3</v>
      </c>
      <c r="D15" s="588" t="s">
        <v>957</v>
      </c>
      <c r="E15" s="587">
        <v>4.1500000000000004</v>
      </c>
      <c r="F15" s="587">
        <f>C15*E15</f>
        <v>12.450000000000001</v>
      </c>
      <c r="G15" s="587">
        <f>(C15+E15)*2</f>
        <v>14.3</v>
      </c>
      <c r="H15" s="589" t="s">
        <v>957</v>
      </c>
      <c r="I15" s="587">
        <f t="shared" si="2"/>
        <v>12.450000000000001</v>
      </c>
      <c r="J15" s="589" t="s">
        <v>957</v>
      </c>
      <c r="K15" s="587">
        <f t="shared" si="3"/>
        <v>14.3</v>
      </c>
      <c r="L15" s="587"/>
      <c r="M15" s="587" t="str">
        <f t="shared" si="4"/>
        <v/>
      </c>
      <c r="N15" s="587"/>
      <c r="O15" s="587" t="str">
        <f t="shared" si="5"/>
        <v/>
      </c>
      <c r="P15" s="587"/>
      <c r="Q15" s="587" t="str">
        <f t="shared" si="6"/>
        <v/>
      </c>
      <c r="R15" s="587"/>
      <c r="S15" s="587" t="str">
        <f t="shared" si="7"/>
        <v/>
      </c>
      <c r="T15" s="587"/>
      <c r="U15" s="587" t="str">
        <f t="shared" si="8"/>
        <v/>
      </c>
      <c r="V15" s="589"/>
      <c r="W15" s="587" t="str">
        <f t="shared" si="9"/>
        <v/>
      </c>
      <c r="X15" s="589" t="s">
        <v>957</v>
      </c>
      <c r="Y15" s="587">
        <f t="shared" si="10"/>
        <v>12.450000000000001</v>
      </c>
      <c r="Z15" s="589"/>
      <c r="AA15" s="587" t="str">
        <f t="shared" si="11"/>
        <v/>
      </c>
      <c r="AB15" s="589"/>
      <c r="AC15" s="587" t="str">
        <f t="shared" si="12"/>
        <v/>
      </c>
      <c r="AD15" s="586"/>
      <c r="AE15" s="587" t="str">
        <f t="shared" si="13"/>
        <v/>
      </c>
    </row>
    <row r="16" spans="2:31">
      <c r="B16" s="586" t="s">
        <v>298</v>
      </c>
      <c r="C16" s="587">
        <v>5.2519999999999998</v>
      </c>
      <c r="D16" s="586" t="s">
        <v>957</v>
      </c>
      <c r="E16" s="587">
        <v>4.2</v>
      </c>
      <c r="F16" s="587">
        <f>C16*E16</f>
        <v>22.058399999999999</v>
      </c>
      <c r="G16" s="587">
        <f>(C16+E16)*2</f>
        <v>18.904</v>
      </c>
      <c r="H16" s="589" t="s">
        <v>957</v>
      </c>
      <c r="I16" s="587">
        <f t="shared" si="2"/>
        <v>22.058399999999999</v>
      </c>
      <c r="J16" s="589" t="s">
        <v>957</v>
      </c>
      <c r="K16" s="587">
        <f t="shared" si="3"/>
        <v>18.904</v>
      </c>
      <c r="L16" s="587"/>
      <c r="M16" s="587" t="str">
        <f t="shared" si="4"/>
        <v/>
      </c>
      <c r="N16" s="587"/>
      <c r="O16" s="587" t="str">
        <f t="shared" si="5"/>
        <v/>
      </c>
      <c r="P16" s="587"/>
      <c r="Q16" s="587" t="str">
        <f t="shared" si="6"/>
        <v/>
      </c>
      <c r="R16" s="587"/>
      <c r="S16" s="587" t="str">
        <f t="shared" si="7"/>
        <v/>
      </c>
      <c r="T16" s="587"/>
      <c r="U16" s="587" t="str">
        <f t="shared" si="8"/>
        <v/>
      </c>
      <c r="V16" s="589" t="s">
        <v>957</v>
      </c>
      <c r="W16" s="587">
        <f t="shared" si="9"/>
        <v>22.058399999999999</v>
      </c>
      <c r="X16" s="589"/>
      <c r="Y16" s="587" t="str">
        <f t="shared" si="10"/>
        <v/>
      </c>
      <c r="Z16" s="589"/>
      <c r="AA16" s="587" t="str">
        <f t="shared" si="11"/>
        <v/>
      </c>
      <c r="AB16" s="589"/>
      <c r="AC16" s="587" t="str">
        <f t="shared" si="12"/>
        <v/>
      </c>
      <c r="AD16" s="586"/>
      <c r="AE16" s="587" t="str">
        <f t="shared" si="13"/>
        <v/>
      </c>
    </row>
    <row r="17" spans="2:31">
      <c r="B17" s="586" t="s">
        <v>299</v>
      </c>
      <c r="C17" s="587">
        <v>3.35</v>
      </c>
      <c r="D17" s="586" t="s">
        <v>957</v>
      </c>
      <c r="E17" s="587">
        <v>4.2</v>
      </c>
      <c r="F17" s="587">
        <f>C17*E17</f>
        <v>14.07</v>
      </c>
      <c r="G17" s="587">
        <f>(C17+E17)*2</f>
        <v>15.100000000000001</v>
      </c>
      <c r="H17" s="589" t="s">
        <v>957</v>
      </c>
      <c r="I17" s="587">
        <f t="shared" si="2"/>
        <v>14.07</v>
      </c>
      <c r="J17" s="589" t="s">
        <v>957</v>
      </c>
      <c r="K17" s="587">
        <f t="shared" si="3"/>
        <v>15.100000000000001</v>
      </c>
      <c r="L17" s="587"/>
      <c r="M17" s="587" t="str">
        <f t="shared" si="4"/>
        <v/>
      </c>
      <c r="N17" s="587"/>
      <c r="O17" s="587" t="str">
        <f t="shared" si="5"/>
        <v/>
      </c>
      <c r="P17" s="587"/>
      <c r="Q17" s="587" t="str">
        <f t="shared" si="6"/>
        <v/>
      </c>
      <c r="R17" s="587"/>
      <c r="S17" s="587" t="str">
        <f t="shared" si="7"/>
        <v/>
      </c>
      <c r="T17" s="587"/>
      <c r="U17" s="587" t="str">
        <f t="shared" si="8"/>
        <v/>
      </c>
      <c r="V17" s="589" t="s">
        <v>957</v>
      </c>
      <c r="W17" s="587">
        <f t="shared" si="9"/>
        <v>14.07</v>
      </c>
      <c r="X17" s="589"/>
      <c r="Y17" s="587" t="str">
        <f t="shared" si="10"/>
        <v/>
      </c>
      <c r="Z17" s="589"/>
      <c r="AA17" s="587" t="str">
        <f t="shared" si="11"/>
        <v/>
      </c>
      <c r="AB17" s="589"/>
      <c r="AC17" s="587" t="str">
        <f t="shared" si="12"/>
        <v/>
      </c>
      <c r="AD17" s="586"/>
      <c r="AE17" s="587" t="str">
        <f t="shared" si="13"/>
        <v/>
      </c>
    </row>
    <row r="18" spans="2:31">
      <c r="B18" s="586" t="s">
        <v>300</v>
      </c>
      <c r="C18" s="587">
        <v>2.198</v>
      </c>
      <c r="D18" s="586" t="s">
        <v>957</v>
      </c>
      <c r="E18" s="587">
        <v>3.95</v>
      </c>
      <c r="F18" s="587">
        <f>C18*E18</f>
        <v>8.6821000000000002</v>
      </c>
      <c r="G18" s="587">
        <f>(C18+E18)*2</f>
        <v>12.295999999999999</v>
      </c>
      <c r="H18" s="589" t="s">
        <v>957</v>
      </c>
      <c r="I18" s="587">
        <f t="shared" si="2"/>
        <v>8.6821000000000002</v>
      </c>
      <c r="J18" s="589" t="s">
        <v>957</v>
      </c>
      <c r="K18" s="587">
        <f t="shared" si="3"/>
        <v>12.295999999999999</v>
      </c>
      <c r="L18" s="587"/>
      <c r="M18" s="587" t="str">
        <f t="shared" si="4"/>
        <v/>
      </c>
      <c r="N18" s="587"/>
      <c r="O18" s="587" t="str">
        <f t="shared" si="5"/>
        <v/>
      </c>
      <c r="P18" s="587"/>
      <c r="Q18" s="587" t="str">
        <f t="shared" si="6"/>
        <v/>
      </c>
      <c r="R18" s="587"/>
      <c r="S18" s="587" t="str">
        <f t="shared" si="7"/>
        <v/>
      </c>
      <c r="T18" s="587"/>
      <c r="U18" s="587" t="str">
        <f t="shared" si="8"/>
        <v/>
      </c>
      <c r="V18" s="589" t="s">
        <v>957</v>
      </c>
      <c r="W18" s="587">
        <f t="shared" si="9"/>
        <v>8.6821000000000002</v>
      </c>
      <c r="X18" s="589"/>
      <c r="Y18" s="587" t="str">
        <f t="shared" si="10"/>
        <v/>
      </c>
      <c r="Z18" s="589"/>
      <c r="AA18" s="587" t="str">
        <f t="shared" si="11"/>
        <v/>
      </c>
      <c r="AB18" s="589"/>
      <c r="AC18" s="587" t="str">
        <f t="shared" si="12"/>
        <v/>
      </c>
      <c r="AD18" s="586"/>
      <c r="AE18" s="587" t="str">
        <f t="shared" si="13"/>
        <v/>
      </c>
    </row>
    <row r="19" spans="2:31">
      <c r="B19" s="586" t="s">
        <v>301</v>
      </c>
      <c r="C19" s="587">
        <v>2.198</v>
      </c>
      <c r="D19" s="586" t="s">
        <v>957</v>
      </c>
      <c r="E19" s="587">
        <v>2.5</v>
      </c>
      <c r="F19" s="587">
        <f>C19*E19</f>
        <v>5.4950000000000001</v>
      </c>
      <c r="G19" s="587">
        <f>(C19+E19)*2</f>
        <v>9.3960000000000008</v>
      </c>
      <c r="H19" s="589" t="s">
        <v>957</v>
      </c>
      <c r="I19" s="587">
        <f t="shared" si="2"/>
        <v>5.4950000000000001</v>
      </c>
      <c r="J19" s="589" t="s">
        <v>957</v>
      </c>
      <c r="K19" s="587">
        <f t="shared" si="3"/>
        <v>9.3960000000000008</v>
      </c>
      <c r="L19" s="587"/>
      <c r="M19" s="587" t="str">
        <f t="shared" si="4"/>
        <v/>
      </c>
      <c r="N19" s="587"/>
      <c r="O19" s="587" t="str">
        <f t="shared" si="5"/>
        <v/>
      </c>
      <c r="P19" s="587"/>
      <c r="Q19" s="587" t="str">
        <f t="shared" si="6"/>
        <v/>
      </c>
      <c r="R19" s="587"/>
      <c r="S19" s="587" t="str">
        <f t="shared" si="7"/>
        <v/>
      </c>
      <c r="T19" s="587"/>
      <c r="U19" s="587" t="str">
        <f t="shared" si="8"/>
        <v/>
      </c>
      <c r="V19" s="589" t="s">
        <v>957</v>
      </c>
      <c r="W19" s="587">
        <f t="shared" si="9"/>
        <v>5.4950000000000001</v>
      </c>
      <c r="X19" s="589"/>
      <c r="Y19" s="587" t="str">
        <f t="shared" si="10"/>
        <v/>
      </c>
      <c r="Z19" s="589"/>
      <c r="AA19" s="587" t="str">
        <f t="shared" si="11"/>
        <v/>
      </c>
      <c r="AB19" s="589"/>
      <c r="AC19" s="587" t="str">
        <f t="shared" si="12"/>
        <v/>
      </c>
      <c r="AD19" s="586"/>
      <c r="AE19" s="587" t="str">
        <f t="shared" si="13"/>
        <v/>
      </c>
    </row>
    <row r="20" spans="2:31">
      <c r="B20" s="586" t="s">
        <v>302</v>
      </c>
      <c r="C20" s="587">
        <v>2.198</v>
      </c>
      <c r="D20" s="586" t="s">
        <v>957</v>
      </c>
      <c r="E20" s="587">
        <v>3.95</v>
      </c>
      <c r="F20" s="587">
        <f t="shared" ref="F20:F26" si="14">C20*E20</f>
        <v>8.6821000000000002</v>
      </c>
      <c r="G20" s="587">
        <f t="shared" ref="G20:G26" si="15">(C20+E20)*2</f>
        <v>12.295999999999999</v>
      </c>
      <c r="H20" s="589" t="s">
        <v>957</v>
      </c>
      <c r="I20" s="587">
        <f t="shared" si="2"/>
        <v>8.6821000000000002</v>
      </c>
      <c r="J20" s="589" t="s">
        <v>957</v>
      </c>
      <c r="K20" s="587">
        <f t="shared" si="3"/>
        <v>12.295999999999999</v>
      </c>
      <c r="L20" s="587"/>
      <c r="M20" s="587" t="str">
        <f t="shared" si="4"/>
        <v/>
      </c>
      <c r="N20" s="587"/>
      <c r="O20" s="587" t="str">
        <f t="shared" si="5"/>
        <v/>
      </c>
      <c r="P20" s="587"/>
      <c r="Q20" s="587" t="str">
        <f t="shared" si="6"/>
        <v/>
      </c>
      <c r="R20" s="587"/>
      <c r="S20" s="587" t="str">
        <f t="shared" si="7"/>
        <v/>
      </c>
      <c r="T20" s="587"/>
      <c r="U20" s="587" t="str">
        <f t="shared" si="8"/>
        <v/>
      </c>
      <c r="V20" s="589" t="s">
        <v>957</v>
      </c>
      <c r="W20" s="587">
        <f t="shared" si="9"/>
        <v>8.6821000000000002</v>
      </c>
      <c r="X20" s="589"/>
      <c r="Y20" s="587" t="str">
        <f t="shared" si="10"/>
        <v/>
      </c>
      <c r="Z20" s="589"/>
      <c r="AA20" s="587" t="str">
        <f t="shared" si="11"/>
        <v/>
      </c>
      <c r="AB20" s="589"/>
      <c r="AC20" s="587" t="str">
        <f t="shared" si="12"/>
        <v/>
      </c>
      <c r="AD20" s="586"/>
      <c r="AE20" s="587" t="str">
        <f t="shared" si="13"/>
        <v/>
      </c>
    </row>
    <row r="21" spans="2:31">
      <c r="B21" s="586" t="s">
        <v>303</v>
      </c>
      <c r="C21" s="587"/>
      <c r="D21" s="586"/>
      <c r="E21" s="587"/>
      <c r="F21" s="587">
        <v>17.75</v>
      </c>
      <c r="G21" s="587">
        <v>27</v>
      </c>
      <c r="H21" s="589" t="s">
        <v>957</v>
      </c>
      <c r="I21" s="587">
        <f t="shared" si="2"/>
        <v>17.75</v>
      </c>
      <c r="J21" s="589" t="s">
        <v>957</v>
      </c>
      <c r="K21" s="587">
        <f t="shared" si="3"/>
        <v>27</v>
      </c>
      <c r="L21" s="587"/>
      <c r="M21" s="587" t="str">
        <f t="shared" si="4"/>
        <v/>
      </c>
      <c r="N21" s="587"/>
      <c r="O21" s="587" t="str">
        <f t="shared" si="5"/>
        <v/>
      </c>
      <c r="P21" s="587"/>
      <c r="Q21" s="587" t="str">
        <f t="shared" si="6"/>
        <v/>
      </c>
      <c r="R21" s="587"/>
      <c r="S21" s="587" t="str">
        <f t="shared" si="7"/>
        <v/>
      </c>
      <c r="T21" s="587"/>
      <c r="U21" s="587" t="str">
        <f t="shared" si="8"/>
        <v/>
      </c>
      <c r="V21" s="589"/>
      <c r="W21" s="587" t="str">
        <f t="shared" si="9"/>
        <v/>
      </c>
      <c r="X21" s="589" t="s">
        <v>957</v>
      </c>
      <c r="Y21" s="587">
        <f t="shared" si="10"/>
        <v>17.75</v>
      </c>
      <c r="Z21" s="589"/>
      <c r="AA21" s="587" t="str">
        <f t="shared" si="11"/>
        <v/>
      </c>
      <c r="AB21" s="589"/>
      <c r="AC21" s="587" t="str">
        <f t="shared" si="12"/>
        <v/>
      </c>
      <c r="AD21" s="586"/>
      <c r="AE21" s="587" t="str">
        <f t="shared" si="13"/>
        <v/>
      </c>
    </row>
    <row r="22" spans="2:31">
      <c r="B22" s="586" t="s">
        <v>304</v>
      </c>
      <c r="C22" s="587">
        <v>10.148</v>
      </c>
      <c r="D22" s="586" t="s">
        <v>957</v>
      </c>
      <c r="E22" s="587">
        <v>6.25</v>
      </c>
      <c r="F22" s="587">
        <f t="shared" si="14"/>
        <v>63.424999999999997</v>
      </c>
      <c r="G22" s="587">
        <f t="shared" si="15"/>
        <v>32.795999999999999</v>
      </c>
      <c r="H22" s="589" t="s">
        <v>957</v>
      </c>
      <c r="I22" s="587">
        <f t="shared" si="2"/>
        <v>63.424999999999997</v>
      </c>
      <c r="J22" s="589" t="s">
        <v>957</v>
      </c>
      <c r="K22" s="587">
        <f t="shared" si="3"/>
        <v>32.795999999999999</v>
      </c>
      <c r="L22" s="587"/>
      <c r="M22" s="587" t="str">
        <f>IF(L22="x",J22,"")</f>
        <v/>
      </c>
      <c r="N22" s="587"/>
      <c r="O22" s="587" t="str">
        <f t="shared" si="5"/>
        <v/>
      </c>
      <c r="P22" s="587"/>
      <c r="Q22" s="587" t="str">
        <f t="shared" si="6"/>
        <v/>
      </c>
      <c r="R22" s="587"/>
      <c r="S22" s="587" t="str">
        <f t="shared" si="7"/>
        <v/>
      </c>
      <c r="T22" s="587"/>
      <c r="U22" s="587" t="str">
        <f t="shared" si="8"/>
        <v/>
      </c>
      <c r="V22" s="589"/>
      <c r="W22" s="587" t="str">
        <f t="shared" si="9"/>
        <v/>
      </c>
      <c r="X22" s="589" t="s">
        <v>957</v>
      </c>
      <c r="Y22" s="587">
        <f t="shared" si="10"/>
        <v>63.424999999999997</v>
      </c>
      <c r="Z22" s="589"/>
      <c r="AA22" s="587" t="str">
        <f t="shared" si="11"/>
        <v/>
      </c>
      <c r="AB22" s="589"/>
      <c r="AC22" s="587" t="str">
        <f t="shared" si="12"/>
        <v/>
      </c>
      <c r="AD22" s="586"/>
      <c r="AE22" s="587" t="str">
        <f t="shared" si="13"/>
        <v/>
      </c>
    </row>
    <row r="23" spans="2:31">
      <c r="B23" s="586" t="s">
        <v>305</v>
      </c>
      <c r="C23" s="587">
        <v>10.148</v>
      </c>
      <c r="D23" s="586" t="s">
        <v>957</v>
      </c>
      <c r="E23" s="587">
        <v>2.2000000000000002</v>
      </c>
      <c r="F23" s="587">
        <f t="shared" si="14"/>
        <v>22.325600000000001</v>
      </c>
      <c r="G23" s="587">
        <f t="shared" si="15"/>
        <v>24.695999999999998</v>
      </c>
      <c r="H23" s="589" t="s">
        <v>957</v>
      </c>
      <c r="I23" s="587">
        <f t="shared" si="2"/>
        <v>22.325600000000001</v>
      </c>
      <c r="J23" s="589" t="s">
        <v>957</v>
      </c>
      <c r="K23" s="587">
        <f t="shared" si="3"/>
        <v>24.695999999999998</v>
      </c>
      <c r="L23" s="587"/>
      <c r="M23" s="587"/>
      <c r="N23" s="587"/>
      <c r="O23" s="587" t="str">
        <f t="shared" si="5"/>
        <v/>
      </c>
      <c r="P23" s="587"/>
      <c r="Q23" s="587" t="str">
        <f t="shared" si="6"/>
        <v/>
      </c>
      <c r="R23" s="587"/>
      <c r="S23" s="587" t="str">
        <f t="shared" si="7"/>
        <v/>
      </c>
      <c r="T23" s="587"/>
      <c r="U23" s="587" t="str">
        <f t="shared" si="8"/>
        <v/>
      </c>
      <c r="V23" s="589" t="s">
        <v>957</v>
      </c>
      <c r="W23" s="587">
        <f t="shared" si="9"/>
        <v>22.325600000000001</v>
      </c>
      <c r="X23" s="589"/>
      <c r="Y23" s="587" t="str">
        <f t="shared" si="10"/>
        <v/>
      </c>
      <c r="Z23" s="589"/>
      <c r="AA23" s="587" t="str">
        <f t="shared" si="11"/>
        <v/>
      </c>
      <c r="AB23" s="589"/>
      <c r="AC23" s="587" t="str">
        <f t="shared" si="12"/>
        <v/>
      </c>
      <c r="AD23" s="586"/>
      <c r="AE23" s="587" t="str">
        <f t="shared" si="13"/>
        <v/>
      </c>
    </row>
    <row r="24" spans="2:31">
      <c r="B24" s="586" t="s">
        <v>306</v>
      </c>
      <c r="C24" s="587">
        <v>14.05</v>
      </c>
      <c r="D24" s="586" t="s">
        <v>957</v>
      </c>
      <c r="E24" s="587">
        <v>4.7</v>
      </c>
      <c r="F24" s="587">
        <f t="shared" si="14"/>
        <v>66.035000000000011</v>
      </c>
      <c r="G24" s="587">
        <f t="shared" si="15"/>
        <v>37.5</v>
      </c>
      <c r="H24" s="589" t="s">
        <v>957</v>
      </c>
      <c r="I24" s="587">
        <f t="shared" si="2"/>
        <v>66.035000000000011</v>
      </c>
      <c r="J24" s="589" t="s">
        <v>957</v>
      </c>
      <c r="K24" s="587">
        <f t="shared" si="3"/>
        <v>37.5</v>
      </c>
      <c r="L24" s="587"/>
      <c r="M24" s="587"/>
      <c r="N24" s="587"/>
      <c r="O24" s="587" t="str">
        <f t="shared" si="5"/>
        <v/>
      </c>
      <c r="P24" s="587"/>
      <c r="Q24" s="587" t="str">
        <f t="shared" si="6"/>
        <v/>
      </c>
      <c r="R24" s="587"/>
      <c r="S24" s="587" t="str">
        <f t="shared" si="7"/>
        <v/>
      </c>
      <c r="T24" s="587"/>
      <c r="U24" s="587" t="str">
        <f t="shared" si="8"/>
        <v/>
      </c>
      <c r="V24" s="589" t="s">
        <v>957</v>
      </c>
      <c r="W24" s="587">
        <f t="shared" si="9"/>
        <v>66.035000000000011</v>
      </c>
      <c r="X24" s="589"/>
      <c r="Y24" s="587" t="str">
        <f t="shared" si="10"/>
        <v/>
      </c>
      <c r="Z24" s="589"/>
      <c r="AA24" s="587" t="str">
        <f t="shared" si="11"/>
        <v/>
      </c>
      <c r="AB24" s="589"/>
      <c r="AC24" s="587" t="str">
        <f t="shared" si="12"/>
        <v/>
      </c>
      <c r="AD24" s="586"/>
      <c r="AE24" s="587" t="str">
        <f t="shared" si="13"/>
        <v/>
      </c>
    </row>
    <row r="25" spans="2:31">
      <c r="B25" s="586" t="s">
        <v>307</v>
      </c>
      <c r="C25" s="587">
        <v>2.25</v>
      </c>
      <c r="D25" s="586" t="s">
        <v>957</v>
      </c>
      <c r="E25" s="587">
        <v>3.65</v>
      </c>
      <c r="F25" s="587">
        <f t="shared" si="14"/>
        <v>8.2125000000000004</v>
      </c>
      <c r="G25" s="587">
        <f t="shared" si="15"/>
        <v>11.8</v>
      </c>
      <c r="H25" s="589" t="s">
        <v>957</v>
      </c>
      <c r="I25" s="587">
        <f t="shared" si="2"/>
        <v>8.2125000000000004</v>
      </c>
      <c r="J25" s="589" t="s">
        <v>957</v>
      </c>
      <c r="K25" s="587">
        <f t="shared" si="3"/>
        <v>11.8</v>
      </c>
      <c r="L25" s="587"/>
      <c r="M25" s="587"/>
      <c r="N25" s="587"/>
      <c r="O25" s="587" t="str">
        <f t="shared" si="5"/>
        <v/>
      </c>
      <c r="P25" s="587"/>
      <c r="Q25" s="587" t="str">
        <f t="shared" si="6"/>
        <v/>
      </c>
      <c r="R25" s="587"/>
      <c r="S25" s="587" t="str">
        <f t="shared" si="7"/>
        <v/>
      </c>
      <c r="T25" s="587"/>
      <c r="U25" s="587" t="str">
        <f t="shared" si="8"/>
        <v/>
      </c>
      <c r="V25" s="589" t="s">
        <v>957</v>
      </c>
      <c r="W25" s="587">
        <f t="shared" si="9"/>
        <v>8.2125000000000004</v>
      </c>
      <c r="X25" s="589"/>
      <c r="Y25" s="587" t="str">
        <f t="shared" si="10"/>
        <v/>
      </c>
      <c r="Z25" s="589"/>
      <c r="AA25" s="587" t="str">
        <f t="shared" si="11"/>
        <v/>
      </c>
      <c r="AB25" s="589"/>
      <c r="AC25" s="587" t="str">
        <f t="shared" si="12"/>
        <v/>
      </c>
      <c r="AD25" s="586"/>
      <c r="AE25" s="587" t="str">
        <f t="shared" si="13"/>
        <v/>
      </c>
    </row>
    <row r="26" spans="2:31">
      <c r="B26" s="586" t="s">
        <v>308</v>
      </c>
      <c r="C26" s="587">
        <v>1.45</v>
      </c>
      <c r="D26" s="586" t="s">
        <v>957</v>
      </c>
      <c r="E26" s="587">
        <v>2.2999999999999998</v>
      </c>
      <c r="F26" s="587">
        <f t="shared" si="14"/>
        <v>3.3349999999999995</v>
      </c>
      <c r="G26" s="587">
        <f t="shared" si="15"/>
        <v>7.5</v>
      </c>
      <c r="H26" s="589" t="s">
        <v>957</v>
      </c>
      <c r="I26" s="587">
        <f t="shared" si="2"/>
        <v>3.3349999999999995</v>
      </c>
      <c r="J26" s="589" t="s">
        <v>957</v>
      </c>
      <c r="K26" s="587">
        <f t="shared" si="3"/>
        <v>7.5</v>
      </c>
      <c r="L26" s="587"/>
      <c r="M26" s="587"/>
      <c r="N26" s="587"/>
      <c r="O26" s="587" t="str">
        <f t="shared" si="5"/>
        <v/>
      </c>
      <c r="P26" s="587"/>
      <c r="Q26" s="587" t="str">
        <f t="shared" si="6"/>
        <v/>
      </c>
      <c r="R26" s="587"/>
      <c r="S26" s="587" t="str">
        <f t="shared" si="7"/>
        <v/>
      </c>
      <c r="T26" s="587"/>
      <c r="U26" s="587" t="str">
        <f t="shared" si="8"/>
        <v/>
      </c>
      <c r="V26" s="589" t="s">
        <v>957</v>
      </c>
      <c r="W26" s="587">
        <f t="shared" si="9"/>
        <v>3.3349999999999995</v>
      </c>
      <c r="X26" s="589"/>
      <c r="Y26" s="587" t="str">
        <f t="shared" si="10"/>
        <v/>
      </c>
      <c r="Z26" s="589"/>
      <c r="AA26" s="587" t="str">
        <f t="shared" si="11"/>
        <v/>
      </c>
      <c r="AB26" s="589"/>
      <c r="AC26" s="587" t="str">
        <f t="shared" si="12"/>
        <v/>
      </c>
      <c r="AD26" s="586"/>
      <c r="AE26" s="587" t="str">
        <f t="shared" si="13"/>
        <v/>
      </c>
    </row>
    <row r="27" spans="2:31">
      <c r="B27" s="586" t="s">
        <v>309</v>
      </c>
      <c r="C27" s="587"/>
      <c r="D27" s="586"/>
      <c r="E27" s="587"/>
      <c r="F27" s="587">
        <v>196.92</v>
      </c>
      <c r="G27" s="587">
        <v>90.65</v>
      </c>
      <c r="H27" s="589" t="s">
        <v>957</v>
      </c>
      <c r="I27" s="587">
        <f t="shared" si="2"/>
        <v>196.92</v>
      </c>
      <c r="J27" s="589" t="s">
        <v>957</v>
      </c>
      <c r="K27" s="587">
        <f t="shared" si="3"/>
        <v>90.65</v>
      </c>
      <c r="L27" s="587"/>
      <c r="M27" s="587"/>
      <c r="N27" s="587"/>
      <c r="O27" s="587" t="str">
        <f t="shared" si="5"/>
        <v/>
      </c>
      <c r="P27" s="587"/>
      <c r="Q27" s="587" t="str">
        <f t="shared" si="6"/>
        <v/>
      </c>
      <c r="R27" s="587"/>
      <c r="S27" s="587" t="str">
        <f t="shared" si="7"/>
        <v/>
      </c>
      <c r="T27" s="587"/>
      <c r="U27" s="587" t="str">
        <f t="shared" si="8"/>
        <v/>
      </c>
      <c r="V27" s="589"/>
      <c r="W27" s="587" t="str">
        <f t="shared" si="9"/>
        <v/>
      </c>
      <c r="X27" s="589"/>
      <c r="Y27" s="587" t="str">
        <f t="shared" si="10"/>
        <v/>
      </c>
      <c r="Z27" s="589" t="s">
        <v>952</v>
      </c>
      <c r="AA27" s="587">
        <f t="shared" si="11"/>
        <v>196.92</v>
      </c>
      <c r="AB27" s="589"/>
      <c r="AC27" s="587" t="str">
        <f t="shared" si="12"/>
        <v/>
      </c>
      <c r="AD27" s="586"/>
      <c r="AE27" s="587" t="str">
        <f t="shared" si="13"/>
        <v/>
      </c>
    </row>
    <row r="28" spans="2:31">
      <c r="B28" s="586" t="s">
        <v>310</v>
      </c>
      <c r="C28" s="587">
        <v>7.5750000000000002</v>
      </c>
      <c r="D28" s="586" t="s">
        <v>957</v>
      </c>
      <c r="E28" s="587">
        <v>5.5</v>
      </c>
      <c r="F28" s="587">
        <f>C28*E28</f>
        <v>41.662500000000001</v>
      </c>
      <c r="G28" s="587">
        <f>(C28+E28)*2</f>
        <v>26.15</v>
      </c>
      <c r="H28" s="589" t="s">
        <v>957</v>
      </c>
      <c r="I28" s="587">
        <f t="shared" si="2"/>
        <v>41.662500000000001</v>
      </c>
      <c r="J28" s="589" t="s">
        <v>957</v>
      </c>
      <c r="K28" s="587">
        <f t="shared" si="3"/>
        <v>26.15</v>
      </c>
      <c r="L28" s="587"/>
      <c r="M28" s="587"/>
      <c r="N28" s="587"/>
      <c r="O28" s="587" t="str">
        <f t="shared" si="5"/>
        <v/>
      </c>
      <c r="P28" s="587"/>
      <c r="Q28" s="587" t="str">
        <f t="shared" si="6"/>
        <v/>
      </c>
      <c r="R28" s="587"/>
      <c r="S28" s="587" t="str">
        <f t="shared" si="7"/>
        <v/>
      </c>
      <c r="T28" s="587"/>
      <c r="U28" s="587" t="str">
        <f t="shared" si="8"/>
        <v/>
      </c>
      <c r="V28" s="589" t="s">
        <v>957</v>
      </c>
      <c r="W28" s="587">
        <f t="shared" si="9"/>
        <v>41.662500000000001</v>
      </c>
      <c r="X28" s="589"/>
      <c r="Y28" s="587" t="str">
        <f t="shared" si="10"/>
        <v/>
      </c>
      <c r="Z28" s="589"/>
      <c r="AA28" s="587" t="str">
        <f t="shared" si="11"/>
        <v/>
      </c>
      <c r="AB28" s="589"/>
      <c r="AC28" s="587" t="str">
        <f t="shared" si="12"/>
        <v/>
      </c>
      <c r="AD28" s="586"/>
      <c r="AE28" s="587" t="str">
        <f t="shared" si="13"/>
        <v/>
      </c>
    </row>
    <row r="29" spans="2:31">
      <c r="B29" s="586" t="s">
        <v>299</v>
      </c>
      <c r="C29" s="587">
        <v>4.2560000000000002</v>
      </c>
      <c r="D29" s="586" t="s">
        <v>957</v>
      </c>
      <c r="E29" s="587">
        <v>15.452</v>
      </c>
      <c r="F29" s="587">
        <f>C29*E29</f>
        <v>65.763711999999998</v>
      </c>
      <c r="G29" s="587">
        <f>(C29+E29)*2</f>
        <v>39.415999999999997</v>
      </c>
      <c r="H29" s="589" t="s">
        <v>957</v>
      </c>
      <c r="I29" s="587">
        <f t="shared" si="2"/>
        <v>65.763711999999998</v>
      </c>
      <c r="J29" s="589" t="s">
        <v>957</v>
      </c>
      <c r="K29" s="587">
        <f t="shared" si="3"/>
        <v>39.415999999999997</v>
      </c>
      <c r="L29" s="587"/>
      <c r="M29" s="587"/>
      <c r="N29" s="587"/>
      <c r="O29" s="587" t="str">
        <f t="shared" si="5"/>
        <v/>
      </c>
      <c r="P29" s="587"/>
      <c r="Q29" s="587" t="str">
        <f t="shared" si="6"/>
        <v/>
      </c>
      <c r="R29" s="587"/>
      <c r="S29" s="587" t="str">
        <f t="shared" si="7"/>
        <v/>
      </c>
      <c r="T29" s="587"/>
      <c r="U29" s="587" t="str">
        <f t="shared" si="8"/>
        <v/>
      </c>
      <c r="V29" s="589" t="s">
        <v>957</v>
      </c>
      <c r="W29" s="587">
        <f t="shared" si="9"/>
        <v>65.763711999999998</v>
      </c>
      <c r="X29" s="589"/>
      <c r="Y29" s="587" t="str">
        <f t="shared" si="10"/>
        <v/>
      </c>
      <c r="Z29" s="589"/>
      <c r="AA29" s="587" t="str">
        <f t="shared" si="11"/>
        <v/>
      </c>
      <c r="AB29" s="589"/>
      <c r="AC29" s="587" t="str">
        <f t="shared" si="12"/>
        <v/>
      </c>
      <c r="AD29" s="586"/>
      <c r="AE29" s="587" t="str">
        <f t="shared" si="13"/>
        <v/>
      </c>
    </row>
    <row r="30" spans="2:31">
      <c r="B30" s="586" t="s">
        <v>311</v>
      </c>
      <c r="C30" s="587">
        <v>3.169</v>
      </c>
      <c r="D30" s="586" t="s">
        <v>957</v>
      </c>
      <c r="E30" s="587">
        <v>8.85</v>
      </c>
      <c r="F30" s="587">
        <f>C30*E30</f>
        <v>28.045649999999998</v>
      </c>
      <c r="G30" s="587">
        <f>(C30+E30)*2</f>
        <v>24.038</v>
      </c>
      <c r="H30" s="589" t="s">
        <v>957</v>
      </c>
      <c r="I30" s="587">
        <f t="shared" si="2"/>
        <v>28.045649999999998</v>
      </c>
      <c r="J30" s="589" t="s">
        <v>957</v>
      </c>
      <c r="K30" s="587">
        <f t="shared" si="3"/>
        <v>24.038</v>
      </c>
      <c r="L30" s="587"/>
      <c r="M30" s="587"/>
      <c r="N30" s="587"/>
      <c r="O30" s="587" t="str">
        <f t="shared" si="5"/>
        <v/>
      </c>
      <c r="P30" s="587"/>
      <c r="Q30" s="587" t="str">
        <f t="shared" si="6"/>
        <v/>
      </c>
      <c r="R30" s="587"/>
      <c r="S30" s="587" t="str">
        <f t="shared" si="7"/>
        <v/>
      </c>
      <c r="T30" s="587"/>
      <c r="U30" s="587" t="str">
        <f t="shared" si="8"/>
        <v/>
      </c>
      <c r="V30" s="589" t="s">
        <v>957</v>
      </c>
      <c r="W30" s="587">
        <f t="shared" si="9"/>
        <v>28.045649999999998</v>
      </c>
      <c r="X30" s="589"/>
      <c r="Y30" s="587" t="str">
        <f t="shared" si="10"/>
        <v/>
      </c>
      <c r="Z30" s="589"/>
      <c r="AA30" s="587" t="str">
        <f t="shared" si="11"/>
        <v/>
      </c>
      <c r="AB30" s="589"/>
      <c r="AC30" s="587" t="str">
        <f t="shared" si="12"/>
        <v/>
      </c>
      <c r="AD30" s="586"/>
      <c r="AE30" s="587" t="str">
        <f t="shared" si="13"/>
        <v/>
      </c>
    </row>
    <row r="31" spans="2:31">
      <c r="B31" s="586" t="s">
        <v>312</v>
      </c>
      <c r="C31" s="587"/>
      <c r="D31" s="586"/>
      <c r="E31" s="587"/>
      <c r="F31" s="587">
        <v>28.56</v>
      </c>
      <c r="G31" s="587">
        <v>26.25</v>
      </c>
      <c r="H31" s="589" t="s">
        <v>957</v>
      </c>
      <c r="I31" s="587">
        <f t="shared" si="2"/>
        <v>28.56</v>
      </c>
      <c r="J31" s="589" t="s">
        <v>957</v>
      </c>
      <c r="K31" s="587">
        <f t="shared" si="3"/>
        <v>26.25</v>
      </c>
      <c r="L31" s="587"/>
      <c r="M31" s="587"/>
      <c r="N31" s="587"/>
      <c r="O31" s="587" t="str">
        <f t="shared" si="5"/>
        <v/>
      </c>
      <c r="P31" s="587"/>
      <c r="Q31" s="587" t="str">
        <f t="shared" si="6"/>
        <v/>
      </c>
      <c r="R31" s="587"/>
      <c r="S31" s="587" t="str">
        <f t="shared" si="7"/>
        <v/>
      </c>
      <c r="T31" s="587"/>
      <c r="U31" s="587" t="str">
        <f t="shared" si="8"/>
        <v/>
      </c>
      <c r="V31" s="589" t="s">
        <v>957</v>
      </c>
      <c r="W31" s="587">
        <f t="shared" si="9"/>
        <v>28.56</v>
      </c>
      <c r="X31" s="589"/>
      <c r="Y31" s="587" t="str">
        <f t="shared" si="10"/>
        <v/>
      </c>
      <c r="Z31" s="589"/>
      <c r="AA31" s="587" t="str">
        <f t="shared" si="11"/>
        <v/>
      </c>
      <c r="AB31" s="589"/>
      <c r="AC31" s="587" t="str">
        <f t="shared" si="12"/>
        <v/>
      </c>
      <c r="AD31" s="586"/>
      <c r="AE31" s="587" t="str">
        <f t="shared" si="13"/>
        <v/>
      </c>
    </row>
    <row r="32" spans="2:31">
      <c r="B32" s="586" t="s">
        <v>313</v>
      </c>
      <c r="C32" s="587">
        <v>2.65</v>
      </c>
      <c r="D32" s="586" t="s">
        <v>957</v>
      </c>
      <c r="E32" s="587">
        <v>1.4</v>
      </c>
      <c r="F32" s="587">
        <f>C32*E32</f>
        <v>3.7099999999999995</v>
      </c>
      <c r="G32" s="587">
        <f>(C32+E32)*2</f>
        <v>8.1</v>
      </c>
      <c r="H32" s="589" t="s">
        <v>957</v>
      </c>
      <c r="I32" s="587">
        <f t="shared" si="2"/>
        <v>3.7099999999999995</v>
      </c>
      <c r="J32" s="589" t="s">
        <v>957</v>
      </c>
      <c r="K32" s="587">
        <f t="shared" si="3"/>
        <v>8.1</v>
      </c>
      <c r="L32" s="587"/>
      <c r="M32" s="587"/>
      <c r="N32" s="587"/>
      <c r="O32" s="587" t="str">
        <f t="shared" si="5"/>
        <v/>
      </c>
      <c r="P32" s="587"/>
      <c r="Q32" s="587" t="str">
        <f t="shared" si="6"/>
        <v/>
      </c>
      <c r="R32" s="587"/>
      <c r="S32" s="587" t="str">
        <f t="shared" si="7"/>
        <v/>
      </c>
      <c r="T32" s="587"/>
      <c r="U32" s="587" t="str">
        <f t="shared" si="8"/>
        <v/>
      </c>
      <c r="V32" s="589" t="s">
        <v>957</v>
      </c>
      <c r="W32" s="587">
        <f t="shared" si="9"/>
        <v>3.7099999999999995</v>
      </c>
      <c r="X32" s="589"/>
      <c r="Y32" s="587" t="str">
        <f t="shared" si="10"/>
        <v/>
      </c>
      <c r="Z32" s="589"/>
      <c r="AA32" s="587" t="str">
        <f t="shared" si="11"/>
        <v/>
      </c>
      <c r="AB32" s="589"/>
      <c r="AC32" s="587" t="str">
        <f t="shared" si="12"/>
        <v/>
      </c>
      <c r="AD32" s="586"/>
      <c r="AE32" s="587" t="str">
        <f t="shared" si="13"/>
        <v/>
      </c>
    </row>
    <row r="33" spans="2:31">
      <c r="B33" s="586" t="s">
        <v>314</v>
      </c>
      <c r="C33" s="587">
        <v>2.65</v>
      </c>
      <c r="D33" s="586" t="s">
        <v>957</v>
      </c>
      <c r="E33" s="587">
        <v>1.4</v>
      </c>
      <c r="F33" s="587">
        <f>C33*E33</f>
        <v>3.7099999999999995</v>
      </c>
      <c r="G33" s="587">
        <f>(C33+E33)*2</f>
        <v>8.1</v>
      </c>
      <c r="H33" s="589" t="s">
        <v>957</v>
      </c>
      <c r="I33" s="587">
        <f t="shared" si="2"/>
        <v>3.7099999999999995</v>
      </c>
      <c r="J33" s="589" t="s">
        <v>957</v>
      </c>
      <c r="K33" s="587">
        <f t="shared" si="3"/>
        <v>8.1</v>
      </c>
      <c r="L33" s="587"/>
      <c r="M33" s="587"/>
      <c r="N33" s="587"/>
      <c r="O33" s="587" t="str">
        <f t="shared" si="5"/>
        <v/>
      </c>
      <c r="P33" s="587"/>
      <c r="Q33" s="587" t="str">
        <f t="shared" si="6"/>
        <v/>
      </c>
      <c r="R33" s="587"/>
      <c r="S33" s="587" t="str">
        <f t="shared" si="7"/>
        <v/>
      </c>
      <c r="T33" s="587"/>
      <c r="U33" s="587" t="str">
        <f t="shared" si="8"/>
        <v/>
      </c>
      <c r="V33" s="589" t="s">
        <v>957</v>
      </c>
      <c r="W33" s="587">
        <f t="shared" si="9"/>
        <v>3.7099999999999995</v>
      </c>
      <c r="X33" s="589"/>
      <c r="Y33" s="587" t="str">
        <f t="shared" si="10"/>
        <v/>
      </c>
      <c r="Z33" s="589"/>
      <c r="AA33" s="587" t="str">
        <f t="shared" si="11"/>
        <v/>
      </c>
      <c r="AB33" s="589"/>
      <c r="AC33" s="587" t="str">
        <f t="shared" si="12"/>
        <v/>
      </c>
      <c r="AD33" s="586"/>
      <c r="AE33" s="587" t="str">
        <f t="shared" si="13"/>
        <v/>
      </c>
    </row>
    <row r="34" spans="2:31">
      <c r="B34" s="586" t="s">
        <v>315</v>
      </c>
      <c r="C34" s="587"/>
      <c r="D34" s="586"/>
      <c r="E34" s="587"/>
      <c r="F34" s="587">
        <v>22.71</v>
      </c>
      <c r="G34" s="587">
        <v>23.01</v>
      </c>
      <c r="H34" s="589" t="s">
        <v>957</v>
      </c>
      <c r="I34" s="587">
        <f t="shared" si="2"/>
        <v>22.71</v>
      </c>
      <c r="J34" s="589" t="s">
        <v>957</v>
      </c>
      <c r="K34" s="587">
        <f t="shared" si="3"/>
        <v>23.01</v>
      </c>
      <c r="L34" s="587"/>
      <c r="M34" s="587"/>
      <c r="N34" s="587"/>
      <c r="O34" s="587" t="str">
        <f t="shared" si="5"/>
        <v/>
      </c>
      <c r="P34" s="587"/>
      <c r="Q34" s="587" t="str">
        <f t="shared" si="6"/>
        <v/>
      </c>
      <c r="R34" s="587"/>
      <c r="S34" s="587" t="str">
        <f t="shared" si="7"/>
        <v/>
      </c>
      <c r="T34" s="587"/>
      <c r="U34" s="587" t="str">
        <f t="shared" si="8"/>
        <v/>
      </c>
      <c r="V34" s="589" t="s">
        <v>957</v>
      </c>
      <c r="W34" s="587">
        <f t="shared" si="9"/>
        <v>22.71</v>
      </c>
      <c r="X34" s="589"/>
      <c r="Y34" s="587" t="str">
        <f t="shared" si="10"/>
        <v/>
      </c>
      <c r="Z34" s="589"/>
      <c r="AA34" s="587" t="str">
        <f t="shared" si="11"/>
        <v/>
      </c>
      <c r="AB34" s="589"/>
      <c r="AC34" s="587" t="str">
        <f t="shared" si="12"/>
        <v/>
      </c>
      <c r="AD34" s="586"/>
      <c r="AE34" s="587" t="str">
        <f t="shared" si="13"/>
        <v/>
      </c>
    </row>
    <row r="35" spans="2:31">
      <c r="B35" s="586" t="s">
        <v>315</v>
      </c>
      <c r="C35" s="587"/>
      <c r="D35" s="586"/>
      <c r="E35" s="587"/>
      <c r="F35" s="587">
        <v>12.15</v>
      </c>
      <c r="G35" s="587">
        <v>15.04</v>
      </c>
      <c r="H35" s="589" t="s">
        <v>957</v>
      </c>
      <c r="I35" s="587">
        <f t="shared" si="2"/>
        <v>12.15</v>
      </c>
      <c r="J35" s="589" t="s">
        <v>957</v>
      </c>
      <c r="K35" s="587">
        <f t="shared" si="3"/>
        <v>15.04</v>
      </c>
      <c r="L35" s="587"/>
      <c r="M35" s="587"/>
      <c r="N35" s="587"/>
      <c r="O35" s="587" t="str">
        <f t="shared" si="5"/>
        <v/>
      </c>
      <c r="P35" s="587"/>
      <c r="Q35" s="587" t="str">
        <f t="shared" si="6"/>
        <v/>
      </c>
      <c r="R35" s="587"/>
      <c r="S35" s="587" t="str">
        <f t="shared" si="7"/>
        <v/>
      </c>
      <c r="T35" s="587"/>
      <c r="U35" s="587" t="str">
        <f t="shared" si="8"/>
        <v/>
      </c>
      <c r="V35" s="589" t="s">
        <v>957</v>
      </c>
      <c r="W35" s="587">
        <f t="shared" si="9"/>
        <v>12.15</v>
      </c>
      <c r="X35" s="589"/>
      <c r="Y35" s="587" t="str">
        <f t="shared" si="10"/>
        <v/>
      </c>
      <c r="Z35" s="589"/>
      <c r="AA35" s="587" t="str">
        <f t="shared" si="11"/>
        <v/>
      </c>
      <c r="AB35" s="589"/>
      <c r="AC35" s="587" t="str">
        <f t="shared" si="12"/>
        <v/>
      </c>
      <c r="AD35" s="586"/>
      <c r="AE35" s="587" t="str">
        <f t="shared" si="13"/>
        <v/>
      </c>
    </row>
    <row r="36" spans="2:31">
      <c r="B36" s="586" t="s">
        <v>316</v>
      </c>
      <c r="C36" s="587">
        <v>2.35</v>
      </c>
      <c r="D36" s="586" t="s">
        <v>957</v>
      </c>
      <c r="E36" s="587">
        <v>2.85</v>
      </c>
      <c r="F36" s="587">
        <f>C36*E36</f>
        <v>6.6975000000000007</v>
      </c>
      <c r="G36" s="587">
        <f>(C36+E36)*2</f>
        <v>10.4</v>
      </c>
      <c r="H36" s="589" t="s">
        <v>957</v>
      </c>
      <c r="I36" s="587">
        <f t="shared" si="2"/>
        <v>6.6975000000000007</v>
      </c>
      <c r="J36" s="589" t="s">
        <v>957</v>
      </c>
      <c r="K36" s="587">
        <f t="shared" si="3"/>
        <v>10.4</v>
      </c>
      <c r="L36" s="587"/>
      <c r="M36" s="587"/>
      <c r="N36" s="587"/>
      <c r="O36" s="587" t="str">
        <f t="shared" si="5"/>
        <v/>
      </c>
      <c r="P36" s="587"/>
      <c r="Q36" s="587" t="str">
        <f t="shared" si="6"/>
        <v/>
      </c>
      <c r="R36" s="587"/>
      <c r="S36" s="587" t="str">
        <f t="shared" si="7"/>
        <v/>
      </c>
      <c r="T36" s="587"/>
      <c r="U36" s="587" t="str">
        <f t="shared" si="8"/>
        <v/>
      </c>
      <c r="V36" s="589" t="s">
        <v>957</v>
      </c>
      <c r="W36" s="587">
        <f t="shared" si="9"/>
        <v>6.6975000000000007</v>
      </c>
      <c r="X36" s="589"/>
      <c r="Y36" s="587" t="str">
        <f t="shared" si="10"/>
        <v/>
      </c>
      <c r="Z36" s="589"/>
      <c r="AA36" s="587" t="str">
        <f t="shared" si="11"/>
        <v/>
      </c>
      <c r="AB36" s="589"/>
      <c r="AC36" s="587" t="str">
        <f t="shared" si="12"/>
        <v/>
      </c>
      <c r="AD36" s="586"/>
      <c r="AE36" s="587" t="str">
        <f t="shared" si="13"/>
        <v/>
      </c>
    </row>
    <row r="37" spans="2:31">
      <c r="B37" s="586" t="s">
        <v>317</v>
      </c>
      <c r="C37" s="587">
        <v>2.35</v>
      </c>
      <c r="D37" s="586" t="s">
        <v>957</v>
      </c>
      <c r="E37" s="587">
        <v>4.5199999999999996</v>
      </c>
      <c r="F37" s="587">
        <f>C37*E37</f>
        <v>10.622</v>
      </c>
      <c r="G37" s="587">
        <f>(C37+E37)*2</f>
        <v>13.739999999999998</v>
      </c>
      <c r="H37" s="589" t="s">
        <v>957</v>
      </c>
      <c r="I37" s="587">
        <f t="shared" si="2"/>
        <v>10.622</v>
      </c>
      <c r="J37" s="589" t="s">
        <v>957</v>
      </c>
      <c r="K37" s="587">
        <f t="shared" si="3"/>
        <v>13.739999999999998</v>
      </c>
      <c r="L37" s="587"/>
      <c r="M37" s="587"/>
      <c r="N37" s="587"/>
      <c r="O37" s="587" t="str">
        <f t="shared" si="5"/>
        <v/>
      </c>
      <c r="P37" s="587"/>
      <c r="Q37" s="587" t="str">
        <f t="shared" si="6"/>
        <v/>
      </c>
      <c r="R37" s="587"/>
      <c r="S37" s="587" t="str">
        <f t="shared" si="7"/>
        <v/>
      </c>
      <c r="T37" s="587"/>
      <c r="U37" s="587" t="str">
        <f t="shared" si="8"/>
        <v/>
      </c>
      <c r="V37" s="589" t="s">
        <v>957</v>
      </c>
      <c r="W37" s="587">
        <f t="shared" si="9"/>
        <v>10.622</v>
      </c>
      <c r="X37" s="589"/>
      <c r="Y37" s="587" t="str">
        <f t="shared" si="10"/>
        <v/>
      </c>
      <c r="Z37" s="589"/>
      <c r="AA37" s="587" t="str">
        <f t="shared" si="11"/>
        <v/>
      </c>
      <c r="AB37" s="589"/>
      <c r="AC37" s="587" t="str">
        <f t="shared" si="12"/>
        <v/>
      </c>
      <c r="AD37" s="586"/>
      <c r="AE37" s="587" t="str">
        <f t="shared" si="13"/>
        <v/>
      </c>
    </row>
    <row r="38" spans="2:31">
      <c r="B38" s="586" t="s">
        <v>318</v>
      </c>
      <c r="C38" s="587">
        <v>3.9750000000000001</v>
      </c>
      <c r="D38" s="586" t="s">
        <v>957</v>
      </c>
      <c r="E38" s="587">
        <v>4.87</v>
      </c>
      <c r="F38" s="587">
        <f>C38*E38</f>
        <v>19.358250000000002</v>
      </c>
      <c r="G38" s="587">
        <f>(C38+E38)*2</f>
        <v>17.690000000000001</v>
      </c>
      <c r="H38" s="589" t="s">
        <v>957</v>
      </c>
      <c r="I38" s="587">
        <f t="shared" si="2"/>
        <v>19.358250000000002</v>
      </c>
      <c r="J38" s="589" t="s">
        <v>957</v>
      </c>
      <c r="K38" s="587">
        <f t="shared" si="3"/>
        <v>17.690000000000001</v>
      </c>
      <c r="L38" s="587"/>
      <c r="M38" s="587"/>
      <c r="N38" s="587"/>
      <c r="O38" s="587" t="str">
        <f t="shared" si="5"/>
        <v/>
      </c>
      <c r="P38" s="587"/>
      <c r="Q38" s="587" t="str">
        <f t="shared" si="6"/>
        <v/>
      </c>
      <c r="R38" s="587"/>
      <c r="S38" s="587" t="str">
        <f t="shared" si="7"/>
        <v/>
      </c>
      <c r="T38" s="587"/>
      <c r="U38" s="587" t="str">
        <f t="shared" si="8"/>
        <v/>
      </c>
      <c r="V38" s="589" t="s">
        <v>957</v>
      </c>
      <c r="W38" s="587">
        <f t="shared" si="9"/>
        <v>19.358250000000002</v>
      </c>
      <c r="X38" s="589"/>
      <c r="Y38" s="587" t="str">
        <f t="shared" si="10"/>
        <v/>
      </c>
      <c r="Z38" s="589"/>
      <c r="AA38" s="587" t="str">
        <f t="shared" si="11"/>
        <v/>
      </c>
      <c r="AB38" s="589"/>
      <c r="AC38" s="587" t="str">
        <f t="shared" si="12"/>
        <v/>
      </c>
      <c r="AD38" s="586"/>
      <c r="AE38" s="587" t="str">
        <f t="shared" si="13"/>
        <v/>
      </c>
    </row>
    <row r="39" spans="2:31">
      <c r="B39" s="586" t="s">
        <v>319</v>
      </c>
      <c r="C39" s="587">
        <v>3.044</v>
      </c>
      <c r="D39" s="586" t="s">
        <v>957</v>
      </c>
      <c r="E39" s="587">
        <v>2.9990000000000001</v>
      </c>
      <c r="F39" s="587">
        <f>C39*E39</f>
        <v>9.1289560000000005</v>
      </c>
      <c r="G39" s="587">
        <f>(C39+E39)*2</f>
        <v>12.086</v>
      </c>
      <c r="H39" s="589"/>
      <c r="I39" s="587" t="str">
        <f t="shared" si="2"/>
        <v/>
      </c>
      <c r="J39" s="589"/>
      <c r="K39" s="587" t="str">
        <f t="shared" si="3"/>
        <v/>
      </c>
      <c r="L39" s="587"/>
      <c r="M39" s="587"/>
      <c r="N39" s="587"/>
      <c r="O39" s="587" t="str">
        <f t="shared" si="5"/>
        <v/>
      </c>
      <c r="P39" s="587"/>
      <c r="Q39" s="587" t="str">
        <f t="shared" si="6"/>
        <v/>
      </c>
      <c r="R39" s="587"/>
      <c r="S39" s="587" t="str">
        <f t="shared" si="7"/>
        <v/>
      </c>
      <c r="T39" s="587" t="s">
        <v>952</v>
      </c>
      <c r="U39" s="587">
        <f t="shared" si="8"/>
        <v>9.1289560000000005</v>
      </c>
      <c r="V39" s="589"/>
      <c r="W39" s="587" t="str">
        <f t="shared" si="9"/>
        <v/>
      </c>
      <c r="X39" s="589"/>
      <c r="Y39" s="587" t="str">
        <f t="shared" si="10"/>
        <v/>
      </c>
      <c r="Z39" s="589"/>
      <c r="AA39" s="587" t="str">
        <f t="shared" si="11"/>
        <v/>
      </c>
      <c r="AB39" s="589" t="s">
        <v>952</v>
      </c>
      <c r="AC39" s="587">
        <f t="shared" si="12"/>
        <v>9.1289560000000005</v>
      </c>
      <c r="AD39" s="586"/>
      <c r="AE39" s="587" t="str">
        <f t="shared" si="13"/>
        <v/>
      </c>
    </row>
    <row r="40" spans="2:31">
      <c r="B40" s="586" t="s">
        <v>319</v>
      </c>
      <c r="C40" s="587">
        <v>3.044</v>
      </c>
      <c r="D40" s="586" t="s">
        <v>957</v>
      </c>
      <c r="E40" s="587">
        <v>2.9990000000000001</v>
      </c>
      <c r="F40" s="587">
        <f>C40*E40</f>
        <v>9.1289560000000005</v>
      </c>
      <c r="G40" s="587">
        <f>(C40+E40)*2</f>
        <v>12.086</v>
      </c>
      <c r="H40" s="589"/>
      <c r="I40" s="587" t="str">
        <f t="shared" si="2"/>
        <v/>
      </c>
      <c r="J40" s="589"/>
      <c r="K40" s="587" t="str">
        <f t="shared" si="3"/>
        <v/>
      </c>
      <c r="L40" s="587"/>
      <c r="M40" s="587"/>
      <c r="N40" s="587"/>
      <c r="O40" s="587" t="str">
        <f t="shared" si="5"/>
        <v/>
      </c>
      <c r="P40" s="587"/>
      <c r="Q40" s="587" t="str">
        <f t="shared" si="6"/>
        <v/>
      </c>
      <c r="R40" s="587"/>
      <c r="S40" s="587" t="str">
        <f t="shared" si="7"/>
        <v/>
      </c>
      <c r="T40" s="587" t="s">
        <v>952</v>
      </c>
      <c r="U40" s="587">
        <f t="shared" si="8"/>
        <v>9.1289560000000005</v>
      </c>
      <c r="V40" s="589"/>
      <c r="W40" s="587" t="str">
        <f t="shared" si="9"/>
        <v/>
      </c>
      <c r="X40" s="589"/>
      <c r="Y40" s="587" t="str">
        <f t="shared" si="10"/>
        <v/>
      </c>
      <c r="Z40" s="589"/>
      <c r="AA40" s="587" t="str">
        <f t="shared" si="11"/>
        <v/>
      </c>
      <c r="AB40" s="589" t="s">
        <v>952</v>
      </c>
      <c r="AC40" s="587">
        <f t="shared" si="12"/>
        <v>9.1289560000000005</v>
      </c>
      <c r="AD40" s="586"/>
      <c r="AE40" s="587" t="str">
        <f t="shared" si="13"/>
        <v/>
      </c>
    </row>
    <row r="41" spans="2:31">
      <c r="B41" s="586" t="s">
        <v>320</v>
      </c>
      <c r="C41" s="587"/>
      <c r="D41" s="586"/>
      <c r="E41" s="587"/>
      <c r="F41" s="587">
        <v>14.657999999999999</v>
      </c>
      <c r="G41" s="587">
        <v>17.175000000000001</v>
      </c>
      <c r="H41" s="589"/>
      <c r="I41" s="587" t="str">
        <f t="shared" si="2"/>
        <v/>
      </c>
      <c r="J41" s="589"/>
      <c r="K41" s="587" t="str">
        <f t="shared" si="3"/>
        <v/>
      </c>
      <c r="L41" s="587"/>
      <c r="M41" s="587"/>
      <c r="N41" s="587"/>
      <c r="O41" s="587" t="str">
        <f t="shared" si="5"/>
        <v/>
      </c>
      <c r="P41" s="587"/>
      <c r="Q41" s="587" t="str">
        <f t="shared" si="6"/>
        <v/>
      </c>
      <c r="R41" s="587"/>
      <c r="S41" s="587" t="str">
        <f t="shared" si="7"/>
        <v/>
      </c>
      <c r="T41" s="587" t="s">
        <v>952</v>
      </c>
      <c r="U41" s="587">
        <f t="shared" si="8"/>
        <v>14.657999999999999</v>
      </c>
      <c r="V41" s="589"/>
      <c r="W41" s="587" t="str">
        <f t="shared" si="9"/>
        <v/>
      </c>
      <c r="X41" s="589"/>
      <c r="Y41" s="587" t="str">
        <f t="shared" si="10"/>
        <v/>
      </c>
      <c r="Z41" s="589"/>
      <c r="AA41" s="587" t="str">
        <f t="shared" si="11"/>
        <v/>
      </c>
      <c r="AB41" s="589" t="s">
        <v>952</v>
      </c>
      <c r="AC41" s="587">
        <f t="shared" si="12"/>
        <v>14.657999999999999</v>
      </c>
      <c r="AD41" s="586"/>
      <c r="AE41" s="587" t="str">
        <f t="shared" si="13"/>
        <v/>
      </c>
    </row>
    <row r="42" spans="2:31">
      <c r="B42" s="586" t="s">
        <v>302</v>
      </c>
      <c r="C42" s="587">
        <v>3.0649999999999999</v>
      </c>
      <c r="D42" s="586" t="s">
        <v>957</v>
      </c>
      <c r="E42" s="587">
        <v>2.85</v>
      </c>
      <c r="F42" s="587">
        <f t="shared" ref="F42:F48" si="16">C42*E42</f>
        <v>8.7352500000000006</v>
      </c>
      <c r="G42" s="587">
        <f t="shared" ref="G42:G48" si="17">(C42+E42)*2</f>
        <v>11.83</v>
      </c>
      <c r="H42" s="589" t="s">
        <v>957</v>
      </c>
      <c r="I42" s="587">
        <f t="shared" si="2"/>
        <v>8.7352500000000006</v>
      </c>
      <c r="J42" s="589" t="s">
        <v>957</v>
      </c>
      <c r="K42" s="587">
        <f t="shared" si="3"/>
        <v>11.83</v>
      </c>
      <c r="L42" s="587"/>
      <c r="M42" s="587"/>
      <c r="N42" s="587"/>
      <c r="O42" s="587" t="str">
        <f t="shared" si="5"/>
        <v/>
      </c>
      <c r="P42" s="587"/>
      <c r="Q42" s="587" t="str">
        <f t="shared" si="6"/>
        <v/>
      </c>
      <c r="R42" s="587"/>
      <c r="S42" s="587" t="str">
        <f t="shared" si="7"/>
        <v/>
      </c>
      <c r="T42" s="587"/>
      <c r="U42" s="587" t="str">
        <f t="shared" si="8"/>
        <v/>
      </c>
      <c r="V42" s="589" t="s">
        <v>957</v>
      </c>
      <c r="W42" s="587">
        <f t="shared" si="9"/>
        <v>8.7352500000000006</v>
      </c>
      <c r="X42" s="589"/>
      <c r="Y42" s="587" t="str">
        <f t="shared" si="10"/>
        <v/>
      </c>
      <c r="Z42" s="589"/>
      <c r="AA42" s="587" t="str">
        <f t="shared" si="11"/>
        <v/>
      </c>
      <c r="AB42" s="589"/>
      <c r="AC42" s="587" t="str">
        <f t="shared" si="12"/>
        <v/>
      </c>
      <c r="AD42" s="586"/>
      <c r="AE42" s="587" t="str">
        <f t="shared" si="13"/>
        <v/>
      </c>
    </row>
    <row r="43" spans="2:31">
      <c r="B43" s="586" t="s">
        <v>321</v>
      </c>
      <c r="C43" s="587">
        <v>3.0649999999999999</v>
      </c>
      <c r="D43" s="586" t="s">
        <v>957</v>
      </c>
      <c r="E43" s="587">
        <v>3.2</v>
      </c>
      <c r="F43" s="587">
        <f t="shared" si="16"/>
        <v>9.8079999999999998</v>
      </c>
      <c r="G43" s="587">
        <f t="shared" si="17"/>
        <v>12.530000000000001</v>
      </c>
      <c r="H43" s="589" t="s">
        <v>957</v>
      </c>
      <c r="I43" s="587">
        <f t="shared" si="2"/>
        <v>9.8079999999999998</v>
      </c>
      <c r="J43" s="589" t="s">
        <v>957</v>
      </c>
      <c r="K43" s="587">
        <f t="shared" si="3"/>
        <v>12.530000000000001</v>
      </c>
      <c r="L43" s="587"/>
      <c r="M43" s="587"/>
      <c r="N43" s="587"/>
      <c r="O43" s="587" t="str">
        <f t="shared" si="5"/>
        <v/>
      </c>
      <c r="P43" s="587"/>
      <c r="Q43" s="587" t="str">
        <f t="shared" si="6"/>
        <v/>
      </c>
      <c r="R43" s="587"/>
      <c r="S43" s="587" t="str">
        <f t="shared" si="7"/>
        <v/>
      </c>
      <c r="T43" s="587"/>
      <c r="U43" s="587" t="str">
        <f t="shared" si="8"/>
        <v/>
      </c>
      <c r="V43" s="589" t="s">
        <v>957</v>
      </c>
      <c r="W43" s="587">
        <f t="shared" si="9"/>
        <v>9.8079999999999998</v>
      </c>
      <c r="X43" s="589"/>
      <c r="Y43" s="587" t="str">
        <f t="shared" si="10"/>
        <v/>
      </c>
      <c r="Z43" s="589"/>
      <c r="AA43" s="587" t="str">
        <f t="shared" si="11"/>
        <v/>
      </c>
      <c r="AB43" s="589"/>
      <c r="AC43" s="587" t="str">
        <f t="shared" si="12"/>
        <v/>
      </c>
      <c r="AD43" s="586"/>
      <c r="AE43" s="587" t="str">
        <f t="shared" si="13"/>
        <v/>
      </c>
    </row>
    <row r="44" spans="2:31">
      <c r="B44" s="586" t="s">
        <v>322</v>
      </c>
      <c r="C44" s="587">
        <v>3.0230000000000001</v>
      </c>
      <c r="D44" s="586" t="s">
        <v>957</v>
      </c>
      <c r="E44" s="587">
        <v>6.35</v>
      </c>
      <c r="F44" s="587">
        <f t="shared" si="16"/>
        <v>19.19605</v>
      </c>
      <c r="G44" s="587">
        <f t="shared" si="17"/>
        <v>18.745999999999999</v>
      </c>
      <c r="H44" s="589" t="s">
        <v>957</v>
      </c>
      <c r="I44" s="587">
        <f t="shared" si="2"/>
        <v>19.19605</v>
      </c>
      <c r="J44" s="589" t="s">
        <v>957</v>
      </c>
      <c r="K44" s="587">
        <f t="shared" si="3"/>
        <v>18.745999999999999</v>
      </c>
      <c r="L44" s="587"/>
      <c r="M44" s="587"/>
      <c r="N44" s="587"/>
      <c r="O44" s="587" t="str">
        <f t="shared" si="5"/>
        <v/>
      </c>
      <c r="P44" s="587"/>
      <c r="Q44" s="587" t="str">
        <f t="shared" si="6"/>
        <v/>
      </c>
      <c r="R44" s="587"/>
      <c r="S44" s="587" t="str">
        <f t="shared" si="7"/>
        <v/>
      </c>
      <c r="T44" s="587"/>
      <c r="U44" s="587" t="str">
        <f t="shared" si="8"/>
        <v/>
      </c>
      <c r="V44" s="589" t="s">
        <v>957</v>
      </c>
      <c r="W44" s="587">
        <f t="shared" si="9"/>
        <v>19.19605</v>
      </c>
      <c r="X44" s="589"/>
      <c r="Y44" s="587" t="str">
        <f t="shared" si="10"/>
        <v/>
      </c>
      <c r="Z44" s="589"/>
      <c r="AA44" s="587" t="str">
        <f t="shared" si="11"/>
        <v/>
      </c>
      <c r="AB44" s="589"/>
      <c r="AC44" s="587" t="str">
        <f t="shared" si="12"/>
        <v/>
      </c>
      <c r="AD44" s="586"/>
      <c r="AE44" s="587" t="str">
        <f t="shared" si="13"/>
        <v/>
      </c>
    </row>
    <row r="45" spans="2:31">
      <c r="B45" s="586" t="s">
        <v>323</v>
      </c>
      <c r="C45" s="587">
        <v>7</v>
      </c>
      <c r="D45" s="586" t="s">
        <v>957</v>
      </c>
      <c r="E45" s="587">
        <v>3.3490000000000002</v>
      </c>
      <c r="F45" s="587">
        <f t="shared" si="16"/>
        <v>23.443000000000001</v>
      </c>
      <c r="G45" s="587">
        <f t="shared" si="17"/>
        <v>20.698</v>
      </c>
      <c r="H45" s="589" t="s">
        <v>957</v>
      </c>
      <c r="I45" s="587">
        <f t="shared" si="2"/>
        <v>23.443000000000001</v>
      </c>
      <c r="J45" s="589" t="s">
        <v>957</v>
      </c>
      <c r="K45" s="587">
        <f t="shared" si="3"/>
        <v>20.698</v>
      </c>
      <c r="L45" s="587"/>
      <c r="M45" s="587"/>
      <c r="N45" s="587"/>
      <c r="O45" s="587" t="str">
        <f t="shared" si="5"/>
        <v/>
      </c>
      <c r="P45" s="587"/>
      <c r="Q45" s="587" t="str">
        <f t="shared" si="6"/>
        <v/>
      </c>
      <c r="R45" s="587"/>
      <c r="S45" s="587" t="str">
        <f t="shared" si="7"/>
        <v/>
      </c>
      <c r="T45" s="587"/>
      <c r="U45" s="587" t="str">
        <f t="shared" si="8"/>
        <v/>
      </c>
      <c r="V45" s="589" t="s">
        <v>957</v>
      </c>
      <c r="W45" s="587">
        <f t="shared" si="9"/>
        <v>23.443000000000001</v>
      </c>
      <c r="X45" s="589"/>
      <c r="Y45" s="587" t="str">
        <f t="shared" si="10"/>
        <v/>
      </c>
      <c r="Z45" s="589"/>
      <c r="AA45" s="587" t="str">
        <f t="shared" si="11"/>
        <v/>
      </c>
      <c r="AB45" s="589"/>
      <c r="AC45" s="587" t="str">
        <f t="shared" si="12"/>
        <v/>
      </c>
      <c r="AD45" s="586"/>
      <c r="AE45" s="587" t="str">
        <f t="shared" si="13"/>
        <v/>
      </c>
    </row>
    <row r="46" spans="2:31">
      <c r="B46" s="586" t="s">
        <v>308</v>
      </c>
      <c r="C46" s="587">
        <v>3.4249999999999998</v>
      </c>
      <c r="D46" s="586" t="s">
        <v>957</v>
      </c>
      <c r="E46" s="587">
        <v>2</v>
      </c>
      <c r="F46" s="587">
        <f t="shared" si="16"/>
        <v>6.85</v>
      </c>
      <c r="G46" s="587">
        <f t="shared" si="17"/>
        <v>10.85</v>
      </c>
      <c r="H46" s="589" t="s">
        <v>957</v>
      </c>
      <c r="I46" s="587">
        <f t="shared" si="2"/>
        <v>6.85</v>
      </c>
      <c r="J46" s="589" t="s">
        <v>957</v>
      </c>
      <c r="K46" s="587">
        <f t="shared" si="3"/>
        <v>10.85</v>
      </c>
      <c r="L46" s="587"/>
      <c r="M46" s="587"/>
      <c r="N46" s="587"/>
      <c r="O46" s="587" t="str">
        <f t="shared" si="5"/>
        <v/>
      </c>
      <c r="P46" s="587"/>
      <c r="Q46" s="587" t="str">
        <f t="shared" si="6"/>
        <v/>
      </c>
      <c r="R46" s="587"/>
      <c r="S46" s="587" t="str">
        <f t="shared" si="7"/>
        <v/>
      </c>
      <c r="T46" s="587"/>
      <c r="U46" s="587" t="str">
        <f t="shared" si="8"/>
        <v/>
      </c>
      <c r="V46" s="589" t="s">
        <v>957</v>
      </c>
      <c r="W46" s="587">
        <f t="shared" si="9"/>
        <v>6.85</v>
      </c>
      <c r="X46" s="589"/>
      <c r="Y46" s="587" t="str">
        <f t="shared" si="10"/>
        <v/>
      </c>
      <c r="Z46" s="589"/>
      <c r="AA46" s="587" t="str">
        <f t="shared" si="11"/>
        <v/>
      </c>
      <c r="AB46" s="589"/>
      <c r="AC46" s="587" t="str">
        <f t="shared" si="12"/>
        <v/>
      </c>
      <c r="AD46" s="586"/>
      <c r="AE46" s="587" t="str">
        <f t="shared" si="13"/>
        <v/>
      </c>
    </row>
    <row r="47" spans="2:31">
      <c r="B47" s="586" t="s">
        <v>308</v>
      </c>
      <c r="C47" s="587">
        <v>3.4249999999999998</v>
      </c>
      <c r="D47" s="586" t="s">
        <v>957</v>
      </c>
      <c r="E47" s="587">
        <v>2</v>
      </c>
      <c r="F47" s="587">
        <f t="shared" si="16"/>
        <v>6.85</v>
      </c>
      <c r="G47" s="587">
        <f t="shared" si="17"/>
        <v>10.85</v>
      </c>
      <c r="H47" s="589" t="s">
        <v>957</v>
      </c>
      <c r="I47" s="587">
        <f t="shared" si="2"/>
        <v>6.85</v>
      </c>
      <c r="J47" s="589" t="s">
        <v>957</v>
      </c>
      <c r="K47" s="587">
        <f t="shared" si="3"/>
        <v>10.85</v>
      </c>
      <c r="L47" s="587"/>
      <c r="M47" s="587"/>
      <c r="N47" s="587"/>
      <c r="O47" s="587" t="str">
        <f t="shared" si="5"/>
        <v/>
      </c>
      <c r="P47" s="587"/>
      <c r="Q47" s="587" t="str">
        <f t="shared" si="6"/>
        <v/>
      </c>
      <c r="R47" s="587"/>
      <c r="S47" s="587" t="str">
        <f t="shared" si="7"/>
        <v/>
      </c>
      <c r="T47" s="587"/>
      <c r="U47" s="587" t="str">
        <f t="shared" si="8"/>
        <v/>
      </c>
      <c r="V47" s="589" t="s">
        <v>957</v>
      </c>
      <c r="W47" s="587">
        <f t="shared" si="9"/>
        <v>6.85</v>
      </c>
      <c r="X47" s="589"/>
      <c r="Y47" s="587" t="str">
        <f t="shared" si="10"/>
        <v/>
      </c>
      <c r="Z47" s="589"/>
      <c r="AA47" s="587" t="str">
        <f t="shared" si="11"/>
        <v/>
      </c>
      <c r="AB47" s="589"/>
      <c r="AC47" s="587" t="str">
        <f t="shared" si="12"/>
        <v/>
      </c>
      <c r="AD47" s="586"/>
      <c r="AE47" s="587" t="str">
        <f t="shared" si="13"/>
        <v/>
      </c>
    </row>
    <row r="48" spans="2:31">
      <c r="B48" s="586" t="s">
        <v>324</v>
      </c>
      <c r="C48" s="587">
        <v>5.65</v>
      </c>
      <c r="D48" s="586" t="s">
        <v>957</v>
      </c>
      <c r="E48" s="587">
        <v>6.2</v>
      </c>
      <c r="F48" s="587">
        <f t="shared" si="16"/>
        <v>35.03</v>
      </c>
      <c r="G48" s="587">
        <f t="shared" si="17"/>
        <v>23.700000000000003</v>
      </c>
      <c r="H48" s="589" t="s">
        <v>957</v>
      </c>
      <c r="I48" s="587">
        <f t="shared" si="2"/>
        <v>35.03</v>
      </c>
      <c r="J48" s="589" t="s">
        <v>957</v>
      </c>
      <c r="K48" s="587">
        <f t="shared" si="3"/>
        <v>23.700000000000003</v>
      </c>
      <c r="L48" s="587"/>
      <c r="M48" s="587"/>
      <c r="N48" s="587"/>
      <c r="O48" s="587" t="str">
        <f t="shared" si="5"/>
        <v/>
      </c>
      <c r="P48" s="587"/>
      <c r="Q48" s="587" t="str">
        <f t="shared" si="6"/>
        <v/>
      </c>
      <c r="R48" s="587"/>
      <c r="S48" s="587" t="str">
        <f t="shared" si="7"/>
        <v/>
      </c>
      <c r="T48" s="587"/>
      <c r="U48" s="587" t="str">
        <f t="shared" si="8"/>
        <v/>
      </c>
      <c r="V48" s="589" t="s">
        <v>957</v>
      </c>
      <c r="W48" s="587">
        <f t="shared" si="9"/>
        <v>35.03</v>
      </c>
      <c r="X48" s="589"/>
      <c r="Y48" s="587" t="str">
        <f t="shared" si="10"/>
        <v/>
      </c>
      <c r="Z48" s="589"/>
      <c r="AA48" s="587" t="str">
        <f t="shared" si="11"/>
        <v/>
      </c>
      <c r="AB48" s="589"/>
      <c r="AC48" s="587" t="str">
        <f t="shared" si="12"/>
        <v/>
      </c>
      <c r="AD48" s="586"/>
      <c r="AE48" s="587" t="str">
        <f t="shared" si="13"/>
        <v/>
      </c>
    </row>
    <row r="49" spans="2:31">
      <c r="B49" s="586" t="s">
        <v>325</v>
      </c>
      <c r="C49" s="587"/>
      <c r="D49" s="586"/>
      <c r="E49" s="587"/>
      <c r="F49" s="587">
        <v>32.6</v>
      </c>
      <c r="G49" s="587">
        <v>32.700000000000003</v>
      </c>
      <c r="H49" s="589" t="s">
        <v>957</v>
      </c>
      <c r="I49" s="587">
        <f t="shared" si="2"/>
        <v>32.6</v>
      </c>
      <c r="J49" s="589" t="s">
        <v>957</v>
      </c>
      <c r="K49" s="587">
        <f t="shared" si="3"/>
        <v>32.700000000000003</v>
      </c>
      <c r="L49" s="587"/>
      <c r="M49" s="587"/>
      <c r="N49" s="587"/>
      <c r="O49" s="587" t="str">
        <f t="shared" si="5"/>
        <v/>
      </c>
      <c r="P49" s="587"/>
      <c r="Q49" s="587" t="str">
        <f t="shared" si="6"/>
        <v/>
      </c>
      <c r="R49" s="587"/>
      <c r="S49" s="587" t="str">
        <f t="shared" si="7"/>
        <v/>
      </c>
      <c r="T49" s="587"/>
      <c r="U49" s="587" t="str">
        <f t="shared" si="8"/>
        <v/>
      </c>
      <c r="V49" s="589"/>
      <c r="W49" s="587" t="str">
        <f t="shared" si="9"/>
        <v/>
      </c>
      <c r="X49" s="589" t="s">
        <v>957</v>
      </c>
      <c r="Y49" s="587">
        <f t="shared" si="10"/>
        <v>32.6</v>
      </c>
      <c r="Z49" s="589"/>
      <c r="AA49" s="587" t="str">
        <f t="shared" si="11"/>
        <v/>
      </c>
      <c r="AB49" s="589"/>
      <c r="AC49" s="587" t="str">
        <f t="shared" si="12"/>
        <v/>
      </c>
      <c r="AD49" s="586"/>
      <c r="AE49" s="587" t="str">
        <f t="shared" si="13"/>
        <v/>
      </c>
    </row>
    <row r="50" spans="2:31">
      <c r="B50" s="586" t="s">
        <v>326</v>
      </c>
      <c r="C50" s="587">
        <v>3</v>
      </c>
      <c r="D50" s="586" t="s">
        <v>957</v>
      </c>
      <c r="E50" s="587">
        <v>3.5</v>
      </c>
      <c r="F50" s="587">
        <f>C50*E50</f>
        <v>10.5</v>
      </c>
      <c r="G50" s="587">
        <f>(C50+E50)*2</f>
        <v>13</v>
      </c>
      <c r="H50" s="589" t="s">
        <v>957</v>
      </c>
      <c r="I50" s="587">
        <f t="shared" si="2"/>
        <v>10.5</v>
      </c>
      <c r="J50" s="589" t="s">
        <v>957</v>
      </c>
      <c r="K50" s="587">
        <f t="shared" si="3"/>
        <v>13</v>
      </c>
      <c r="L50" s="587"/>
      <c r="M50" s="587"/>
      <c r="N50" s="587"/>
      <c r="O50" s="587" t="str">
        <f t="shared" si="5"/>
        <v/>
      </c>
      <c r="P50" s="587"/>
      <c r="Q50" s="587" t="str">
        <f t="shared" si="6"/>
        <v/>
      </c>
      <c r="R50" s="587"/>
      <c r="S50" s="587" t="str">
        <f t="shared" si="7"/>
        <v/>
      </c>
      <c r="T50" s="587"/>
      <c r="U50" s="587" t="str">
        <f t="shared" si="8"/>
        <v/>
      </c>
      <c r="V50" s="589" t="s">
        <v>957</v>
      </c>
      <c r="W50" s="587">
        <f t="shared" si="9"/>
        <v>10.5</v>
      </c>
      <c r="X50" s="589"/>
      <c r="Y50" s="587" t="str">
        <f t="shared" si="10"/>
        <v/>
      </c>
      <c r="Z50" s="589"/>
      <c r="AA50" s="587" t="str">
        <f t="shared" si="11"/>
        <v/>
      </c>
      <c r="AB50" s="589"/>
      <c r="AC50" s="587" t="str">
        <f t="shared" si="12"/>
        <v/>
      </c>
      <c r="AD50" s="586"/>
      <c r="AE50" s="587" t="str">
        <f t="shared" si="13"/>
        <v/>
      </c>
    </row>
    <row r="51" spans="2:31">
      <c r="B51" s="586" t="s">
        <v>327</v>
      </c>
      <c r="C51" s="587"/>
      <c r="D51" s="586"/>
      <c r="E51" s="587"/>
      <c r="F51" s="587">
        <v>48.75</v>
      </c>
      <c r="G51" s="587">
        <v>28.67</v>
      </c>
      <c r="H51" s="589" t="s">
        <v>957</v>
      </c>
      <c r="I51" s="587">
        <f t="shared" si="2"/>
        <v>48.75</v>
      </c>
      <c r="J51" s="589" t="s">
        <v>957</v>
      </c>
      <c r="K51" s="587">
        <f t="shared" si="3"/>
        <v>28.67</v>
      </c>
      <c r="L51" s="587"/>
      <c r="M51" s="587"/>
      <c r="N51" s="587"/>
      <c r="O51" s="587" t="str">
        <f t="shared" si="5"/>
        <v/>
      </c>
      <c r="P51" s="587"/>
      <c r="Q51" s="587" t="str">
        <f t="shared" si="6"/>
        <v/>
      </c>
      <c r="R51" s="587"/>
      <c r="S51" s="587" t="str">
        <f t="shared" si="7"/>
        <v/>
      </c>
      <c r="T51" s="587"/>
      <c r="U51" s="587" t="str">
        <f t="shared" si="8"/>
        <v/>
      </c>
      <c r="V51" s="589" t="s">
        <v>957</v>
      </c>
      <c r="W51" s="587">
        <f t="shared" si="9"/>
        <v>48.75</v>
      </c>
      <c r="X51" s="589"/>
      <c r="Y51" s="587" t="str">
        <f t="shared" si="10"/>
        <v/>
      </c>
      <c r="Z51" s="589"/>
      <c r="AA51" s="587" t="str">
        <f t="shared" si="11"/>
        <v/>
      </c>
      <c r="AB51" s="589"/>
      <c r="AC51" s="587" t="str">
        <f t="shared" si="12"/>
        <v/>
      </c>
      <c r="AD51" s="586"/>
      <c r="AE51" s="587" t="str">
        <f t="shared" si="13"/>
        <v/>
      </c>
    </row>
    <row r="52" spans="2:31">
      <c r="B52" s="586" t="s">
        <v>328</v>
      </c>
      <c r="C52" s="587"/>
      <c r="D52" s="586"/>
      <c r="E52" s="587"/>
      <c r="F52" s="587">
        <v>125.37</v>
      </c>
      <c r="G52" s="587">
        <v>51.4</v>
      </c>
      <c r="H52" s="589" t="s">
        <v>957</v>
      </c>
      <c r="I52" s="587">
        <f t="shared" si="2"/>
        <v>125.37</v>
      </c>
      <c r="J52" s="589" t="s">
        <v>957</v>
      </c>
      <c r="K52" s="587">
        <f t="shared" si="3"/>
        <v>51.4</v>
      </c>
      <c r="L52" s="587"/>
      <c r="M52" s="587"/>
      <c r="N52" s="587"/>
      <c r="O52" s="587" t="str">
        <f t="shared" si="5"/>
        <v/>
      </c>
      <c r="P52" s="587"/>
      <c r="Q52" s="587" t="str">
        <f t="shared" si="6"/>
        <v/>
      </c>
      <c r="R52" s="587"/>
      <c r="S52" s="587" t="str">
        <f t="shared" si="7"/>
        <v/>
      </c>
      <c r="T52" s="587"/>
      <c r="U52" s="587" t="str">
        <f t="shared" si="8"/>
        <v/>
      </c>
      <c r="V52" s="589" t="s">
        <v>957</v>
      </c>
      <c r="W52" s="587">
        <f t="shared" si="9"/>
        <v>125.37</v>
      </c>
      <c r="X52" s="589"/>
      <c r="Y52" s="587" t="str">
        <f t="shared" si="10"/>
        <v/>
      </c>
      <c r="Z52" s="589"/>
      <c r="AA52" s="587" t="str">
        <f t="shared" si="11"/>
        <v/>
      </c>
      <c r="AB52" s="589"/>
      <c r="AC52" s="587" t="str">
        <f t="shared" si="12"/>
        <v/>
      </c>
      <c r="AD52" s="586"/>
      <c r="AE52" s="587" t="str">
        <f t="shared" si="13"/>
        <v/>
      </c>
    </row>
    <row r="53" spans="2:31">
      <c r="B53" s="586" t="s">
        <v>329</v>
      </c>
      <c r="C53" s="587"/>
      <c r="D53" s="586"/>
      <c r="E53" s="587"/>
      <c r="F53" s="587">
        <v>17.100000000000001</v>
      </c>
      <c r="G53" s="587">
        <v>18.3</v>
      </c>
      <c r="H53" s="589" t="s">
        <v>957</v>
      </c>
      <c r="I53" s="587">
        <f t="shared" si="2"/>
        <v>17.100000000000001</v>
      </c>
      <c r="J53" s="589" t="s">
        <v>957</v>
      </c>
      <c r="K53" s="587">
        <f t="shared" si="3"/>
        <v>18.3</v>
      </c>
      <c r="L53" s="587"/>
      <c r="M53" s="587"/>
      <c r="N53" s="587"/>
      <c r="O53" s="587" t="str">
        <f t="shared" si="5"/>
        <v/>
      </c>
      <c r="P53" s="587"/>
      <c r="Q53" s="587" t="str">
        <f t="shared" si="6"/>
        <v/>
      </c>
      <c r="R53" s="587"/>
      <c r="S53" s="587" t="str">
        <f t="shared" si="7"/>
        <v/>
      </c>
      <c r="T53" s="587"/>
      <c r="U53" s="587" t="str">
        <f t="shared" si="8"/>
        <v/>
      </c>
      <c r="V53" s="589"/>
      <c r="W53" s="587" t="str">
        <f t="shared" si="9"/>
        <v/>
      </c>
      <c r="X53" s="589"/>
      <c r="Y53" s="587" t="str">
        <f t="shared" si="10"/>
        <v/>
      </c>
      <c r="Z53" s="589"/>
      <c r="AA53" s="587" t="str">
        <f t="shared" si="11"/>
        <v/>
      </c>
      <c r="AB53" s="589"/>
      <c r="AC53" s="587" t="str">
        <f t="shared" si="12"/>
        <v/>
      </c>
      <c r="AD53" s="586"/>
      <c r="AE53" s="587" t="str">
        <f t="shared" si="13"/>
        <v/>
      </c>
    </row>
    <row r="54" spans="2:31">
      <c r="B54" s="586" t="s">
        <v>330</v>
      </c>
      <c r="C54" s="587">
        <v>3</v>
      </c>
      <c r="D54" s="586" t="s">
        <v>957</v>
      </c>
      <c r="E54" s="587">
        <v>2.5</v>
      </c>
      <c r="F54" s="587">
        <f t="shared" ref="F54:F60" si="18">C54*E54</f>
        <v>7.5</v>
      </c>
      <c r="G54" s="587">
        <f t="shared" ref="G54:G60" si="19">(C54+E54)*2</f>
        <v>11</v>
      </c>
      <c r="H54" s="589" t="s">
        <v>957</v>
      </c>
      <c r="I54" s="587">
        <f t="shared" ref="I54:I70" si="20">IF(H54="x",F54,"")</f>
        <v>7.5</v>
      </c>
      <c r="J54" s="589" t="s">
        <v>957</v>
      </c>
      <c r="K54" s="587">
        <f t="shared" si="3"/>
        <v>11</v>
      </c>
      <c r="L54" s="587"/>
      <c r="M54" s="587"/>
      <c r="N54" s="587"/>
      <c r="O54" s="587" t="str">
        <f t="shared" si="5"/>
        <v/>
      </c>
      <c r="P54" s="587"/>
      <c r="Q54" s="587" t="str">
        <f t="shared" si="6"/>
        <v/>
      </c>
      <c r="R54" s="587"/>
      <c r="S54" s="587" t="str">
        <f t="shared" si="7"/>
        <v/>
      </c>
      <c r="T54" s="587"/>
      <c r="U54" s="587" t="str">
        <f t="shared" si="8"/>
        <v/>
      </c>
      <c r="V54" s="589" t="s">
        <v>957</v>
      </c>
      <c r="W54" s="587">
        <f t="shared" si="9"/>
        <v>7.5</v>
      </c>
      <c r="X54" s="589"/>
      <c r="Y54" s="587" t="str">
        <f t="shared" si="10"/>
        <v/>
      </c>
      <c r="Z54" s="589"/>
      <c r="AA54" s="587" t="str">
        <f t="shared" si="11"/>
        <v/>
      </c>
      <c r="AB54" s="589"/>
      <c r="AC54" s="587" t="str">
        <f t="shared" si="12"/>
        <v/>
      </c>
      <c r="AD54" s="586"/>
      <c r="AE54" s="587" t="str">
        <f t="shared" si="13"/>
        <v/>
      </c>
    </row>
    <row r="55" spans="2:31">
      <c r="B55" s="586" t="s">
        <v>331</v>
      </c>
      <c r="C55" s="587">
        <v>5.2370000000000001</v>
      </c>
      <c r="D55" s="586" t="s">
        <v>957</v>
      </c>
      <c r="E55" s="587">
        <v>2.5</v>
      </c>
      <c r="F55" s="587">
        <f t="shared" si="18"/>
        <v>13.092500000000001</v>
      </c>
      <c r="G55" s="587">
        <f t="shared" si="19"/>
        <v>15.474</v>
      </c>
      <c r="H55" s="589" t="s">
        <v>957</v>
      </c>
      <c r="I55" s="587">
        <f t="shared" si="20"/>
        <v>13.092500000000001</v>
      </c>
      <c r="J55" s="589" t="s">
        <v>957</v>
      </c>
      <c r="K55" s="587">
        <f t="shared" si="3"/>
        <v>15.474</v>
      </c>
      <c r="L55" s="587"/>
      <c r="M55" s="587"/>
      <c r="N55" s="587"/>
      <c r="O55" s="587" t="str">
        <f t="shared" si="5"/>
        <v/>
      </c>
      <c r="P55" s="587"/>
      <c r="Q55" s="587" t="str">
        <f t="shared" si="6"/>
        <v/>
      </c>
      <c r="R55" s="587"/>
      <c r="S55" s="587" t="str">
        <f t="shared" si="7"/>
        <v/>
      </c>
      <c r="T55" s="587"/>
      <c r="U55" s="587" t="str">
        <f t="shared" si="8"/>
        <v/>
      </c>
      <c r="V55" s="589" t="s">
        <v>957</v>
      </c>
      <c r="W55" s="587">
        <f t="shared" si="9"/>
        <v>13.092500000000001</v>
      </c>
      <c r="X55" s="589"/>
      <c r="Y55" s="587" t="str">
        <f t="shared" si="10"/>
        <v/>
      </c>
      <c r="Z55" s="589"/>
      <c r="AA55" s="587" t="str">
        <f t="shared" si="11"/>
        <v/>
      </c>
      <c r="AB55" s="589"/>
      <c r="AC55" s="587" t="str">
        <f t="shared" si="12"/>
        <v/>
      </c>
      <c r="AD55" s="586"/>
      <c r="AE55" s="587" t="str">
        <f t="shared" si="13"/>
        <v/>
      </c>
    </row>
    <row r="56" spans="2:31">
      <c r="B56" s="586" t="s">
        <v>315</v>
      </c>
      <c r="C56" s="587">
        <v>5</v>
      </c>
      <c r="D56" s="586" t="s">
        <v>957</v>
      </c>
      <c r="E56" s="587">
        <v>2.5</v>
      </c>
      <c r="F56" s="587">
        <f t="shared" si="18"/>
        <v>12.5</v>
      </c>
      <c r="G56" s="587">
        <f t="shared" si="19"/>
        <v>15</v>
      </c>
      <c r="H56" s="589" t="s">
        <v>957</v>
      </c>
      <c r="I56" s="587">
        <f t="shared" si="20"/>
        <v>12.5</v>
      </c>
      <c r="J56" s="589" t="s">
        <v>957</v>
      </c>
      <c r="K56" s="587">
        <f t="shared" si="3"/>
        <v>15</v>
      </c>
      <c r="L56" s="587"/>
      <c r="M56" s="587"/>
      <c r="N56" s="587"/>
      <c r="O56" s="587" t="str">
        <f t="shared" si="5"/>
        <v/>
      </c>
      <c r="P56" s="587"/>
      <c r="Q56" s="587" t="str">
        <f t="shared" si="6"/>
        <v/>
      </c>
      <c r="R56" s="587"/>
      <c r="S56" s="587" t="str">
        <f t="shared" si="7"/>
        <v/>
      </c>
      <c r="T56" s="587"/>
      <c r="U56" s="587" t="str">
        <f t="shared" si="8"/>
        <v/>
      </c>
      <c r="V56" s="589" t="s">
        <v>957</v>
      </c>
      <c r="W56" s="587">
        <f t="shared" si="9"/>
        <v>12.5</v>
      </c>
      <c r="X56" s="589"/>
      <c r="Y56" s="587" t="str">
        <f t="shared" si="10"/>
        <v/>
      </c>
      <c r="Z56" s="589"/>
      <c r="AA56" s="587" t="str">
        <f t="shared" si="11"/>
        <v/>
      </c>
      <c r="AB56" s="589"/>
      <c r="AC56" s="587" t="str">
        <f t="shared" si="12"/>
        <v/>
      </c>
      <c r="AD56" s="586"/>
      <c r="AE56" s="587" t="str">
        <f t="shared" si="13"/>
        <v/>
      </c>
    </row>
    <row r="57" spans="2:31">
      <c r="B57" s="586" t="s">
        <v>332</v>
      </c>
      <c r="C57" s="587">
        <v>3</v>
      </c>
      <c r="D57" s="586" t="s">
        <v>957</v>
      </c>
      <c r="E57" s="587">
        <v>6.45</v>
      </c>
      <c r="F57" s="587">
        <f t="shared" si="18"/>
        <v>19.350000000000001</v>
      </c>
      <c r="G57" s="587">
        <f t="shared" si="19"/>
        <v>18.899999999999999</v>
      </c>
      <c r="H57" s="589" t="s">
        <v>957</v>
      </c>
      <c r="I57" s="587">
        <f t="shared" si="20"/>
        <v>19.350000000000001</v>
      </c>
      <c r="J57" s="589" t="s">
        <v>957</v>
      </c>
      <c r="K57" s="587">
        <f t="shared" si="3"/>
        <v>18.899999999999999</v>
      </c>
      <c r="L57" s="587"/>
      <c r="M57" s="587"/>
      <c r="N57" s="587"/>
      <c r="O57" s="587" t="str">
        <f t="shared" si="5"/>
        <v/>
      </c>
      <c r="P57" s="587"/>
      <c r="Q57" s="587" t="str">
        <f t="shared" si="6"/>
        <v/>
      </c>
      <c r="R57" s="587"/>
      <c r="S57" s="587" t="str">
        <f t="shared" si="7"/>
        <v/>
      </c>
      <c r="T57" s="587"/>
      <c r="U57" s="587" t="str">
        <f t="shared" si="8"/>
        <v/>
      </c>
      <c r="V57" s="589" t="s">
        <v>957</v>
      </c>
      <c r="W57" s="587">
        <f t="shared" si="9"/>
        <v>19.350000000000001</v>
      </c>
      <c r="X57" s="589"/>
      <c r="Y57" s="587" t="str">
        <f t="shared" si="10"/>
        <v/>
      </c>
      <c r="Z57" s="589"/>
      <c r="AA57" s="587" t="str">
        <f t="shared" si="11"/>
        <v/>
      </c>
      <c r="AB57" s="589"/>
      <c r="AC57" s="587" t="str">
        <f t="shared" si="12"/>
        <v/>
      </c>
      <c r="AD57" s="586"/>
      <c r="AE57" s="587" t="str">
        <f t="shared" si="13"/>
        <v/>
      </c>
    </row>
    <row r="58" spans="2:31">
      <c r="B58" s="586" t="s">
        <v>333</v>
      </c>
      <c r="C58" s="587">
        <v>4.2359999999999998</v>
      </c>
      <c r="D58" s="586" t="s">
        <v>957</v>
      </c>
      <c r="E58" s="587">
        <v>5</v>
      </c>
      <c r="F58" s="587">
        <f t="shared" si="18"/>
        <v>21.18</v>
      </c>
      <c r="G58" s="587">
        <f t="shared" si="19"/>
        <v>18.472000000000001</v>
      </c>
      <c r="H58" s="589" t="s">
        <v>957</v>
      </c>
      <c r="I58" s="587">
        <f t="shared" si="20"/>
        <v>21.18</v>
      </c>
      <c r="J58" s="589" t="s">
        <v>957</v>
      </c>
      <c r="K58" s="587">
        <f t="shared" si="3"/>
        <v>18.472000000000001</v>
      </c>
      <c r="L58" s="587"/>
      <c r="M58" s="587"/>
      <c r="N58" s="587"/>
      <c r="O58" s="587" t="str">
        <f t="shared" si="5"/>
        <v/>
      </c>
      <c r="P58" s="587"/>
      <c r="Q58" s="587" t="str">
        <f t="shared" si="6"/>
        <v/>
      </c>
      <c r="R58" s="587"/>
      <c r="S58" s="587" t="str">
        <f t="shared" si="7"/>
        <v/>
      </c>
      <c r="T58" s="587"/>
      <c r="U58" s="587" t="str">
        <f t="shared" si="8"/>
        <v/>
      </c>
      <c r="V58" s="589" t="s">
        <v>957</v>
      </c>
      <c r="W58" s="587">
        <f t="shared" si="9"/>
        <v>21.18</v>
      </c>
      <c r="X58" s="589"/>
      <c r="Y58" s="587" t="str">
        <f t="shared" si="10"/>
        <v/>
      </c>
      <c r="Z58" s="589"/>
      <c r="AA58" s="587" t="str">
        <f t="shared" si="11"/>
        <v/>
      </c>
      <c r="AB58" s="589"/>
      <c r="AC58" s="587" t="str">
        <f t="shared" si="12"/>
        <v/>
      </c>
      <c r="AD58" s="586"/>
      <c r="AE58" s="587" t="str">
        <f t="shared" si="13"/>
        <v/>
      </c>
    </row>
    <row r="59" spans="2:31">
      <c r="B59" s="586" t="s">
        <v>334</v>
      </c>
      <c r="C59" s="587">
        <v>4.2359999999999998</v>
      </c>
      <c r="D59" s="586" t="s">
        <v>957</v>
      </c>
      <c r="E59" s="587">
        <v>5</v>
      </c>
      <c r="F59" s="587">
        <f t="shared" si="18"/>
        <v>21.18</v>
      </c>
      <c r="G59" s="587">
        <f t="shared" si="19"/>
        <v>18.472000000000001</v>
      </c>
      <c r="H59" s="589" t="s">
        <v>957</v>
      </c>
      <c r="I59" s="587">
        <f t="shared" si="20"/>
        <v>21.18</v>
      </c>
      <c r="J59" s="589" t="s">
        <v>957</v>
      </c>
      <c r="K59" s="587">
        <f t="shared" si="3"/>
        <v>18.472000000000001</v>
      </c>
      <c r="L59" s="587"/>
      <c r="M59" s="587"/>
      <c r="N59" s="587"/>
      <c r="O59" s="587" t="str">
        <f t="shared" si="5"/>
        <v/>
      </c>
      <c r="P59" s="587"/>
      <c r="Q59" s="587" t="str">
        <f t="shared" si="6"/>
        <v/>
      </c>
      <c r="R59" s="587"/>
      <c r="S59" s="587" t="str">
        <f t="shared" si="7"/>
        <v/>
      </c>
      <c r="T59" s="587"/>
      <c r="U59" s="587" t="str">
        <f t="shared" si="8"/>
        <v/>
      </c>
      <c r="V59" s="589" t="s">
        <v>957</v>
      </c>
      <c r="W59" s="587">
        <f t="shared" si="9"/>
        <v>21.18</v>
      </c>
      <c r="X59" s="589"/>
      <c r="Y59" s="587" t="str">
        <f t="shared" si="10"/>
        <v/>
      </c>
      <c r="Z59" s="589"/>
      <c r="AA59" s="587" t="str">
        <f t="shared" si="11"/>
        <v/>
      </c>
      <c r="AB59" s="589"/>
      <c r="AC59" s="587" t="str">
        <f t="shared" si="12"/>
        <v/>
      </c>
      <c r="AD59" s="586"/>
      <c r="AE59" s="587" t="str">
        <f t="shared" si="13"/>
        <v/>
      </c>
    </row>
    <row r="60" spans="2:31">
      <c r="B60" s="586" t="s">
        <v>335</v>
      </c>
      <c r="C60" s="587">
        <v>24.635000000000002</v>
      </c>
      <c r="D60" s="586" t="s">
        <v>957</v>
      </c>
      <c r="E60" s="587">
        <v>10.55</v>
      </c>
      <c r="F60" s="587">
        <f t="shared" si="18"/>
        <v>259.89925000000005</v>
      </c>
      <c r="G60" s="587">
        <f t="shared" si="19"/>
        <v>70.37</v>
      </c>
      <c r="H60" s="589" t="s">
        <v>957</v>
      </c>
      <c r="I60" s="587">
        <f t="shared" si="20"/>
        <v>259.89925000000005</v>
      </c>
      <c r="J60" s="589" t="s">
        <v>957</v>
      </c>
      <c r="K60" s="587">
        <f t="shared" si="3"/>
        <v>70.37</v>
      </c>
      <c r="L60" s="587"/>
      <c r="M60" s="587"/>
      <c r="N60" s="587"/>
      <c r="O60" s="587" t="str">
        <f t="shared" si="5"/>
        <v/>
      </c>
      <c r="P60" s="587"/>
      <c r="Q60" s="587" t="str">
        <f t="shared" si="6"/>
        <v/>
      </c>
      <c r="R60" s="587"/>
      <c r="S60" s="587" t="str">
        <f t="shared" si="7"/>
        <v/>
      </c>
      <c r="T60" s="587"/>
      <c r="U60" s="587" t="str">
        <f t="shared" si="8"/>
        <v/>
      </c>
      <c r="V60" s="589"/>
      <c r="W60" s="587" t="str">
        <f t="shared" si="9"/>
        <v/>
      </c>
      <c r="X60" s="589"/>
      <c r="Y60" s="587" t="str">
        <f t="shared" si="10"/>
        <v/>
      </c>
      <c r="Z60" s="589" t="s">
        <v>952</v>
      </c>
      <c r="AA60" s="587">
        <f t="shared" si="11"/>
        <v>259.89925000000005</v>
      </c>
      <c r="AB60" s="589"/>
      <c r="AC60" s="587" t="str">
        <f t="shared" si="12"/>
        <v/>
      </c>
      <c r="AD60" s="586"/>
      <c r="AE60" s="587" t="str">
        <f t="shared" si="13"/>
        <v/>
      </c>
    </row>
    <row r="61" spans="2:31">
      <c r="B61" s="586" t="s">
        <v>336</v>
      </c>
      <c r="C61" s="587"/>
      <c r="D61" s="586"/>
      <c r="E61" s="587"/>
      <c r="F61" s="587">
        <v>33.700000000000003</v>
      </c>
      <c r="G61" s="587">
        <v>28.8</v>
      </c>
      <c r="H61" s="589" t="s">
        <v>957</v>
      </c>
      <c r="I61" s="587">
        <f t="shared" si="20"/>
        <v>33.700000000000003</v>
      </c>
      <c r="J61" s="589" t="s">
        <v>957</v>
      </c>
      <c r="K61" s="587">
        <f t="shared" si="3"/>
        <v>28.8</v>
      </c>
      <c r="L61" s="587"/>
      <c r="M61" s="587"/>
      <c r="N61" s="587"/>
      <c r="O61" s="587" t="str">
        <f t="shared" si="5"/>
        <v/>
      </c>
      <c r="P61" s="587"/>
      <c r="Q61" s="587" t="str">
        <f t="shared" si="6"/>
        <v/>
      </c>
      <c r="R61" s="587"/>
      <c r="S61" s="587" t="str">
        <f t="shared" si="7"/>
        <v/>
      </c>
      <c r="T61" s="587"/>
      <c r="U61" s="587" t="str">
        <f t="shared" si="8"/>
        <v/>
      </c>
      <c r="V61" s="589" t="s">
        <v>957</v>
      </c>
      <c r="W61" s="587">
        <f t="shared" si="9"/>
        <v>33.700000000000003</v>
      </c>
      <c r="X61" s="589"/>
      <c r="Y61" s="587" t="str">
        <f t="shared" si="10"/>
        <v/>
      </c>
      <c r="Z61" s="589"/>
      <c r="AA61" s="587" t="str">
        <f t="shared" si="11"/>
        <v/>
      </c>
      <c r="AB61" s="589"/>
      <c r="AC61" s="587" t="str">
        <f t="shared" si="12"/>
        <v/>
      </c>
      <c r="AD61" s="586"/>
      <c r="AE61" s="587" t="str">
        <f t="shared" si="13"/>
        <v/>
      </c>
    </row>
    <row r="62" spans="2:31">
      <c r="B62" s="586" t="s">
        <v>337</v>
      </c>
      <c r="C62" s="587">
        <v>4</v>
      </c>
      <c r="D62" s="586" t="s">
        <v>957</v>
      </c>
      <c r="E62" s="587">
        <v>4</v>
      </c>
      <c r="F62" s="587">
        <f t="shared" ref="F62:F75" si="21">C62*E62</f>
        <v>16</v>
      </c>
      <c r="G62" s="587">
        <f t="shared" ref="G62:G77" si="22">(C62+E62)*2</f>
        <v>16</v>
      </c>
      <c r="H62" s="589" t="s">
        <v>957</v>
      </c>
      <c r="I62" s="587">
        <f t="shared" si="20"/>
        <v>16</v>
      </c>
      <c r="J62" s="589" t="s">
        <v>957</v>
      </c>
      <c r="K62" s="587">
        <f t="shared" si="3"/>
        <v>16</v>
      </c>
      <c r="L62" s="587"/>
      <c r="M62" s="587"/>
      <c r="N62" s="587"/>
      <c r="O62" s="587" t="str">
        <f t="shared" si="5"/>
        <v/>
      </c>
      <c r="P62" s="587"/>
      <c r="Q62" s="587" t="str">
        <f t="shared" si="6"/>
        <v/>
      </c>
      <c r="R62" s="587"/>
      <c r="S62" s="587" t="str">
        <f t="shared" si="7"/>
        <v/>
      </c>
      <c r="T62" s="587"/>
      <c r="U62" s="587" t="str">
        <f t="shared" si="8"/>
        <v/>
      </c>
      <c r="V62" s="589" t="s">
        <v>957</v>
      </c>
      <c r="W62" s="587">
        <f t="shared" si="9"/>
        <v>16</v>
      </c>
      <c r="X62" s="589"/>
      <c r="Y62" s="587" t="str">
        <f t="shared" si="10"/>
        <v/>
      </c>
      <c r="Z62" s="589"/>
      <c r="AA62" s="587" t="str">
        <f t="shared" si="11"/>
        <v/>
      </c>
      <c r="AB62" s="589"/>
      <c r="AC62" s="587" t="str">
        <f t="shared" si="12"/>
        <v/>
      </c>
      <c r="AD62" s="586"/>
      <c r="AE62" s="587" t="str">
        <f t="shared" si="13"/>
        <v/>
      </c>
    </row>
    <row r="63" spans="2:31">
      <c r="B63" s="586" t="s">
        <v>338</v>
      </c>
      <c r="C63" s="587">
        <v>5.9870000000000001</v>
      </c>
      <c r="D63" s="586" t="s">
        <v>957</v>
      </c>
      <c r="E63" s="587">
        <v>6.2489999999999997</v>
      </c>
      <c r="F63" s="587">
        <f t="shared" si="21"/>
        <v>37.412762999999998</v>
      </c>
      <c r="G63" s="587">
        <f t="shared" si="22"/>
        <v>24.472000000000001</v>
      </c>
      <c r="H63" s="589" t="s">
        <v>957</v>
      </c>
      <c r="I63" s="587">
        <f t="shared" si="20"/>
        <v>37.412762999999998</v>
      </c>
      <c r="J63" s="589" t="s">
        <v>957</v>
      </c>
      <c r="K63" s="587">
        <f t="shared" si="3"/>
        <v>24.472000000000001</v>
      </c>
      <c r="L63" s="587"/>
      <c r="M63" s="587"/>
      <c r="N63" s="587"/>
      <c r="O63" s="587" t="str">
        <f t="shared" si="5"/>
        <v/>
      </c>
      <c r="P63" s="587"/>
      <c r="Q63" s="587" t="str">
        <f t="shared" si="6"/>
        <v/>
      </c>
      <c r="R63" s="587"/>
      <c r="S63" s="587" t="str">
        <f t="shared" si="7"/>
        <v/>
      </c>
      <c r="T63" s="587"/>
      <c r="U63" s="587" t="str">
        <f t="shared" si="8"/>
        <v/>
      </c>
      <c r="V63" s="589" t="s">
        <v>957</v>
      </c>
      <c r="W63" s="587">
        <f t="shared" si="9"/>
        <v>37.412762999999998</v>
      </c>
      <c r="X63" s="589"/>
      <c r="Y63" s="587" t="str">
        <f t="shared" si="10"/>
        <v/>
      </c>
      <c r="Z63" s="589"/>
      <c r="AA63" s="587" t="str">
        <f t="shared" si="11"/>
        <v/>
      </c>
      <c r="AB63" s="589"/>
      <c r="AC63" s="587" t="str">
        <f t="shared" si="12"/>
        <v/>
      </c>
      <c r="AD63" s="586"/>
      <c r="AE63" s="587" t="str">
        <f t="shared" si="13"/>
        <v/>
      </c>
    </row>
    <row r="64" spans="2:31">
      <c r="B64" s="586" t="s">
        <v>339</v>
      </c>
      <c r="C64" s="587">
        <v>5.9870000000000001</v>
      </c>
      <c r="D64" s="586" t="s">
        <v>957</v>
      </c>
      <c r="E64" s="587">
        <v>6.2489999999999997</v>
      </c>
      <c r="F64" s="587">
        <f t="shared" si="21"/>
        <v>37.412762999999998</v>
      </c>
      <c r="G64" s="587">
        <f t="shared" si="22"/>
        <v>24.472000000000001</v>
      </c>
      <c r="H64" s="589" t="s">
        <v>957</v>
      </c>
      <c r="I64" s="587">
        <f t="shared" si="20"/>
        <v>37.412762999999998</v>
      </c>
      <c r="J64" s="589" t="s">
        <v>957</v>
      </c>
      <c r="K64" s="587">
        <f t="shared" si="3"/>
        <v>24.472000000000001</v>
      </c>
      <c r="L64" s="587"/>
      <c r="M64" s="587"/>
      <c r="N64" s="587"/>
      <c r="O64" s="587" t="str">
        <f t="shared" si="5"/>
        <v/>
      </c>
      <c r="P64" s="587"/>
      <c r="Q64" s="587" t="str">
        <f t="shared" si="6"/>
        <v/>
      </c>
      <c r="R64" s="587"/>
      <c r="S64" s="587" t="str">
        <f t="shared" si="7"/>
        <v/>
      </c>
      <c r="T64" s="587"/>
      <c r="U64" s="587" t="str">
        <f t="shared" si="8"/>
        <v/>
      </c>
      <c r="V64" s="589" t="s">
        <v>957</v>
      </c>
      <c r="W64" s="587">
        <f t="shared" si="9"/>
        <v>37.412762999999998</v>
      </c>
      <c r="X64" s="589"/>
      <c r="Y64" s="587" t="str">
        <f t="shared" si="10"/>
        <v/>
      </c>
      <c r="Z64" s="589"/>
      <c r="AA64" s="587" t="str">
        <f t="shared" si="11"/>
        <v/>
      </c>
      <c r="AB64" s="589"/>
      <c r="AC64" s="587" t="str">
        <f t="shared" si="12"/>
        <v/>
      </c>
      <c r="AD64" s="586"/>
      <c r="AE64" s="587" t="str">
        <f t="shared" si="13"/>
        <v/>
      </c>
    </row>
    <row r="65" spans="2:31">
      <c r="B65" s="586" t="s">
        <v>340</v>
      </c>
      <c r="C65" s="587">
        <v>4</v>
      </c>
      <c r="D65" s="586" t="s">
        <v>957</v>
      </c>
      <c r="E65" s="587">
        <v>6.2489999999999997</v>
      </c>
      <c r="F65" s="587">
        <f t="shared" si="21"/>
        <v>24.995999999999999</v>
      </c>
      <c r="G65" s="587">
        <f t="shared" si="22"/>
        <v>20.497999999999998</v>
      </c>
      <c r="H65" s="589" t="s">
        <v>957</v>
      </c>
      <c r="I65" s="587">
        <f t="shared" si="20"/>
        <v>24.995999999999999</v>
      </c>
      <c r="J65" s="589" t="s">
        <v>957</v>
      </c>
      <c r="K65" s="587">
        <f t="shared" si="3"/>
        <v>20.497999999999998</v>
      </c>
      <c r="L65" s="587"/>
      <c r="M65" s="587"/>
      <c r="N65" s="587"/>
      <c r="O65" s="587" t="str">
        <f t="shared" si="5"/>
        <v/>
      </c>
      <c r="P65" s="587"/>
      <c r="Q65" s="587" t="str">
        <f t="shared" si="6"/>
        <v/>
      </c>
      <c r="R65" s="587"/>
      <c r="S65" s="587" t="str">
        <f t="shared" si="7"/>
        <v/>
      </c>
      <c r="T65" s="587"/>
      <c r="U65" s="587" t="str">
        <f t="shared" si="8"/>
        <v/>
      </c>
      <c r="V65" s="589" t="s">
        <v>957</v>
      </c>
      <c r="W65" s="587">
        <f t="shared" si="9"/>
        <v>24.995999999999999</v>
      </c>
      <c r="X65" s="589"/>
      <c r="Y65" s="587" t="str">
        <f t="shared" si="10"/>
        <v/>
      </c>
      <c r="Z65" s="589"/>
      <c r="AA65" s="587" t="str">
        <f t="shared" si="11"/>
        <v/>
      </c>
      <c r="AB65" s="589"/>
      <c r="AC65" s="587" t="str">
        <f t="shared" si="12"/>
        <v/>
      </c>
      <c r="AD65" s="586"/>
      <c r="AE65" s="587" t="str">
        <f t="shared" si="13"/>
        <v/>
      </c>
    </row>
    <row r="66" spans="2:31">
      <c r="B66" s="586" t="s">
        <v>341</v>
      </c>
      <c r="C66" s="587">
        <v>5.5</v>
      </c>
      <c r="D66" s="586" t="s">
        <v>957</v>
      </c>
      <c r="E66" s="587">
        <v>3.95</v>
      </c>
      <c r="F66" s="587">
        <f t="shared" si="21"/>
        <v>21.725000000000001</v>
      </c>
      <c r="G66" s="587">
        <f t="shared" si="22"/>
        <v>18.899999999999999</v>
      </c>
      <c r="H66" s="589" t="s">
        <v>957</v>
      </c>
      <c r="I66" s="587">
        <f t="shared" si="20"/>
        <v>21.725000000000001</v>
      </c>
      <c r="J66" s="589" t="s">
        <v>957</v>
      </c>
      <c r="K66" s="587">
        <f t="shared" si="3"/>
        <v>18.899999999999999</v>
      </c>
      <c r="L66" s="587"/>
      <c r="M66" s="587"/>
      <c r="N66" s="587"/>
      <c r="O66" s="587" t="str">
        <f t="shared" si="5"/>
        <v/>
      </c>
      <c r="P66" s="587"/>
      <c r="Q66" s="587" t="str">
        <f t="shared" si="6"/>
        <v/>
      </c>
      <c r="R66" s="587"/>
      <c r="S66" s="587" t="str">
        <f t="shared" si="7"/>
        <v/>
      </c>
      <c r="T66" s="587"/>
      <c r="U66" s="587" t="str">
        <f t="shared" si="8"/>
        <v/>
      </c>
      <c r="V66" s="589" t="s">
        <v>957</v>
      </c>
      <c r="W66" s="587">
        <f t="shared" si="9"/>
        <v>21.725000000000001</v>
      </c>
      <c r="X66" s="589"/>
      <c r="Y66" s="587" t="str">
        <f t="shared" si="10"/>
        <v/>
      </c>
      <c r="Z66" s="589"/>
      <c r="AA66" s="587" t="str">
        <f t="shared" si="11"/>
        <v/>
      </c>
      <c r="AB66" s="589"/>
      <c r="AC66" s="587" t="str">
        <f t="shared" si="12"/>
        <v/>
      </c>
      <c r="AD66" s="586"/>
      <c r="AE66" s="587" t="str">
        <f t="shared" si="13"/>
        <v/>
      </c>
    </row>
    <row r="67" spans="2:31">
      <c r="B67" s="586" t="s">
        <v>302</v>
      </c>
      <c r="C67" s="587">
        <v>3</v>
      </c>
      <c r="D67" s="586" t="s">
        <v>957</v>
      </c>
      <c r="E67" s="587">
        <v>3.95</v>
      </c>
      <c r="F67" s="587">
        <f t="shared" si="21"/>
        <v>11.850000000000001</v>
      </c>
      <c r="G67" s="587">
        <f t="shared" si="22"/>
        <v>13.9</v>
      </c>
      <c r="H67" s="589" t="s">
        <v>957</v>
      </c>
      <c r="I67" s="587">
        <f t="shared" si="20"/>
        <v>11.850000000000001</v>
      </c>
      <c r="J67" s="589" t="s">
        <v>957</v>
      </c>
      <c r="K67" s="587">
        <f t="shared" si="3"/>
        <v>13.9</v>
      </c>
      <c r="L67" s="587"/>
      <c r="M67" s="587"/>
      <c r="N67" s="587"/>
      <c r="O67" s="587" t="str">
        <f t="shared" si="5"/>
        <v/>
      </c>
      <c r="P67" s="587"/>
      <c r="Q67" s="587" t="str">
        <f t="shared" si="6"/>
        <v/>
      </c>
      <c r="R67" s="587"/>
      <c r="S67" s="587" t="str">
        <f t="shared" si="7"/>
        <v/>
      </c>
      <c r="T67" s="587"/>
      <c r="U67" s="587" t="str">
        <f t="shared" si="8"/>
        <v/>
      </c>
      <c r="V67" s="589" t="s">
        <v>957</v>
      </c>
      <c r="W67" s="587">
        <f t="shared" si="9"/>
        <v>11.850000000000001</v>
      </c>
      <c r="X67" s="589"/>
      <c r="Y67" s="587" t="str">
        <f t="shared" si="10"/>
        <v/>
      </c>
      <c r="Z67" s="589"/>
      <c r="AA67" s="587" t="str">
        <f t="shared" si="11"/>
        <v/>
      </c>
      <c r="AB67" s="589"/>
      <c r="AC67" s="587" t="str">
        <f t="shared" si="12"/>
        <v/>
      </c>
      <c r="AD67" s="586"/>
      <c r="AE67" s="587" t="str">
        <f t="shared" si="13"/>
        <v/>
      </c>
    </row>
    <row r="68" spans="2:31">
      <c r="B68" s="586" t="s">
        <v>342</v>
      </c>
      <c r="C68" s="587">
        <v>3</v>
      </c>
      <c r="D68" s="586" t="s">
        <v>957</v>
      </c>
      <c r="E68" s="587">
        <v>3.95</v>
      </c>
      <c r="F68" s="587">
        <f t="shared" si="21"/>
        <v>11.850000000000001</v>
      </c>
      <c r="G68" s="587">
        <f t="shared" si="22"/>
        <v>13.9</v>
      </c>
      <c r="H68" s="589" t="s">
        <v>957</v>
      </c>
      <c r="I68" s="587">
        <f t="shared" si="20"/>
        <v>11.850000000000001</v>
      </c>
      <c r="J68" s="589" t="s">
        <v>957</v>
      </c>
      <c r="K68" s="587">
        <f t="shared" si="3"/>
        <v>13.9</v>
      </c>
      <c r="L68" s="587"/>
      <c r="M68" s="587"/>
      <c r="N68" s="587"/>
      <c r="O68" s="587" t="str">
        <f t="shared" si="5"/>
        <v/>
      </c>
      <c r="P68" s="587"/>
      <c r="Q68" s="587" t="str">
        <f t="shared" si="6"/>
        <v/>
      </c>
      <c r="R68" s="587"/>
      <c r="S68" s="587" t="str">
        <f t="shared" si="7"/>
        <v/>
      </c>
      <c r="T68" s="587"/>
      <c r="U68" s="587" t="str">
        <f t="shared" si="8"/>
        <v/>
      </c>
      <c r="V68" s="589" t="s">
        <v>957</v>
      </c>
      <c r="W68" s="587">
        <f t="shared" si="9"/>
        <v>11.850000000000001</v>
      </c>
      <c r="X68" s="589"/>
      <c r="Y68" s="587" t="str">
        <f t="shared" si="10"/>
        <v/>
      </c>
      <c r="Z68" s="589"/>
      <c r="AA68" s="587" t="str">
        <f t="shared" si="11"/>
        <v/>
      </c>
      <c r="AB68" s="589"/>
      <c r="AC68" s="587" t="str">
        <f t="shared" si="12"/>
        <v/>
      </c>
      <c r="AD68" s="586"/>
      <c r="AE68" s="587" t="str">
        <f t="shared" si="13"/>
        <v/>
      </c>
    </row>
    <row r="69" spans="2:31">
      <c r="B69" s="586" t="s">
        <v>343</v>
      </c>
      <c r="C69" s="587">
        <v>3</v>
      </c>
      <c r="D69" s="586" t="s">
        <v>957</v>
      </c>
      <c r="E69" s="587">
        <v>3.95</v>
      </c>
      <c r="F69" s="587">
        <f t="shared" si="21"/>
        <v>11.850000000000001</v>
      </c>
      <c r="G69" s="587">
        <f t="shared" si="22"/>
        <v>13.9</v>
      </c>
      <c r="H69" s="589" t="s">
        <v>957</v>
      </c>
      <c r="I69" s="587">
        <f t="shared" si="20"/>
        <v>11.850000000000001</v>
      </c>
      <c r="J69" s="589" t="s">
        <v>957</v>
      </c>
      <c r="K69" s="587">
        <f t="shared" si="3"/>
        <v>13.9</v>
      </c>
      <c r="L69" s="587"/>
      <c r="M69" s="587"/>
      <c r="N69" s="587"/>
      <c r="O69" s="587" t="str">
        <f t="shared" si="5"/>
        <v/>
      </c>
      <c r="P69" s="587"/>
      <c r="Q69" s="587" t="str">
        <f t="shared" si="6"/>
        <v/>
      </c>
      <c r="R69" s="587"/>
      <c r="S69" s="587" t="str">
        <f t="shared" si="7"/>
        <v/>
      </c>
      <c r="T69" s="587"/>
      <c r="U69" s="587" t="str">
        <f t="shared" si="8"/>
        <v/>
      </c>
      <c r="V69" s="589" t="s">
        <v>957</v>
      </c>
      <c r="W69" s="587">
        <f t="shared" si="9"/>
        <v>11.850000000000001</v>
      </c>
      <c r="X69" s="589"/>
      <c r="Y69" s="587" t="str">
        <f t="shared" si="10"/>
        <v/>
      </c>
      <c r="Z69" s="589"/>
      <c r="AA69" s="587" t="str">
        <f t="shared" si="11"/>
        <v/>
      </c>
      <c r="AB69" s="589"/>
      <c r="AC69" s="587" t="str">
        <f t="shared" si="12"/>
        <v/>
      </c>
      <c r="AD69" s="586"/>
      <c r="AE69" s="587" t="str">
        <f t="shared" si="13"/>
        <v/>
      </c>
    </row>
    <row r="70" spans="2:31">
      <c r="B70" s="586" t="s">
        <v>344</v>
      </c>
      <c r="C70" s="587">
        <v>3</v>
      </c>
      <c r="D70" s="586" t="s">
        <v>957</v>
      </c>
      <c r="E70" s="587">
        <v>3.95</v>
      </c>
      <c r="F70" s="587">
        <f t="shared" si="21"/>
        <v>11.850000000000001</v>
      </c>
      <c r="G70" s="587">
        <f t="shared" si="22"/>
        <v>13.9</v>
      </c>
      <c r="H70" s="589" t="s">
        <v>957</v>
      </c>
      <c r="I70" s="587">
        <f t="shared" si="20"/>
        <v>11.850000000000001</v>
      </c>
      <c r="J70" s="589" t="s">
        <v>957</v>
      </c>
      <c r="K70" s="587">
        <f t="shared" ref="K70:K133" si="23">IF(J70="x",G70,"")</f>
        <v>13.9</v>
      </c>
      <c r="L70" s="587"/>
      <c r="M70" s="587"/>
      <c r="N70" s="587"/>
      <c r="O70" s="587" t="str">
        <f t="shared" ref="O70:O77" si="24">IF(N70="x",F70,"")</f>
        <v/>
      </c>
      <c r="P70" s="587"/>
      <c r="Q70" s="587" t="str">
        <f t="shared" ref="Q70:Q133" si="25">IF(P70="x",G70,"")</f>
        <v/>
      </c>
      <c r="R70" s="587"/>
      <c r="S70" s="587" t="str">
        <f t="shared" ref="S70:S77" si="26">IF(R70="x",F70,"")</f>
        <v/>
      </c>
      <c r="T70" s="587"/>
      <c r="U70" s="587" t="str">
        <f t="shared" ref="U70:U75" si="27">IF(T70="x",F70,"")</f>
        <v/>
      </c>
      <c r="V70" s="589" t="s">
        <v>957</v>
      </c>
      <c r="W70" s="587">
        <f>IF(V70="x",F70,"")</f>
        <v>11.850000000000001</v>
      </c>
      <c r="X70" s="589"/>
      <c r="Y70" s="587" t="str">
        <f t="shared" ref="Y70:Y77" si="28">IF(X70="x",F70,"")</f>
        <v/>
      </c>
      <c r="Z70" s="589"/>
      <c r="AA70" s="587" t="str">
        <f t="shared" ref="AA70:AA138" si="29">IF(Z70="x",F70,"")</f>
        <v/>
      </c>
      <c r="AB70" s="589"/>
      <c r="AC70" s="587" t="str">
        <f t="shared" ref="AC70:AC138" si="30">IF(AB70="x",F70,"")</f>
        <v/>
      </c>
      <c r="AD70" s="586"/>
      <c r="AE70" s="587" t="str">
        <f t="shared" ref="AE70:AE133" si="31">IF(AD70="x",F70,"")</f>
        <v/>
      </c>
    </row>
    <row r="71" spans="2:31">
      <c r="B71" s="586" t="s">
        <v>345</v>
      </c>
      <c r="C71" s="587">
        <v>6.55</v>
      </c>
      <c r="D71" s="586" t="s">
        <v>957</v>
      </c>
      <c r="E71" s="587">
        <v>3.95</v>
      </c>
      <c r="F71" s="587">
        <f t="shared" si="21"/>
        <v>25.872499999999999</v>
      </c>
      <c r="G71" s="587">
        <f t="shared" si="22"/>
        <v>21</v>
      </c>
      <c r="H71" s="589" t="s">
        <v>957</v>
      </c>
      <c r="I71" s="587">
        <f>IF(H71="x",$F71,"")</f>
        <v>25.872499999999999</v>
      </c>
      <c r="J71" s="589" t="s">
        <v>957</v>
      </c>
      <c r="K71" s="587">
        <f t="shared" si="23"/>
        <v>21</v>
      </c>
      <c r="L71" s="587"/>
      <c r="M71" s="587"/>
      <c r="N71" s="587"/>
      <c r="O71" s="587" t="str">
        <f t="shared" si="24"/>
        <v/>
      </c>
      <c r="P71" s="587"/>
      <c r="Q71" s="587" t="str">
        <f t="shared" si="25"/>
        <v/>
      </c>
      <c r="R71" s="587"/>
      <c r="S71" s="587" t="str">
        <f t="shared" si="26"/>
        <v/>
      </c>
      <c r="T71" s="587"/>
      <c r="U71" s="587" t="str">
        <f t="shared" si="27"/>
        <v/>
      </c>
      <c r="V71" s="589" t="s">
        <v>957</v>
      </c>
      <c r="W71" s="587">
        <f>IF(V71="x",F71,"")</f>
        <v>25.872499999999999</v>
      </c>
      <c r="X71" s="589"/>
      <c r="Y71" s="587" t="str">
        <f t="shared" si="28"/>
        <v/>
      </c>
      <c r="Z71" s="589"/>
      <c r="AA71" s="587" t="str">
        <f t="shared" si="29"/>
        <v/>
      </c>
      <c r="AB71" s="589"/>
      <c r="AC71" s="587" t="str">
        <f t="shared" si="30"/>
        <v/>
      </c>
      <c r="AD71" s="586"/>
      <c r="AE71" s="587" t="str">
        <f t="shared" si="31"/>
        <v/>
      </c>
    </row>
    <row r="72" spans="2:31">
      <c r="B72" s="586" t="s">
        <v>2306</v>
      </c>
      <c r="C72" s="587">
        <v>2.25</v>
      </c>
      <c r="D72" s="586" t="s">
        <v>952</v>
      </c>
      <c r="E72" s="587">
        <v>3.65</v>
      </c>
      <c r="F72" s="587">
        <f t="shared" si="21"/>
        <v>8.2125000000000004</v>
      </c>
      <c r="G72" s="587">
        <f t="shared" si="22"/>
        <v>11.8</v>
      </c>
      <c r="H72" s="589"/>
      <c r="I72" s="587" t="str">
        <f t="shared" ref="I72:I77" si="32">IF(H72="x",$F72,"")</f>
        <v/>
      </c>
      <c r="J72" s="589"/>
      <c r="K72" s="587" t="str">
        <f t="shared" si="23"/>
        <v/>
      </c>
      <c r="L72" s="587" t="s">
        <v>952</v>
      </c>
      <c r="M72" s="587">
        <f t="shared" ref="M72:M77" si="33">IF(L72="x",$F72,"")</f>
        <v>8.2125000000000004</v>
      </c>
      <c r="N72" s="587"/>
      <c r="O72" s="587" t="str">
        <f t="shared" si="24"/>
        <v/>
      </c>
      <c r="P72" s="587"/>
      <c r="Q72" s="587" t="str">
        <f t="shared" si="25"/>
        <v/>
      </c>
      <c r="R72" s="587"/>
      <c r="S72" s="587" t="str">
        <f t="shared" si="26"/>
        <v/>
      </c>
      <c r="T72" s="587"/>
      <c r="U72" s="587" t="str">
        <f t="shared" si="27"/>
        <v/>
      </c>
      <c r="V72" s="589"/>
      <c r="W72" s="587"/>
      <c r="X72" s="589"/>
      <c r="Y72" s="587" t="str">
        <f t="shared" si="28"/>
        <v/>
      </c>
      <c r="Z72" s="589"/>
      <c r="AA72" s="587" t="str">
        <f t="shared" si="29"/>
        <v/>
      </c>
      <c r="AB72" s="589"/>
      <c r="AC72" s="587" t="str">
        <f t="shared" si="30"/>
        <v/>
      </c>
      <c r="AD72" s="586"/>
      <c r="AE72" s="587" t="str">
        <f t="shared" si="31"/>
        <v/>
      </c>
    </row>
    <row r="73" spans="2:31">
      <c r="B73" s="590" t="s">
        <v>457</v>
      </c>
      <c r="C73" s="587">
        <v>3.5</v>
      </c>
      <c r="D73" s="586" t="s">
        <v>952</v>
      </c>
      <c r="E73" s="587">
        <v>6.62</v>
      </c>
      <c r="F73" s="587">
        <f t="shared" si="21"/>
        <v>23.17</v>
      </c>
      <c r="G73" s="587">
        <f t="shared" si="22"/>
        <v>20.240000000000002</v>
      </c>
      <c r="H73" s="589"/>
      <c r="I73" s="587" t="str">
        <f t="shared" si="32"/>
        <v/>
      </c>
      <c r="J73" s="589"/>
      <c r="K73" s="587" t="str">
        <f t="shared" si="23"/>
        <v/>
      </c>
      <c r="L73" s="587" t="s">
        <v>952</v>
      </c>
      <c r="M73" s="587">
        <f t="shared" si="33"/>
        <v>23.17</v>
      </c>
      <c r="N73" s="587"/>
      <c r="O73" s="587" t="str">
        <f t="shared" si="24"/>
        <v/>
      </c>
      <c r="P73" s="587"/>
      <c r="Q73" s="587" t="str">
        <f t="shared" si="25"/>
        <v/>
      </c>
      <c r="R73" s="587"/>
      <c r="S73" s="587" t="str">
        <f t="shared" si="26"/>
        <v/>
      </c>
      <c r="T73" s="587"/>
      <c r="U73" s="587" t="str">
        <f t="shared" si="27"/>
        <v/>
      </c>
      <c r="V73" s="589"/>
      <c r="W73" s="587"/>
      <c r="X73" s="589"/>
      <c r="Y73" s="587" t="str">
        <f t="shared" si="28"/>
        <v/>
      </c>
      <c r="Z73" s="589"/>
      <c r="AA73" s="587" t="str">
        <f t="shared" si="29"/>
        <v/>
      </c>
      <c r="AB73" s="589"/>
      <c r="AC73" s="587" t="str">
        <f t="shared" si="30"/>
        <v/>
      </c>
      <c r="AD73" s="586"/>
      <c r="AE73" s="587" t="str">
        <f t="shared" si="31"/>
        <v/>
      </c>
    </row>
    <row r="74" spans="2:31">
      <c r="B74" s="590" t="s">
        <v>307</v>
      </c>
      <c r="C74" s="587">
        <v>2.25</v>
      </c>
      <c r="D74" s="586" t="s">
        <v>952</v>
      </c>
      <c r="E74" s="587">
        <v>3.65</v>
      </c>
      <c r="F74" s="587">
        <f t="shared" si="21"/>
        <v>8.2125000000000004</v>
      </c>
      <c r="G74" s="587">
        <f t="shared" si="22"/>
        <v>11.8</v>
      </c>
      <c r="H74" s="589"/>
      <c r="I74" s="587"/>
      <c r="J74" s="589"/>
      <c r="K74" s="587" t="str">
        <f t="shared" si="23"/>
        <v/>
      </c>
      <c r="L74" s="587" t="s">
        <v>952</v>
      </c>
      <c r="M74" s="587">
        <f t="shared" si="33"/>
        <v>8.2125000000000004</v>
      </c>
      <c r="N74" s="587"/>
      <c r="O74" s="587" t="str">
        <f t="shared" si="24"/>
        <v/>
      </c>
      <c r="P74" s="587"/>
      <c r="Q74" s="587" t="str">
        <f t="shared" si="25"/>
        <v/>
      </c>
      <c r="R74" s="587"/>
      <c r="S74" s="587" t="str">
        <f t="shared" si="26"/>
        <v/>
      </c>
      <c r="T74" s="587"/>
      <c r="U74" s="587" t="str">
        <f t="shared" si="27"/>
        <v/>
      </c>
      <c r="V74" s="589"/>
      <c r="W74" s="587"/>
      <c r="X74" s="589"/>
      <c r="Y74" s="587" t="str">
        <f t="shared" si="28"/>
        <v/>
      </c>
      <c r="Z74" s="589"/>
      <c r="AA74" s="587" t="str">
        <f t="shared" si="29"/>
        <v/>
      </c>
      <c r="AB74" s="589"/>
      <c r="AC74" s="587" t="str">
        <f t="shared" si="30"/>
        <v/>
      </c>
      <c r="AD74" s="586"/>
      <c r="AE74" s="587" t="str">
        <f t="shared" si="31"/>
        <v/>
      </c>
    </row>
    <row r="75" spans="2:31">
      <c r="B75" s="590" t="s">
        <v>458</v>
      </c>
      <c r="C75" s="587">
        <v>3.5</v>
      </c>
      <c r="D75" s="586" t="s">
        <v>952</v>
      </c>
      <c r="E75" s="587">
        <v>6.62</v>
      </c>
      <c r="F75" s="587">
        <f t="shared" si="21"/>
        <v>23.17</v>
      </c>
      <c r="G75" s="587">
        <f t="shared" si="22"/>
        <v>20.240000000000002</v>
      </c>
      <c r="H75" s="589"/>
      <c r="I75" s="587" t="str">
        <f t="shared" si="32"/>
        <v/>
      </c>
      <c r="J75" s="589"/>
      <c r="K75" s="587" t="str">
        <f t="shared" si="23"/>
        <v/>
      </c>
      <c r="L75" s="587" t="s">
        <v>952</v>
      </c>
      <c r="M75" s="587">
        <f t="shared" si="33"/>
        <v>23.17</v>
      </c>
      <c r="N75" s="587"/>
      <c r="O75" s="587" t="str">
        <f t="shared" si="24"/>
        <v/>
      </c>
      <c r="P75" s="587"/>
      <c r="Q75" s="587" t="str">
        <f t="shared" si="25"/>
        <v/>
      </c>
      <c r="R75" s="587"/>
      <c r="S75" s="587" t="str">
        <f t="shared" si="26"/>
        <v/>
      </c>
      <c r="T75" s="587"/>
      <c r="U75" s="587" t="str">
        <f t="shared" si="27"/>
        <v/>
      </c>
      <c r="V75" s="589"/>
      <c r="W75" s="587"/>
      <c r="X75" s="589"/>
      <c r="Y75" s="587" t="str">
        <f t="shared" si="28"/>
        <v/>
      </c>
      <c r="Z75" s="589"/>
      <c r="AA75" s="587" t="str">
        <f t="shared" si="29"/>
        <v/>
      </c>
      <c r="AB75" s="589"/>
      <c r="AC75" s="587" t="str">
        <f t="shared" si="30"/>
        <v/>
      </c>
      <c r="AD75" s="586"/>
      <c r="AE75" s="587" t="str">
        <f t="shared" si="31"/>
        <v/>
      </c>
    </row>
    <row r="76" spans="2:31">
      <c r="B76" s="590" t="s">
        <v>459</v>
      </c>
      <c r="C76" s="587"/>
      <c r="D76" s="586"/>
      <c r="E76" s="587"/>
      <c r="F76" s="587"/>
      <c r="G76" s="587"/>
      <c r="H76" s="589"/>
      <c r="I76" s="587" t="str">
        <f t="shared" si="32"/>
        <v/>
      </c>
      <c r="J76" s="589"/>
      <c r="K76" s="587" t="str">
        <f t="shared" si="23"/>
        <v/>
      </c>
      <c r="L76" s="587"/>
      <c r="M76" s="587" t="str">
        <f t="shared" si="33"/>
        <v/>
      </c>
      <c r="N76" s="587"/>
      <c r="O76" s="587"/>
      <c r="P76" s="587"/>
      <c r="Q76" s="587" t="str">
        <f t="shared" si="25"/>
        <v/>
      </c>
      <c r="R76" s="587"/>
      <c r="S76" s="587"/>
      <c r="T76" s="587"/>
      <c r="U76" s="587"/>
      <c r="V76" s="589"/>
      <c r="W76" s="587"/>
      <c r="X76" s="589"/>
      <c r="Y76" s="587"/>
      <c r="Z76" s="589"/>
      <c r="AA76" s="587"/>
      <c r="AB76" s="589"/>
      <c r="AC76" s="587"/>
      <c r="AD76" s="586"/>
      <c r="AE76" s="587" t="str">
        <f t="shared" si="31"/>
        <v/>
      </c>
    </row>
    <row r="77" spans="2:31">
      <c r="B77" s="586" t="s">
        <v>346</v>
      </c>
      <c r="C77" s="587"/>
      <c r="D77" s="586"/>
      <c r="E77" s="587"/>
      <c r="F77" s="587">
        <v>936.78</v>
      </c>
      <c r="G77" s="587">
        <f t="shared" si="22"/>
        <v>0</v>
      </c>
      <c r="H77" s="589"/>
      <c r="I77" s="587" t="str">
        <f t="shared" si="32"/>
        <v/>
      </c>
      <c r="J77" s="589"/>
      <c r="K77" s="587" t="str">
        <f t="shared" si="23"/>
        <v/>
      </c>
      <c r="L77" s="587" t="s">
        <v>952</v>
      </c>
      <c r="M77" s="587">
        <f t="shared" si="33"/>
        <v>936.78</v>
      </c>
      <c r="N77" s="587"/>
      <c r="O77" s="587" t="str">
        <f t="shared" si="24"/>
        <v/>
      </c>
      <c r="P77" s="587"/>
      <c r="Q77" s="587" t="str">
        <f t="shared" si="25"/>
        <v/>
      </c>
      <c r="R77" s="587"/>
      <c r="S77" s="587" t="str">
        <f t="shared" si="26"/>
        <v/>
      </c>
      <c r="T77" s="587"/>
      <c r="U77" s="587" t="str">
        <f>IF(T77="x",F77,"")</f>
        <v/>
      </c>
      <c r="V77" s="589"/>
      <c r="W77" s="587" t="str">
        <f>IF(V77="x",F77,"")</f>
        <v/>
      </c>
      <c r="X77" s="589"/>
      <c r="Y77" s="587" t="str">
        <f t="shared" si="28"/>
        <v/>
      </c>
      <c r="Z77" s="589"/>
      <c r="AA77" s="587" t="str">
        <f t="shared" si="29"/>
        <v/>
      </c>
      <c r="AB77" s="589"/>
      <c r="AC77" s="587" t="str">
        <f t="shared" si="30"/>
        <v/>
      </c>
      <c r="AD77" s="586"/>
      <c r="AE77" s="587" t="str">
        <f t="shared" si="31"/>
        <v/>
      </c>
    </row>
    <row r="78" spans="2:31">
      <c r="B78" s="582" t="s">
        <v>958</v>
      </c>
      <c r="C78" s="583"/>
      <c r="D78" s="583"/>
      <c r="E78" s="583"/>
      <c r="F78" s="583"/>
      <c r="G78" s="583"/>
      <c r="H78" s="584"/>
      <c r="I78" s="583"/>
      <c r="J78" s="584"/>
      <c r="K78" s="587" t="str">
        <f t="shared" si="23"/>
        <v/>
      </c>
      <c r="L78" s="583"/>
      <c r="M78" s="583"/>
      <c r="N78" s="583"/>
      <c r="O78" s="583"/>
      <c r="P78" s="583"/>
      <c r="Q78" s="587" t="str">
        <f t="shared" si="25"/>
        <v/>
      </c>
      <c r="R78" s="583"/>
      <c r="S78" s="583"/>
      <c r="T78" s="583"/>
      <c r="U78" s="583"/>
      <c r="V78" s="583"/>
      <c r="W78" s="583"/>
      <c r="X78" s="583"/>
      <c r="Y78" s="583"/>
      <c r="Z78" s="583"/>
      <c r="AA78" s="587" t="str">
        <f t="shared" si="29"/>
        <v/>
      </c>
      <c r="AB78" s="583"/>
      <c r="AC78" s="587" t="str">
        <f t="shared" si="30"/>
        <v/>
      </c>
      <c r="AD78" s="586"/>
      <c r="AE78" s="587" t="str">
        <f t="shared" si="31"/>
        <v/>
      </c>
    </row>
    <row r="79" spans="2:31">
      <c r="B79" s="591" t="s">
        <v>959</v>
      </c>
      <c r="C79" s="587"/>
      <c r="D79" s="586"/>
      <c r="E79" s="587"/>
      <c r="F79" s="587"/>
      <c r="G79" s="587"/>
      <c r="H79" s="589"/>
      <c r="I79" s="587"/>
      <c r="J79" s="589"/>
      <c r="K79" s="587" t="str">
        <f t="shared" si="23"/>
        <v/>
      </c>
      <c r="L79" s="587"/>
      <c r="M79" s="587"/>
      <c r="N79" s="587"/>
      <c r="O79" s="587" t="str">
        <f>IF(N79="x",F79,"")</f>
        <v/>
      </c>
      <c r="P79" s="587"/>
      <c r="Q79" s="587" t="str">
        <f t="shared" si="25"/>
        <v/>
      </c>
      <c r="R79" s="587"/>
      <c r="S79" s="587" t="str">
        <f>IF(R79="x",F79,"")</f>
        <v/>
      </c>
      <c r="T79" s="587"/>
      <c r="U79" s="587"/>
      <c r="V79" s="587"/>
      <c r="W79" s="587"/>
      <c r="X79" s="587"/>
      <c r="Y79" s="587"/>
      <c r="Z79" s="587"/>
      <c r="AA79" s="587" t="str">
        <f t="shared" si="29"/>
        <v/>
      </c>
      <c r="AB79" s="587"/>
      <c r="AC79" s="587" t="str">
        <f t="shared" si="30"/>
        <v/>
      </c>
      <c r="AD79" s="586"/>
      <c r="AE79" s="587" t="str">
        <f t="shared" si="31"/>
        <v/>
      </c>
    </row>
    <row r="80" spans="2:31">
      <c r="B80" s="586" t="s">
        <v>349</v>
      </c>
      <c r="C80" s="587"/>
      <c r="D80" s="586"/>
      <c r="E80" s="587"/>
      <c r="F80" s="587">
        <f>3.14*5.75^2-0.78</f>
        <v>103.03625000000001</v>
      </c>
      <c r="G80" s="587">
        <f>2*3.14*5.75+3.14</f>
        <v>39.25</v>
      </c>
      <c r="H80" s="589" t="s">
        <v>957</v>
      </c>
      <c r="I80" s="587">
        <f>IF(H80="x",F80,"")</f>
        <v>103.03625000000001</v>
      </c>
      <c r="J80" s="589" t="s">
        <v>957</v>
      </c>
      <c r="K80" s="587">
        <f t="shared" si="23"/>
        <v>39.25</v>
      </c>
      <c r="L80" s="587"/>
      <c r="M80" s="587"/>
      <c r="N80" s="587"/>
      <c r="O80" s="587" t="str">
        <f>IF(N80="x",F80,"")</f>
        <v/>
      </c>
      <c r="P80" s="587"/>
      <c r="Q80" s="587" t="str">
        <f t="shared" si="25"/>
        <v/>
      </c>
      <c r="R80" s="587"/>
      <c r="S80" s="587" t="str">
        <f>IF(R80="x",F80,"")</f>
        <v/>
      </c>
      <c r="T80" s="587"/>
      <c r="U80" s="587" t="str">
        <f>IF(T80="x",F80,"")</f>
        <v/>
      </c>
      <c r="V80" s="587"/>
      <c r="W80" s="587" t="str">
        <f>IF(V80="x",F80,"")</f>
        <v/>
      </c>
      <c r="X80" s="587"/>
      <c r="Y80" s="587" t="str">
        <f t="shared" ref="Y80:Y143" si="34">IF(X80="x",F80,"")</f>
        <v/>
      </c>
      <c r="Z80" s="587"/>
      <c r="AA80" s="587" t="str">
        <f t="shared" si="29"/>
        <v/>
      </c>
      <c r="AB80" s="587" t="s">
        <v>952</v>
      </c>
      <c r="AC80" s="587">
        <f t="shared" si="30"/>
        <v>103.03625000000001</v>
      </c>
      <c r="AD80" s="586"/>
      <c r="AE80" s="587" t="str">
        <f t="shared" si="31"/>
        <v/>
      </c>
    </row>
    <row r="81" spans="2:31">
      <c r="B81" s="586" t="s">
        <v>350</v>
      </c>
      <c r="C81" s="587"/>
      <c r="D81" s="586"/>
      <c r="E81" s="587"/>
      <c r="F81" s="587">
        <v>82.81</v>
      </c>
      <c r="G81" s="587"/>
      <c r="H81" s="589"/>
      <c r="I81" s="587" t="str">
        <f>IF(H81="x",F81,"")</f>
        <v/>
      </c>
      <c r="J81" s="589"/>
      <c r="K81" s="587" t="str">
        <f t="shared" si="23"/>
        <v/>
      </c>
      <c r="L81" s="587" t="s">
        <v>952</v>
      </c>
      <c r="M81" s="587">
        <f>IF(L81="x",$F81,"")</f>
        <v>82.81</v>
      </c>
      <c r="N81" s="587"/>
      <c r="O81" s="587" t="str">
        <f>IF(N81="x",F81,"")</f>
        <v/>
      </c>
      <c r="P81" s="587"/>
      <c r="Q81" s="587" t="str">
        <f t="shared" si="25"/>
        <v/>
      </c>
      <c r="R81" s="587"/>
      <c r="S81" s="587" t="str">
        <f>IF(R81="x",F81,"")</f>
        <v/>
      </c>
      <c r="T81" s="587" t="s">
        <v>952</v>
      </c>
      <c r="U81" s="587">
        <f>IF(T81="x",F81,"")</f>
        <v>82.81</v>
      </c>
      <c r="V81" s="587"/>
      <c r="W81" s="587" t="str">
        <f>IF(V81="x",F81,"")</f>
        <v/>
      </c>
      <c r="X81" s="587"/>
      <c r="Y81" s="587" t="str">
        <f t="shared" si="34"/>
        <v/>
      </c>
      <c r="Z81" s="587"/>
      <c r="AA81" s="587" t="str">
        <f t="shared" si="29"/>
        <v/>
      </c>
      <c r="AB81" s="587"/>
      <c r="AC81" s="587" t="str">
        <f t="shared" si="30"/>
        <v/>
      </c>
      <c r="AD81" s="586"/>
      <c r="AE81" s="587" t="str">
        <f t="shared" si="31"/>
        <v/>
      </c>
    </row>
    <row r="82" spans="2:31">
      <c r="B82" s="592" t="s">
        <v>960</v>
      </c>
      <c r="C82" s="593"/>
      <c r="D82" s="592"/>
      <c r="E82" s="593"/>
      <c r="F82" s="593"/>
      <c r="G82" s="594"/>
      <c r="H82" s="595"/>
      <c r="I82" s="594"/>
      <c r="J82" s="595"/>
      <c r="K82" s="587" t="str">
        <f t="shared" si="23"/>
        <v/>
      </c>
      <c r="L82" s="594"/>
      <c r="M82" s="594"/>
      <c r="N82" s="594"/>
      <c r="O82" s="594"/>
      <c r="P82" s="594"/>
      <c r="Q82" s="587" t="str">
        <f t="shared" si="25"/>
        <v/>
      </c>
      <c r="R82" s="594"/>
      <c r="S82" s="594"/>
      <c r="T82" s="594"/>
      <c r="U82" s="594"/>
      <c r="V82" s="594"/>
      <c r="W82" s="594"/>
      <c r="X82" s="594"/>
      <c r="Y82" s="587" t="str">
        <f t="shared" si="34"/>
        <v/>
      </c>
      <c r="Z82" s="594"/>
      <c r="AA82" s="587" t="str">
        <f t="shared" si="29"/>
        <v/>
      </c>
      <c r="AB82" s="594"/>
      <c r="AC82" s="587" t="str">
        <f t="shared" si="30"/>
        <v/>
      </c>
      <c r="AD82" s="586"/>
      <c r="AE82" s="587" t="str">
        <f t="shared" si="31"/>
        <v/>
      </c>
    </row>
    <row r="83" spans="2:31">
      <c r="B83" s="586" t="s">
        <v>352</v>
      </c>
      <c r="C83" s="587"/>
      <c r="D83" s="586"/>
      <c r="E83" s="587"/>
      <c r="F83" s="587">
        <v>19.190000000000001</v>
      </c>
      <c r="G83" s="587">
        <v>18.059999999999999</v>
      </c>
      <c r="H83" s="589" t="s">
        <v>957</v>
      </c>
      <c r="I83" s="587">
        <f t="shared" ref="I83:I89" si="35">IF(H83="x",F83,"")</f>
        <v>19.190000000000001</v>
      </c>
      <c r="J83" s="589" t="s">
        <v>957</v>
      </c>
      <c r="K83" s="587">
        <f t="shared" si="23"/>
        <v>18.059999999999999</v>
      </c>
      <c r="L83" s="587"/>
      <c r="M83" s="587"/>
      <c r="N83" s="587"/>
      <c r="O83" s="587" t="str">
        <f t="shared" ref="O83:O89" si="36">IF(N83="x",F83,"")</f>
        <v/>
      </c>
      <c r="P83" s="587"/>
      <c r="Q83" s="587" t="str">
        <f t="shared" si="25"/>
        <v/>
      </c>
      <c r="R83" s="587"/>
      <c r="S83" s="587" t="str">
        <f t="shared" ref="S83:S89" si="37">IF(R83="x",F83,"")</f>
        <v/>
      </c>
      <c r="T83" s="587"/>
      <c r="U83" s="587" t="str">
        <f t="shared" ref="U83:U89" si="38">IF(T83="x",F83,"")</f>
        <v/>
      </c>
      <c r="V83" s="587"/>
      <c r="W83" s="587" t="str">
        <f t="shared" ref="W83:W89" si="39">IF(V83="x",F83,"")</f>
        <v/>
      </c>
      <c r="X83" s="587"/>
      <c r="Y83" s="587" t="str">
        <f t="shared" si="34"/>
        <v/>
      </c>
      <c r="Z83" s="587"/>
      <c r="AA83" s="587" t="str">
        <f t="shared" si="29"/>
        <v/>
      </c>
      <c r="AB83" s="587" t="s">
        <v>952</v>
      </c>
      <c r="AC83" s="587">
        <f t="shared" si="30"/>
        <v>19.190000000000001</v>
      </c>
      <c r="AD83" s="586"/>
      <c r="AE83" s="587" t="str">
        <f t="shared" si="31"/>
        <v/>
      </c>
    </row>
    <row r="84" spans="2:31">
      <c r="B84" s="586" t="s">
        <v>308</v>
      </c>
      <c r="C84" s="587"/>
      <c r="D84" s="586"/>
      <c r="E84" s="587"/>
      <c r="F84" s="587">
        <v>5.58</v>
      </c>
      <c r="G84" s="587">
        <v>5.58</v>
      </c>
      <c r="H84" s="589" t="s">
        <v>957</v>
      </c>
      <c r="I84" s="587">
        <f t="shared" si="35"/>
        <v>5.58</v>
      </c>
      <c r="J84" s="589" t="s">
        <v>957</v>
      </c>
      <c r="K84" s="587">
        <f t="shared" si="23"/>
        <v>5.58</v>
      </c>
      <c r="L84" s="587"/>
      <c r="M84" s="587"/>
      <c r="N84" s="587"/>
      <c r="O84" s="587" t="str">
        <f t="shared" si="36"/>
        <v/>
      </c>
      <c r="P84" s="587"/>
      <c r="Q84" s="587" t="str">
        <f t="shared" si="25"/>
        <v/>
      </c>
      <c r="R84" s="587"/>
      <c r="S84" s="587" t="str">
        <f t="shared" si="37"/>
        <v/>
      </c>
      <c r="T84" s="587"/>
      <c r="U84" s="587" t="str">
        <f t="shared" si="38"/>
        <v/>
      </c>
      <c r="V84" s="587"/>
      <c r="W84" s="587" t="str">
        <f t="shared" si="39"/>
        <v/>
      </c>
      <c r="X84" s="587"/>
      <c r="Y84" s="587" t="str">
        <f t="shared" si="34"/>
        <v/>
      </c>
      <c r="Z84" s="587"/>
      <c r="AA84" s="587" t="str">
        <f t="shared" si="29"/>
        <v/>
      </c>
      <c r="AB84" s="587" t="s">
        <v>952</v>
      </c>
      <c r="AC84" s="587">
        <f t="shared" si="30"/>
        <v>5.58</v>
      </c>
      <c r="AD84" s="586"/>
      <c r="AE84" s="587" t="str">
        <f t="shared" si="31"/>
        <v/>
      </c>
    </row>
    <row r="85" spans="2:31">
      <c r="B85" s="586" t="s">
        <v>353</v>
      </c>
      <c r="C85" s="587"/>
      <c r="D85" s="586"/>
      <c r="E85" s="587"/>
      <c r="F85" s="587">
        <v>5.37</v>
      </c>
      <c r="G85" s="587">
        <v>9.3699999999999992</v>
      </c>
      <c r="H85" s="589"/>
      <c r="I85" s="587" t="str">
        <f t="shared" si="35"/>
        <v/>
      </c>
      <c r="J85" s="589"/>
      <c r="K85" s="587" t="str">
        <f t="shared" si="23"/>
        <v/>
      </c>
      <c r="L85" s="587"/>
      <c r="M85" s="587"/>
      <c r="N85" s="587"/>
      <c r="O85" s="587" t="str">
        <f t="shared" si="36"/>
        <v/>
      </c>
      <c r="P85" s="587"/>
      <c r="Q85" s="587" t="str">
        <f t="shared" si="25"/>
        <v/>
      </c>
      <c r="R85" s="587"/>
      <c r="S85" s="587" t="str">
        <f t="shared" si="37"/>
        <v/>
      </c>
      <c r="T85" s="587" t="s">
        <v>952</v>
      </c>
      <c r="U85" s="587">
        <f t="shared" si="38"/>
        <v>5.37</v>
      </c>
      <c r="V85" s="587"/>
      <c r="W85" s="587" t="str">
        <f t="shared" si="39"/>
        <v/>
      </c>
      <c r="X85" s="587"/>
      <c r="Y85" s="587" t="str">
        <f t="shared" si="34"/>
        <v/>
      </c>
      <c r="Z85" s="587"/>
      <c r="AA85" s="587" t="str">
        <f t="shared" si="29"/>
        <v/>
      </c>
      <c r="AB85" s="587" t="s">
        <v>952</v>
      </c>
      <c r="AC85" s="587">
        <f t="shared" si="30"/>
        <v>5.37</v>
      </c>
      <c r="AD85" s="586"/>
      <c r="AE85" s="587" t="str">
        <f t="shared" si="31"/>
        <v/>
      </c>
    </row>
    <row r="86" spans="2:31">
      <c r="B86" s="586" t="s">
        <v>354</v>
      </c>
      <c r="C86" s="587"/>
      <c r="D86" s="586"/>
      <c r="E86" s="587"/>
      <c r="F86" s="587">
        <v>19.420000000000002</v>
      </c>
      <c r="G86" s="587">
        <v>18.16</v>
      </c>
      <c r="H86" s="589" t="s">
        <v>957</v>
      </c>
      <c r="I86" s="587">
        <f t="shared" si="35"/>
        <v>19.420000000000002</v>
      </c>
      <c r="J86" s="589" t="s">
        <v>957</v>
      </c>
      <c r="K86" s="587">
        <f t="shared" si="23"/>
        <v>18.16</v>
      </c>
      <c r="L86" s="587"/>
      <c r="M86" s="587"/>
      <c r="N86" s="587"/>
      <c r="O86" s="587" t="str">
        <f t="shared" si="36"/>
        <v/>
      </c>
      <c r="P86" s="587"/>
      <c r="Q86" s="587" t="str">
        <f t="shared" si="25"/>
        <v/>
      </c>
      <c r="R86" s="587"/>
      <c r="S86" s="587" t="str">
        <f t="shared" si="37"/>
        <v/>
      </c>
      <c r="T86" s="587"/>
      <c r="U86" s="587" t="str">
        <f t="shared" si="38"/>
        <v/>
      </c>
      <c r="V86" s="587"/>
      <c r="W86" s="587" t="str">
        <f t="shared" si="39"/>
        <v/>
      </c>
      <c r="X86" s="587"/>
      <c r="Y86" s="587" t="str">
        <f t="shared" si="34"/>
        <v/>
      </c>
      <c r="Z86" s="587"/>
      <c r="AA86" s="587" t="str">
        <f t="shared" si="29"/>
        <v/>
      </c>
      <c r="AB86" s="587" t="s">
        <v>952</v>
      </c>
      <c r="AC86" s="587">
        <f t="shared" si="30"/>
        <v>19.420000000000002</v>
      </c>
      <c r="AD86" s="586"/>
      <c r="AE86" s="587" t="str">
        <f t="shared" si="31"/>
        <v/>
      </c>
    </row>
    <row r="87" spans="2:31">
      <c r="B87" s="586" t="s">
        <v>355</v>
      </c>
      <c r="C87" s="587"/>
      <c r="D87" s="586"/>
      <c r="E87" s="587"/>
      <c r="F87" s="587">
        <v>20.94</v>
      </c>
      <c r="G87" s="587">
        <v>19.2</v>
      </c>
      <c r="H87" s="589" t="s">
        <v>957</v>
      </c>
      <c r="I87" s="587">
        <f t="shared" si="35"/>
        <v>20.94</v>
      </c>
      <c r="J87" s="589" t="s">
        <v>957</v>
      </c>
      <c r="K87" s="587">
        <f t="shared" si="23"/>
        <v>19.2</v>
      </c>
      <c r="L87" s="587"/>
      <c r="M87" s="587"/>
      <c r="N87" s="587"/>
      <c r="O87" s="587" t="str">
        <f t="shared" si="36"/>
        <v/>
      </c>
      <c r="P87" s="587"/>
      <c r="Q87" s="587" t="str">
        <f t="shared" si="25"/>
        <v/>
      </c>
      <c r="R87" s="587"/>
      <c r="S87" s="587" t="str">
        <f t="shared" si="37"/>
        <v/>
      </c>
      <c r="T87" s="587"/>
      <c r="U87" s="587" t="str">
        <f t="shared" si="38"/>
        <v/>
      </c>
      <c r="V87" s="587"/>
      <c r="W87" s="587" t="str">
        <f t="shared" si="39"/>
        <v/>
      </c>
      <c r="X87" s="587"/>
      <c r="Y87" s="587" t="str">
        <f t="shared" si="34"/>
        <v/>
      </c>
      <c r="Z87" s="587"/>
      <c r="AA87" s="587" t="str">
        <f t="shared" si="29"/>
        <v/>
      </c>
      <c r="AB87" s="587" t="s">
        <v>952</v>
      </c>
      <c r="AC87" s="587">
        <f t="shared" si="30"/>
        <v>20.94</v>
      </c>
      <c r="AD87" s="586"/>
      <c r="AE87" s="587" t="str">
        <f t="shared" si="31"/>
        <v/>
      </c>
    </row>
    <row r="88" spans="2:31">
      <c r="B88" s="586" t="s">
        <v>356</v>
      </c>
      <c r="C88" s="587"/>
      <c r="D88" s="586"/>
      <c r="E88" s="587"/>
      <c r="F88" s="587">
        <v>4.4800000000000004</v>
      </c>
      <c r="G88" s="587">
        <v>8.8000000000000007</v>
      </c>
      <c r="H88" s="589" t="s">
        <v>957</v>
      </c>
      <c r="I88" s="587">
        <f t="shared" si="35"/>
        <v>4.4800000000000004</v>
      </c>
      <c r="J88" s="589" t="s">
        <v>957</v>
      </c>
      <c r="K88" s="587">
        <f t="shared" si="23"/>
        <v>8.8000000000000007</v>
      </c>
      <c r="L88" s="587"/>
      <c r="M88" s="587"/>
      <c r="N88" s="587"/>
      <c r="O88" s="587" t="str">
        <f t="shared" si="36"/>
        <v/>
      </c>
      <c r="P88" s="587"/>
      <c r="Q88" s="587" t="str">
        <f t="shared" si="25"/>
        <v/>
      </c>
      <c r="R88" s="587"/>
      <c r="S88" s="587" t="str">
        <f t="shared" si="37"/>
        <v/>
      </c>
      <c r="T88" s="587"/>
      <c r="U88" s="587" t="str">
        <f t="shared" si="38"/>
        <v/>
      </c>
      <c r="V88" s="587"/>
      <c r="W88" s="587" t="str">
        <f t="shared" si="39"/>
        <v/>
      </c>
      <c r="X88" s="587"/>
      <c r="Y88" s="587" t="str">
        <f t="shared" si="34"/>
        <v/>
      </c>
      <c r="Z88" s="587"/>
      <c r="AA88" s="587" t="str">
        <f t="shared" si="29"/>
        <v/>
      </c>
      <c r="AB88" s="587" t="s">
        <v>952</v>
      </c>
      <c r="AC88" s="587">
        <f t="shared" si="30"/>
        <v>4.4800000000000004</v>
      </c>
      <c r="AD88" s="586"/>
      <c r="AE88" s="587" t="str">
        <f t="shared" si="31"/>
        <v/>
      </c>
    </row>
    <row r="89" spans="2:31">
      <c r="B89" s="586" t="s">
        <v>357</v>
      </c>
      <c r="C89" s="587"/>
      <c r="D89" s="586"/>
      <c r="E89" s="587"/>
      <c r="F89" s="587">
        <v>4.4800000000000004</v>
      </c>
      <c r="G89" s="587">
        <v>8.8000000000000007</v>
      </c>
      <c r="H89" s="589" t="s">
        <v>957</v>
      </c>
      <c r="I89" s="587">
        <f t="shared" si="35"/>
        <v>4.4800000000000004</v>
      </c>
      <c r="J89" s="589" t="s">
        <v>957</v>
      </c>
      <c r="K89" s="587">
        <f t="shared" si="23"/>
        <v>8.8000000000000007</v>
      </c>
      <c r="L89" s="587"/>
      <c r="M89" s="587"/>
      <c r="N89" s="587"/>
      <c r="O89" s="587" t="str">
        <f t="shared" si="36"/>
        <v/>
      </c>
      <c r="P89" s="587"/>
      <c r="Q89" s="587" t="str">
        <f t="shared" si="25"/>
        <v/>
      </c>
      <c r="R89" s="587"/>
      <c r="S89" s="587" t="str">
        <f t="shared" si="37"/>
        <v/>
      </c>
      <c r="T89" s="587"/>
      <c r="U89" s="587" t="str">
        <f t="shared" si="38"/>
        <v/>
      </c>
      <c r="V89" s="587"/>
      <c r="W89" s="587" t="str">
        <f t="shared" si="39"/>
        <v/>
      </c>
      <c r="X89" s="587"/>
      <c r="Y89" s="587" t="str">
        <f t="shared" si="34"/>
        <v/>
      </c>
      <c r="Z89" s="587"/>
      <c r="AA89" s="587" t="str">
        <f t="shared" si="29"/>
        <v/>
      </c>
      <c r="AB89" s="587" t="s">
        <v>952</v>
      </c>
      <c r="AC89" s="587">
        <f t="shared" si="30"/>
        <v>4.4800000000000004</v>
      </c>
      <c r="AD89" s="586"/>
      <c r="AE89" s="587" t="str">
        <f t="shared" si="31"/>
        <v/>
      </c>
    </row>
    <row r="90" spans="2:31">
      <c r="B90" s="592" t="s">
        <v>961</v>
      </c>
      <c r="C90" s="593"/>
      <c r="D90" s="592"/>
      <c r="E90" s="593"/>
      <c r="F90" s="593"/>
      <c r="G90" s="594"/>
      <c r="H90" s="595"/>
      <c r="I90" s="594"/>
      <c r="J90" s="595"/>
      <c r="K90" s="587" t="str">
        <f t="shared" si="23"/>
        <v/>
      </c>
      <c r="L90" s="594"/>
      <c r="M90" s="594"/>
      <c r="N90" s="594"/>
      <c r="O90" s="594"/>
      <c r="P90" s="594"/>
      <c r="Q90" s="587" t="str">
        <f t="shared" si="25"/>
        <v/>
      </c>
      <c r="R90" s="594"/>
      <c r="S90" s="594"/>
      <c r="T90" s="594"/>
      <c r="U90" s="594"/>
      <c r="V90" s="594"/>
      <c r="W90" s="594"/>
      <c r="X90" s="594"/>
      <c r="Y90" s="587" t="str">
        <f t="shared" si="34"/>
        <v/>
      </c>
      <c r="Z90" s="594"/>
      <c r="AA90" s="587" t="str">
        <f t="shared" si="29"/>
        <v/>
      </c>
      <c r="AB90" s="594"/>
      <c r="AC90" s="587" t="str">
        <f t="shared" si="30"/>
        <v/>
      </c>
      <c r="AD90" s="586"/>
      <c r="AE90" s="587" t="str">
        <f t="shared" si="31"/>
        <v/>
      </c>
    </row>
    <row r="91" spans="2:31">
      <c r="B91" s="586" t="s">
        <v>358</v>
      </c>
      <c r="C91" s="587"/>
      <c r="D91" s="586"/>
      <c r="E91" s="587"/>
      <c r="F91" s="587">
        <v>49.83</v>
      </c>
      <c r="G91" s="587">
        <v>31.15</v>
      </c>
      <c r="H91" s="589"/>
      <c r="I91" s="587" t="str">
        <f t="shared" ref="I91:I106" si="40">IF(H91="x",F91,"")</f>
        <v/>
      </c>
      <c r="J91" s="589"/>
      <c r="K91" s="587" t="str">
        <f t="shared" si="23"/>
        <v/>
      </c>
      <c r="L91" s="587"/>
      <c r="M91" s="587"/>
      <c r="N91" s="587"/>
      <c r="O91" s="587" t="str">
        <f t="shared" ref="O91:O106" si="41">IF(N91="x",F91,"")</f>
        <v/>
      </c>
      <c r="P91" s="587"/>
      <c r="Q91" s="587" t="str">
        <f t="shared" si="25"/>
        <v/>
      </c>
      <c r="R91" s="587"/>
      <c r="S91" s="587" t="str">
        <f t="shared" ref="S91:S106" si="42">IF(R91="x",F91,"")</f>
        <v/>
      </c>
      <c r="T91" s="587" t="s">
        <v>957</v>
      </c>
      <c r="U91" s="587">
        <f t="shared" ref="U91:U106" si="43">IF(T91="x",F91,"")</f>
        <v>49.83</v>
      </c>
      <c r="V91" s="587"/>
      <c r="W91" s="587" t="str">
        <f t="shared" ref="W91:W106" si="44">IF(V91="x",F91,"")</f>
        <v/>
      </c>
      <c r="X91" s="587"/>
      <c r="Y91" s="587" t="str">
        <f t="shared" si="34"/>
        <v/>
      </c>
      <c r="Z91" s="587"/>
      <c r="AA91" s="587" t="str">
        <f t="shared" si="29"/>
        <v/>
      </c>
      <c r="AB91" s="587" t="s">
        <v>952</v>
      </c>
      <c r="AC91" s="587">
        <f t="shared" si="30"/>
        <v>49.83</v>
      </c>
      <c r="AD91" s="586"/>
      <c r="AE91" s="587" t="str">
        <f t="shared" si="31"/>
        <v/>
      </c>
    </row>
    <row r="92" spans="2:31">
      <c r="B92" s="586" t="s">
        <v>359</v>
      </c>
      <c r="C92" s="587"/>
      <c r="D92" s="586"/>
      <c r="E92" s="587"/>
      <c r="F92" s="587">
        <v>22.15</v>
      </c>
      <c r="G92" s="587">
        <v>26.15</v>
      </c>
      <c r="H92" s="589"/>
      <c r="I92" s="587" t="str">
        <f t="shared" si="40"/>
        <v/>
      </c>
      <c r="J92" s="589"/>
      <c r="K92" s="587" t="str">
        <f t="shared" si="23"/>
        <v/>
      </c>
      <c r="L92" s="587"/>
      <c r="M92" s="587"/>
      <c r="N92" s="587"/>
      <c r="O92" s="587" t="str">
        <f t="shared" si="41"/>
        <v/>
      </c>
      <c r="P92" s="587"/>
      <c r="Q92" s="587" t="str">
        <f t="shared" si="25"/>
        <v/>
      </c>
      <c r="R92" s="587"/>
      <c r="S92" s="587" t="str">
        <f t="shared" si="42"/>
        <v/>
      </c>
      <c r="T92" s="587" t="s">
        <v>957</v>
      </c>
      <c r="U92" s="587">
        <f t="shared" si="43"/>
        <v>22.15</v>
      </c>
      <c r="V92" s="587"/>
      <c r="W92" s="587" t="str">
        <f t="shared" si="44"/>
        <v/>
      </c>
      <c r="X92" s="587"/>
      <c r="Y92" s="587" t="str">
        <f t="shared" si="34"/>
        <v/>
      </c>
      <c r="Z92" s="587"/>
      <c r="AA92" s="587" t="str">
        <f t="shared" si="29"/>
        <v/>
      </c>
      <c r="AB92" s="587" t="s">
        <v>952</v>
      </c>
      <c r="AC92" s="587">
        <f t="shared" si="30"/>
        <v>22.15</v>
      </c>
      <c r="AD92" s="586"/>
      <c r="AE92" s="587" t="str">
        <f t="shared" si="31"/>
        <v/>
      </c>
    </row>
    <row r="93" spans="2:31">
      <c r="B93" s="586" t="s">
        <v>360</v>
      </c>
      <c r="C93" s="587"/>
      <c r="D93" s="586"/>
      <c r="E93" s="587"/>
      <c r="F93" s="587">
        <v>18.89</v>
      </c>
      <c r="G93" s="587">
        <v>18.05</v>
      </c>
      <c r="H93" s="589"/>
      <c r="I93" s="587" t="str">
        <f t="shared" si="40"/>
        <v/>
      </c>
      <c r="J93" s="589"/>
      <c r="K93" s="587" t="str">
        <f t="shared" si="23"/>
        <v/>
      </c>
      <c r="L93" s="587"/>
      <c r="M93" s="587"/>
      <c r="N93" s="587"/>
      <c r="O93" s="587" t="str">
        <f t="shared" si="41"/>
        <v/>
      </c>
      <c r="P93" s="587"/>
      <c r="Q93" s="587" t="str">
        <f t="shared" si="25"/>
        <v/>
      </c>
      <c r="R93" s="587"/>
      <c r="S93" s="587" t="str">
        <f t="shared" si="42"/>
        <v/>
      </c>
      <c r="T93" s="587" t="s">
        <v>957</v>
      </c>
      <c r="U93" s="587">
        <f t="shared" si="43"/>
        <v>18.89</v>
      </c>
      <c r="V93" s="587"/>
      <c r="W93" s="587" t="str">
        <f t="shared" si="44"/>
        <v/>
      </c>
      <c r="X93" s="587"/>
      <c r="Y93" s="587" t="str">
        <f t="shared" si="34"/>
        <v/>
      </c>
      <c r="Z93" s="587"/>
      <c r="AA93" s="587" t="str">
        <f t="shared" si="29"/>
        <v/>
      </c>
      <c r="AB93" s="587" t="s">
        <v>952</v>
      </c>
      <c r="AC93" s="587">
        <f t="shared" si="30"/>
        <v>18.89</v>
      </c>
      <c r="AD93" s="586"/>
      <c r="AE93" s="587" t="str">
        <f t="shared" si="31"/>
        <v/>
      </c>
    </row>
    <row r="94" spans="2:31">
      <c r="B94" s="586" t="s">
        <v>361</v>
      </c>
      <c r="C94" s="587"/>
      <c r="D94" s="586"/>
      <c r="E94" s="587"/>
      <c r="F94" s="587">
        <v>22.23</v>
      </c>
      <c r="G94" s="587">
        <v>20.9</v>
      </c>
      <c r="H94" s="589"/>
      <c r="I94" s="587" t="str">
        <f t="shared" si="40"/>
        <v/>
      </c>
      <c r="J94" s="589"/>
      <c r="K94" s="587" t="str">
        <f t="shared" si="23"/>
        <v/>
      </c>
      <c r="L94" s="587"/>
      <c r="M94" s="587"/>
      <c r="N94" s="587"/>
      <c r="O94" s="587" t="str">
        <f t="shared" si="41"/>
        <v/>
      </c>
      <c r="P94" s="587"/>
      <c r="Q94" s="587" t="str">
        <f t="shared" si="25"/>
        <v/>
      </c>
      <c r="R94" s="587"/>
      <c r="S94" s="587" t="str">
        <f t="shared" si="42"/>
        <v/>
      </c>
      <c r="T94" s="587" t="s">
        <v>957</v>
      </c>
      <c r="U94" s="587">
        <f t="shared" si="43"/>
        <v>22.23</v>
      </c>
      <c r="V94" s="587"/>
      <c r="W94" s="587" t="str">
        <f t="shared" si="44"/>
        <v/>
      </c>
      <c r="X94" s="587"/>
      <c r="Y94" s="587" t="str">
        <f t="shared" si="34"/>
        <v/>
      </c>
      <c r="Z94" s="587"/>
      <c r="AA94" s="587" t="str">
        <f t="shared" si="29"/>
        <v/>
      </c>
      <c r="AB94" s="587" t="s">
        <v>952</v>
      </c>
      <c r="AC94" s="587">
        <f t="shared" si="30"/>
        <v>22.23</v>
      </c>
      <c r="AD94" s="586"/>
      <c r="AE94" s="587" t="str">
        <f t="shared" si="31"/>
        <v/>
      </c>
    </row>
    <row r="95" spans="2:31">
      <c r="B95" s="586" t="s">
        <v>362</v>
      </c>
      <c r="C95" s="587"/>
      <c r="D95" s="586"/>
      <c r="E95" s="587"/>
      <c r="F95" s="587">
        <v>19.43</v>
      </c>
      <c r="G95" s="587">
        <v>20.149999999999999</v>
      </c>
      <c r="H95" s="589"/>
      <c r="I95" s="587" t="str">
        <f t="shared" si="40"/>
        <v/>
      </c>
      <c r="J95" s="589"/>
      <c r="K95" s="587" t="str">
        <f t="shared" si="23"/>
        <v/>
      </c>
      <c r="L95" s="587"/>
      <c r="M95" s="587"/>
      <c r="N95" s="587"/>
      <c r="O95" s="587" t="str">
        <f t="shared" si="41"/>
        <v/>
      </c>
      <c r="P95" s="587"/>
      <c r="Q95" s="587" t="str">
        <f t="shared" si="25"/>
        <v/>
      </c>
      <c r="R95" s="587"/>
      <c r="S95" s="587" t="str">
        <f t="shared" si="42"/>
        <v/>
      </c>
      <c r="T95" s="587" t="s">
        <v>957</v>
      </c>
      <c r="U95" s="587">
        <f t="shared" si="43"/>
        <v>19.43</v>
      </c>
      <c r="V95" s="587"/>
      <c r="W95" s="587" t="str">
        <f t="shared" si="44"/>
        <v/>
      </c>
      <c r="X95" s="587"/>
      <c r="Y95" s="587" t="str">
        <f t="shared" si="34"/>
        <v/>
      </c>
      <c r="Z95" s="587"/>
      <c r="AA95" s="587" t="str">
        <f t="shared" si="29"/>
        <v/>
      </c>
      <c r="AB95" s="587" t="s">
        <v>952</v>
      </c>
      <c r="AC95" s="587">
        <f t="shared" si="30"/>
        <v>19.43</v>
      </c>
      <c r="AD95" s="586"/>
      <c r="AE95" s="587" t="str">
        <f t="shared" si="31"/>
        <v/>
      </c>
    </row>
    <row r="96" spans="2:31">
      <c r="B96" s="586" t="s">
        <v>363</v>
      </c>
      <c r="C96" s="587"/>
      <c r="D96" s="586"/>
      <c r="E96" s="587"/>
      <c r="F96" s="587">
        <v>9.9</v>
      </c>
      <c r="G96" s="587">
        <v>12.6</v>
      </c>
      <c r="H96" s="589"/>
      <c r="I96" s="587" t="str">
        <f t="shared" si="40"/>
        <v/>
      </c>
      <c r="J96" s="589"/>
      <c r="K96" s="587" t="str">
        <f t="shared" si="23"/>
        <v/>
      </c>
      <c r="L96" s="587"/>
      <c r="M96" s="587"/>
      <c r="N96" s="587"/>
      <c r="O96" s="587" t="str">
        <f t="shared" si="41"/>
        <v/>
      </c>
      <c r="P96" s="587"/>
      <c r="Q96" s="587" t="str">
        <f t="shared" si="25"/>
        <v/>
      </c>
      <c r="R96" s="587"/>
      <c r="S96" s="587" t="str">
        <f t="shared" si="42"/>
        <v/>
      </c>
      <c r="T96" s="587" t="s">
        <v>957</v>
      </c>
      <c r="U96" s="587">
        <f t="shared" si="43"/>
        <v>9.9</v>
      </c>
      <c r="V96" s="587"/>
      <c r="W96" s="587" t="str">
        <f t="shared" si="44"/>
        <v/>
      </c>
      <c r="X96" s="587"/>
      <c r="Y96" s="587" t="str">
        <f t="shared" si="34"/>
        <v/>
      </c>
      <c r="Z96" s="587"/>
      <c r="AA96" s="587" t="str">
        <f t="shared" si="29"/>
        <v/>
      </c>
      <c r="AB96" s="587" t="s">
        <v>952</v>
      </c>
      <c r="AC96" s="587">
        <f t="shared" si="30"/>
        <v>9.9</v>
      </c>
      <c r="AD96" s="586"/>
      <c r="AE96" s="587" t="str">
        <f t="shared" si="31"/>
        <v/>
      </c>
    </row>
    <row r="97" spans="2:31">
      <c r="B97" s="586" t="s">
        <v>363</v>
      </c>
      <c r="C97" s="587"/>
      <c r="D97" s="586"/>
      <c r="E97" s="587"/>
      <c r="F97" s="587">
        <v>9.9</v>
      </c>
      <c r="G97" s="587">
        <v>12.6</v>
      </c>
      <c r="H97" s="589"/>
      <c r="I97" s="587" t="str">
        <f t="shared" si="40"/>
        <v/>
      </c>
      <c r="J97" s="589"/>
      <c r="K97" s="587" t="str">
        <f t="shared" si="23"/>
        <v/>
      </c>
      <c r="L97" s="587"/>
      <c r="M97" s="587"/>
      <c r="N97" s="587"/>
      <c r="O97" s="587" t="str">
        <f t="shared" si="41"/>
        <v/>
      </c>
      <c r="P97" s="587"/>
      <c r="Q97" s="587" t="str">
        <f t="shared" si="25"/>
        <v/>
      </c>
      <c r="R97" s="587"/>
      <c r="S97" s="587" t="str">
        <f t="shared" si="42"/>
        <v/>
      </c>
      <c r="T97" s="587" t="s">
        <v>957</v>
      </c>
      <c r="U97" s="587">
        <f t="shared" si="43"/>
        <v>9.9</v>
      </c>
      <c r="V97" s="587"/>
      <c r="W97" s="587" t="str">
        <f t="shared" si="44"/>
        <v/>
      </c>
      <c r="X97" s="587"/>
      <c r="Y97" s="587" t="str">
        <f t="shared" si="34"/>
        <v/>
      </c>
      <c r="Z97" s="587"/>
      <c r="AA97" s="587" t="str">
        <f t="shared" si="29"/>
        <v/>
      </c>
      <c r="AB97" s="587" t="s">
        <v>952</v>
      </c>
      <c r="AC97" s="587">
        <f t="shared" si="30"/>
        <v>9.9</v>
      </c>
      <c r="AD97" s="586"/>
      <c r="AE97" s="587" t="str">
        <f t="shared" si="31"/>
        <v/>
      </c>
    </row>
    <row r="98" spans="2:31">
      <c r="B98" s="586" t="s">
        <v>364</v>
      </c>
      <c r="C98" s="587"/>
      <c r="D98" s="586"/>
      <c r="E98" s="587"/>
      <c r="F98" s="587">
        <v>9.9</v>
      </c>
      <c r="G98" s="587">
        <v>12.6</v>
      </c>
      <c r="H98" s="589"/>
      <c r="I98" s="587" t="str">
        <f t="shared" si="40"/>
        <v/>
      </c>
      <c r="J98" s="589"/>
      <c r="K98" s="587" t="str">
        <f t="shared" si="23"/>
        <v/>
      </c>
      <c r="L98" s="587"/>
      <c r="M98" s="587"/>
      <c r="N98" s="587"/>
      <c r="O98" s="587" t="str">
        <f t="shared" si="41"/>
        <v/>
      </c>
      <c r="P98" s="587"/>
      <c r="Q98" s="587" t="str">
        <f t="shared" si="25"/>
        <v/>
      </c>
      <c r="R98" s="587"/>
      <c r="S98" s="587" t="str">
        <f t="shared" si="42"/>
        <v/>
      </c>
      <c r="T98" s="587" t="s">
        <v>957</v>
      </c>
      <c r="U98" s="587">
        <f t="shared" si="43"/>
        <v>9.9</v>
      </c>
      <c r="V98" s="587"/>
      <c r="W98" s="587" t="str">
        <f t="shared" si="44"/>
        <v/>
      </c>
      <c r="X98" s="587"/>
      <c r="Y98" s="587" t="str">
        <f t="shared" si="34"/>
        <v/>
      </c>
      <c r="Z98" s="587"/>
      <c r="AA98" s="587" t="str">
        <f t="shared" si="29"/>
        <v/>
      </c>
      <c r="AB98" s="587" t="s">
        <v>952</v>
      </c>
      <c r="AC98" s="587">
        <f t="shared" si="30"/>
        <v>9.9</v>
      </c>
      <c r="AD98" s="586"/>
      <c r="AE98" s="587" t="str">
        <f t="shared" si="31"/>
        <v/>
      </c>
    </row>
    <row r="99" spans="2:31">
      <c r="B99" s="586" t="s">
        <v>365</v>
      </c>
      <c r="C99" s="587"/>
      <c r="D99" s="586"/>
      <c r="E99" s="587"/>
      <c r="F99" s="587">
        <v>9.9</v>
      </c>
      <c r="G99" s="587">
        <v>12.6</v>
      </c>
      <c r="H99" s="589"/>
      <c r="I99" s="587" t="str">
        <f t="shared" si="40"/>
        <v/>
      </c>
      <c r="J99" s="589"/>
      <c r="K99" s="587" t="str">
        <f t="shared" si="23"/>
        <v/>
      </c>
      <c r="L99" s="587"/>
      <c r="M99" s="587"/>
      <c r="N99" s="587"/>
      <c r="O99" s="587" t="str">
        <f t="shared" si="41"/>
        <v/>
      </c>
      <c r="P99" s="587"/>
      <c r="Q99" s="587" t="str">
        <f t="shared" si="25"/>
        <v/>
      </c>
      <c r="R99" s="587"/>
      <c r="S99" s="587" t="str">
        <f t="shared" si="42"/>
        <v/>
      </c>
      <c r="T99" s="587" t="s">
        <v>957</v>
      </c>
      <c r="U99" s="587">
        <f t="shared" si="43"/>
        <v>9.9</v>
      </c>
      <c r="V99" s="587"/>
      <c r="W99" s="587" t="str">
        <f t="shared" si="44"/>
        <v/>
      </c>
      <c r="X99" s="587"/>
      <c r="Y99" s="587" t="str">
        <f t="shared" si="34"/>
        <v/>
      </c>
      <c r="Z99" s="587"/>
      <c r="AA99" s="587" t="str">
        <f t="shared" si="29"/>
        <v/>
      </c>
      <c r="AB99" s="587" t="s">
        <v>952</v>
      </c>
      <c r="AC99" s="587">
        <f t="shared" si="30"/>
        <v>9.9</v>
      </c>
      <c r="AD99" s="586"/>
      <c r="AE99" s="587" t="str">
        <f t="shared" si="31"/>
        <v/>
      </c>
    </row>
    <row r="100" spans="2:31">
      <c r="B100" s="586" t="s">
        <v>366</v>
      </c>
      <c r="C100" s="587"/>
      <c r="D100" s="586"/>
      <c r="E100" s="587"/>
      <c r="F100" s="587">
        <v>9.9</v>
      </c>
      <c r="G100" s="587">
        <v>12.6</v>
      </c>
      <c r="H100" s="589"/>
      <c r="I100" s="587" t="str">
        <f t="shared" si="40"/>
        <v/>
      </c>
      <c r="J100" s="589"/>
      <c r="K100" s="587" t="str">
        <f t="shared" si="23"/>
        <v/>
      </c>
      <c r="L100" s="587"/>
      <c r="M100" s="587"/>
      <c r="N100" s="587"/>
      <c r="O100" s="587" t="str">
        <f t="shared" si="41"/>
        <v/>
      </c>
      <c r="P100" s="587"/>
      <c r="Q100" s="587" t="str">
        <f t="shared" si="25"/>
        <v/>
      </c>
      <c r="R100" s="587"/>
      <c r="S100" s="587" t="str">
        <f t="shared" si="42"/>
        <v/>
      </c>
      <c r="T100" s="587" t="s">
        <v>957</v>
      </c>
      <c r="U100" s="587">
        <f t="shared" si="43"/>
        <v>9.9</v>
      </c>
      <c r="V100" s="587"/>
      <c r="W100" s="587" t="str">
        <f t="shared" si="44"/>
        <v/>
      </c>
      <c r="X100" s="587"/>
      <c r="Y100" s="587" t="str">
        <f t="shared" si="34"/>
        <v/>
      </c>
      <c r="Z100" s="587"/>
      <c r="AA100" s="587" t="str">
        <f t="shared" si="29"/>
        <v/>
      </c>
      <c r="AB100" s="587" t="s">
        <v>952</v>
      </c>
      <c r="AC100" s="587">
        <f t="shared" si="30"/>
        <v>9.9</v>
      </c>
      <c r="AD100" s="586"/>
      <c r="AE100" s="587" t="str">
        <f t="shared" si="31"/>
        <v/>
      </c>
    </row>
    <row r="101" spans="2:31">
      <c r="B101" s="586" t="s">
        <v>367</v>
      </c>
      <c r="C101" s="587"/>
      <c r="D101" s="586"/>
      <c r="E101" s="587"/>
      <c r="F101" s="587">
        <v>9.9</v>
      </c>
      <c r="G101" s="587">
        <v>12.6</v>
      </c>
      <c r="H101" s="589"/>
      <c r="I101" s="587" t="str">
        <f t="shared" si="40"/>
        <v/>
      </c>
      <c r="J101" s="589"/>
      <c r="K101" s="587" t="str">
        <f t="shared" si="23"/>
        <v/>
      </c>
      <c r="L101" s="587"/>
      <c r="M101" s="587"/>
      <c r="N101" s="587"/>
      <c r="O101" s="587" t="str">
        <f t="shared" si="41"/>
        <v/>
      </c>
      <c r="P101" s="587"/>
      <c r="Q101" s="587" t="str">
        <f t="shared" si="25"/>
        <v/>
      </c>
      <c r="R101" s="587"/>
      <c r="S101" s="587" t="str">
        <f t="shared" si="42"/>
        <v/>
      </c>
      <c r="T101" s="587" t="s">
        <v>957</v>
      </c>
      <c r="U101" s="587">
        <f t="shared" si="43"/>
        <v>9.9</v>
      </c>
      <c r="V101" s="587"/>
      <c r="W101" s="587" t="str">
        <f t="shared" si="44"/>
        <v/>
      </c>
      <c r="X101" s="587"/>
      <c r="Y101" s="587" t="str">
        <f t="shared" si="34"/>
        <v/>
      </c>
      <c r="Z101" s="587"/>
      <c r="AA101" s="587" t="str">
        <f t="shared" si="29"/>
        <v/>
      </c>
      <c r="AB101" s="587" t="s">
        <v>952</v>
      </c>
      <c r="AC101" s="587">
        <f t="shared" si="30"/>
        <v>9.9</v>
      </c>
      <c r="AD101" s="586"/>
      <c r="AE101" s="587" t="str">
        <f t="shared" si="31"/>
        <v/>
      </c>
    </row>
    <row r="102" spans="2:31">
      <c r="B102" s="586" t="s">
        <v>368</v>
      </c>
      <c r="C102" s="587"/>
      <c r="D102" s="586"/>
      <c r="E102" s="587"/>
      <c r="F102" s="587">
        <v>6.27</v>
      </c>
      <c r="G102" s="587">
        <v>10.4</v>
      </c>
      <c r="H102" s="589"/>
      <c r="I102" s="587" t="str">
        <f t="shared" si="40"/>
        <v/>
      </c>
      <c r="J102" s="589"/>
      <c r="K102" s="587" t="str">
        <f t="shared" si="23"/>
        <v/>
      </c>
      <c r="L102" s="587"/>
      <c r="M102" s="587"/>
      <c r="N102" s="587"/>
      <c r="O102" s="587" t="str">
        <f t="shared" si="41"/>
        <v/>
      </c>
      <c r="P102" s="587"/>
      <c r="Q102" s="587" t="str">
        <f t="shared" si="25"/>
        <v/>
      </c>
      <c r="R102" s="587"/>
      <c r="S102" s="587" t="str">
        <f t="shared" si="42"/>
        <v/>
      </c>
      <c r="T102" s="587" t="s">
        <v>957</v>
      </c>
      <c r="U102" s="587">
        <f t="shared" si="43"/>
        <v>6.27</v>
      </c>
      <c r="V102" s="587"/>
      <c r="W102" s="587" t="str">
        <f t="shared" si="44"/>
        <v/>
      </c>
      <c r="X102" s="587"/>
      <c r="Y102" s="587" t="str">
        <f t="shared" si="34"/>
        <v/>
      </c>
      <c r="Z102" s="587"/>
      <c r="AA102" s="587" t="str">
        <f t="shared" si="29"/>
        <v/>
      </c>
      <c r="AB102" s="587" t="s">
        <v>952</v>
      </c>
      <c r="AC102" s="587">
        <f t="shared" si="30"/>
        <v>6.27</v>
      </c>
      <c r="AD102" s="586"/>
      <c r="AE102" s="587" t="str">
        <f t="shared" si="31"/>
        <v/>
      </c>
    </row>
    <row r="103" spans="2:31">
      <c r="B103" s="586" t="s">
        <v>368</v>
      </c>
      <c r="C103" s="587"/>
      <c r="D103" s="586"/>
      <c r="E103" s="587"/>
      <c r="F103" s="587">
        <v>6.27</v>
      </c>
      <c r="G103" s="587">
        <v>10.4</v>
      </c>
      <c r="H103" s="589"/>
      <c r="I103" s="587" t="str">
        <f t="shared" si="40"/>
        <v/>
      </c>
      <c r="J103" s="589"/>
      <c r="K103" s="587" t="str">
        <f t="shared" si="23"/>
        <v/>
      </c>
      <c r="L103" s="587"/>
      <c r="M103" s="587"/>
      <c r="N103" s="587"/>
      <c r="O103" s="587" t="str">
        <f t="shared" si="41"/>
        <v/>
      </c>
      <c r="P103" s="587"/>
      <c r="Q103" s="587" t="str">
        <f t="shared" si="25"/>
        <v/>
      </c>
      <c r="R103" s="587"/>
      <c r="S103" s="587" t="str">
        <f t="shared" si="42"/>
        <v/>
      </c>
      <c r="T103" s="587" t="s">
        <v>957</v>
      </c>
      <c r="U103" s="587">
        <f t="shared" si="43"/>
        <v>6.27</v>
      </c>
      <c r="V103" s="587"/>
      <c r="W103" s="587" t="str">
        <f t="shared" si="44"/>
        <v/>
      </c>
      <c r="X103" s="587"/>
      <c r="Y103" s="587" t="str">
        <f t="shared" si="34"/>
        <v/>
      </c>
      <c r="Z103" s="587"/>
      <c r="AA103" s="587" t="str">
        <f t="shared" si="29"/>
        <v/>
      </c>
      <c r="AB103" s="587" t="s">
        <v>952</v>
      </c>
      <c r="AC103" s="587">
        <f t="shared" si="30"/>
        <v>6.27</v>
      </c>
      <c r="AD103" s="586"/>
      <c r="AE103" s="587" t="str">
        <f t="shared" si="31"/>
        <v/>
      </c>
    </row>
    <row r="104" spans="2:31">
      <c r="B104" s="586" t="s">
        <v>369</v>
      </c>
      <c r="C104" s="587"/>
      <c r="D104" s="586"/>
      <c r="E104" s="587"/>
      <c r="F104" s="587">
        <v>6.27</v>
      </c>
      <c r="G104" s="587">
        <v>10.4</v>
      </c>
      <c r="H104" s="589"/>
      <c r="I104" s="587" t="str">
        <f t="shared" si="40"/>
        <v/>
      </c>
      <c r="J104" s="589"/>
      <c r="K104" s="587" t="str">
        <f t="shared" si="23"/>
        <v/>
      </c>
      <c r="L104" s="587"/>
      <c r="M104" s="587"/>
      <c r="N104" s="587"/>
      <c r="O104" s="587" t="str">
        <f t="shared" si="41"/>
        <v/>
      </c>
      <c r="P104" s="587"/>
      <c r="Q104" s="587" t="str">
        <f t="shared" si="25"/>
        <v/>
      </c>
      <c r="R104" s="587"/>
      <c r="S104" s="587" t="str">
        <f t="shared" si="42"/>
        <v/>
      </c>
      <c r="T104" s="587" t="s">
        <v>957</v>
      </c>
      <c r="U104" s="587">
        <f t="shared" si="43"/>
        <v>6.27</v>
      </c>
      <c r="V104" s="587"/>
      <c r="W104" s="587" t="str">
        <f t="shared" si="44"/>
        <v/>
      </c>
      <c r="X104" s="587"/>
      <c r="Y104" s="587" t="str">
        <f t="shared" si="34"/>
        <v/>
      </c>
      <c r="Z104" s="587"/>
      <c r="AA104" s="587" t="str">
        <f t="shared" si="29"/>
        <v/>
      </c>
      <c r="AB104" s="587" t="s">
        <v>952</v>
      </c>
      <c r="AC104" s="587">
        <f t="shared" si="30"/>
        <v>6.27</v>
      </c>
      <c r="AD104" s="586"/>
      <c r="AE104" s="587" t="str">
        <f t="shared" si="31"/>
        <v/>
      </c>
    </row>
    <row r="105" spans="2:31">
      <c r="B105" s="586" t="s">
        <v>369</v>
      </c>
      <c r="C105" s="587"/>
      <c r="D105" s="586"/>
      <c r="E105" s="587"/>
      <c r="F105" s="587">
        <v>6.27</v>
      </c>
      <c r="G105" s="587">
        <v>10.4</v>
      </c>
      <c r="H105" s="589"/>
      <c r="I105" s="587" t="str">
        <f t="shared" si="40"/>
        <v/>
      </c>
      <c r="J105" s="589"/>
      <c r="K105" s="587" t="str">
        <f t="shared" si="23"/>
        <v/>
      </c>
      <c r="L105" s="587"/>
      <c r="M105" s="587"/>
      <c r="N105" s="587"/>
      <c r="O105" s="587" t="str">
        <f t="shared" si="41"/>
        <v/>
      </c>
      <c r="P105" s="587"/>
      <c r="Q105" s="587" t="str">
        <f t="shared" si="25"/>
        <v/>
      </c>
      <c r="R105" s="587"/>
      <c r="S105" s="587" t="str">
        <f t="shared" si="42"/>
        <v/>
      </c>
      <c r="T105" s="587" t="s">
        <v>957</v>
      </c>
      <c r="U105" s="587">
        <f t="shared" si="43"/>
        <v>6.27</v>
      </c>
      <c r="V105" s="587"/>
      <c r="W105" s="587" t="str">
        <f t="shared" si="44"/>
        <v/>
      </c>
      <c r="X105" s="587"/>
      <c r="Y105" s="587" t="str">
        <f t="shared" si="34"/>
        <v/>
      </c>
      <c r="Z105" s="587"/>
      <c r="AA105" s="587" t="str">
        <f t="shared" si="29"/>
        <v/>
      </c>
      <c r="AB105" s="587" t="s">
        <v>952</v>
      </c>
      <c r="AC105" s="587">
        <f t="shared" si="30"/>
        <v>6.27</v>
      </c>
      <c r="AD105" s="586"/>
      <c r="AE105" s="587" t="str">
        <f t="shared" si="31"/>
        <v/>
      </c>
    </row>
    <row r="106" spans="2:31">
      <c r="B106" s="586" t="s">
        <v>370</v>
      </c>
      <c r="C106" s="587"/>
      <c r="D106" s="586"/>
      <c r="E106" s="587"/>
      <c r="F106" s="587">
        <v>55.93</v>
      </c>
      <c r="G106" s="587">
        <v>35.15</v>
      </c>
      <c r="H106" s="589"/>
      <c r="I106" s="587" t="str">
        <f t="shared" si="40"/>
        <v/>
      </c>
      <c r="J106" s="589"/>
      <c r="K106" s="587" t="str">
        <f t="shared" si="23"/>
        <v/>
      </c>
      <c r="L106" s="587"/>
      <c r="M106" s="587"/>
      <c r="N106" s="587"/>
      <c r="O106" s="587" t="str">
        <f t="shared" si="41"/>
        <v/>
      </c>
      <c r="P106" s="587"/>
      <c r="Q106" s="587" t="str">
        <f t="shared" si="25"/>
        <v/>
      </c>
      <c r="R106" s="587"/>
      <c r="S106" s="587" t="str">
        <f t="shared" si="42"/>
        <v/>
      </c>
      <c r="T106" s="587" t="s">
        <v>957</v>
      </c>
      <c r="U106" s="587">
        <f t="shared" si="43"/>
        <v>55.93</v>
      </c>
      <c r="V106" s="587"/>
      <c r="W106" s="587" t="str">
        <f t="shared" si="44"/>
        <v/>
      </c>
      <c r="X106" s="587"/>
      <c r="Y106" s="587" t="str">
        <f t="shared" si="34"/>
        <v/>
      </c>
      <c r="Z106" s="587"/>
      <c r="AA106" s="587" t="str">
        <f t="shared" si="29"/>
        <v/>
      </c>
      <c r="AB106" s="587" t="s">
        <v>952</v>
      </c>
      <c r="AC106" s="587">
        <f t="shared" si="30"/>
        <v>55.93</v>
      </c>
      <c r="AD106" s="586"/>
      <c r="AE106" s="587" t="str">
        <f t="shared" si="31"/>
        <v/>
      </c>
    </row>
    <row r="107" spans="2:31">
      <c r="B107" s="592" t="s">
        <v>962</v>
      </c>
      <c r="C107" s="593"/>
      <c r="D107" s="592"/>
      <c r="E107" s="593"/>
      <c r="F107" s="593"/>
      <c r="G107" s="594"/>
      <c r="H107" s="595"/>
      <c r="I107" s="594"/>
      <c r="J107" s="595"/>
      <c r="K107" s="587" t="str">
        <f t="shared" si="23"/>
        <v/>
      </c>
      <c r="L107" s="594"/>
      <c r="M107" s="594"/>
      <c r="N107" s="594"/>
      <c r="O107" s="594"/>
      <c r="P107" s="594"/>
      <c r="Q107" s="587" t="str">
        <f t="shared" si="25"/>
        <v/>
      </c>
      <c r="R107" s="594"/>
      <c r="S107" s="594"/>
      <c r="T107" s="594"/>
      <c r="U107" s="594"/>
      <c r="V107" s="594"/>
      <c r="W107" s="594"/>
      <c r="X107" s="594"/>
      <c r="Y107" s="587" t="str">
        <f t="shared" si="34"/>
        <v/>
      </c>
      <c r="Z107" s="594"/>
      <c r="AA107" s="587" t="str">
        <f t="shared" si="29"/>
        <v/>
      </c>
      <c r="AB107" s="594"/>
      <c r="AC107" s="587" t="str">
        <f t="shared" si="30"/>
        <v/>
      </c>
      <c r="AD107" s="586"/>
      <c r="AE107" s="587" t="str">
        <f t="shared" si="31"/>
        <v/>
      </c>
    </row>
    <row r="108" spans="2:31">
      <c r="B108" s="586" t="s">
        <v>308</v>
      </c>
      <c r="C108" s="587">
        <v>4.2</v>
      </c>
      <c r="D108" s="588" t="s">
        <v>957</v>
      </c>
      <c r="E108" s="587">
        <v>1</v>
      </c>
      <c r="F108" s="587">
        <f>C108*E108</f>
        <v>4.2</v>
      </c>
      <c r="G108" s="587">
        <f>(C108+E108)*2</f>
        <v>10.4</v>
      </c>
      <c r="H108" s="589" t="s">
        <v>957</v>
      </c>
      <c r="I108" s="587">
        <f t="shared" ref="I108:I139" si="45">IF(H108="x",F108,"")</f>
        <v>4.2</v>
      </c>
      <c r="J108" s="589" t="s">
        <v>957</v>
      </c>
      <c r="K108" s="587">
        <f t="shared" si="23"/>
        <v>10.4</v>
      </c>
      <c r="L108" s="587"/>
      <c r="M108" s="587"/>
      <c r="N108" s="587"/>
      <c r="O108" s="587" t="str">
        <f t="shared" ref="O108:O139" si="46">IF(N108="x",F108,"")</f>
        <v/>
      </c>
      <c r="P108" s="587"/>
      <c r="Q108" s="587" t="str">
        <f t="shared" si="25"/>
        <v/>
      </c>
      <c r="R108" s="587"/>
      <c r="S108" s="587" t="str">
        <f t="shared" ref="S108:S139" si="47">IF(R108="x",F108,"")</f>
        <v/>
      </c>
      <c r="T108" s="587"/>
      <c r="U108" s="587" t="str">
        <f t="shared" ref="U108:U139" si="48">IF(T108="x",F108,"")</f>
        <v/>
      </c>
      <c r="V108" s="587" t="s">
        <v>957</v>
      </c>
      <c r="W108" s="587">
        <f t="shared" ref="W108:W139" si="49">IF(V108="x",F108,"")</f>
        <v>4.2</v>
      </c>
      <c r="X108" s="587"/>
      <c r="Y108" s="587" t="str">
        <f t="shared" si="34"/>
        <v/>
      </c>
      <c r="Z108" s="587"/>
      <c r="AA108" s="587" t="str">
        <f t="shared" si="29"/>
        <v/>
      </c>
      <c r="AB108" s="587"/>
      <c r="AC108" s="587" t="str">
        <f t="shared" si="30"/>
        <v/>
      </c>
      <c r="AD108" s="586"/>
      <c r="AE108" s="587" t="str">
        <f t="shared" si="31"/>
        <v/>
      </c>
    </row>
    <row r="109" spans="2:31">
      <c r="B109" s="586" t="s">
        <v>371</v>
      </c>
      <c r="C109" s="587">
        <v>4.1500000000000004</v>
      </c>
      <c r="D109" s="588" t="s">
        <v>957</v>
      </c>
      <c r="E109" s="587">
        <v>1.5</v>
      </c>
      <c r="F109" s="587">
        <f t="shared" ref="F109:F139" si="50">C109*E109</f>
        <v>6.2250000000000005</v>
      </c>
      <c r="G109" s="587">
        <f t="shared" ref="G109:G139" si="51">(C109+E109)*2</f>
        <v>11.3</v>
      </c>
      <c r="H109" s="589" t="s">
        <v>957</v>
      </c>
      <c r="I109" s="587">
        <f t="shared" si="45"/>
        <v>6.2250000000000005</v>
      </c>
      <c r="J109" s="589" t="s">
        <v>957</v>
      </c>
      <c r="K109" s="587">
        <f t="shared" si="23"/>
        <v>11.3</v>
      </c>
      <c r="L109" s="587"/>
      <c r="M109" s="587"/>
      <c r="N109" s="587"/>
      <c r="O109" s="587" t="str">
        <f t="shared" si="46"/>
        <v/>
      </c>
      <c r="P109" s="587"/>
      <c r="Q109" s="587" t="str">
        <f t="shared" si="25"/>
        <v/>
      </c>
      <c r="R109" s="587"/>
      <c r="S109" s="587" t="str">
        <f t="shared" si="47"/>
        <v/>
      </c>
      <c r="T109" s="587"/>
      <c r="U109" s="587" t="str">
        <f t="shared" si="48"/>
        <v/>
      </c>
      <c r="V109" s="587" t="s">
        <v>957</v>
      </c>
      <c r="W109" s="587">
        <f t="shared" si="49"/>
        <v>6.2250000000000005</v>
      </c>
      <c r="X109" s="587"/>
      <c r="Y109" s="587" t="str">
        <f t="shared" si="34"/>
        <v/>
      </c>
      <c r="Z109" s="587"/>
      <c r="AA109" s="587" t="str">
        <f t="shared" si="29"/>
        <v/>
      </c>
      <c r="AB109" s="587"/>
      <c r="AC109" s="587" t="str">
        <f t="shared" si="30"/>
        <v/>
      </c>
      <c r="AD109" s="586"/>
      <c r="AE109" s="587" t="str">
        <f t="shared" si="31"/>
        <v/>
      </c>
    </row>
    <row r="110" spans="2:31">
      <c r="B110" s="586" t="s">
        <v>372</v>
      </c>
      <c r="C110" s="587">
        <v>1.1000000000000001</v>
      </c>
      <c r="D110" s="588" t="s">
        <v>957</v>
      </c>
      <c r="E110" s="587">
        <v>2.2999999999999998</v>
      </c>
      <c r="F110" s="587">
        <f t="shared" si="50"/>
        <v>2.5299999999999998</v>
      </c>
      <c r="G110" s="587">
        <f t="shared" si="51"/>
        <v>6.8</v>
      </c>
      <c r="H110" s="589" t="s">
        <v>957</v>
      </c>
      <c r="I110" s="587">
        <f t="shared" si="45"/>
        <v>2.5299999999999998</v>
      </c>
      <c r="J110" s="589" t="s">
        <v>957</v>
      </c>
      <c r="K110" s="587">
        <f t="shared" si="23"/>
        <v>6.8</v>
      </c>
      <c r="L110" s="587"/>
      <c r="M110" s="587"/>
      <c r="N110" s="587"/>
      <c r="O110" s="587" t="str">
        <f t="shared" si="46"/>
        <v/>
      </c>
      <c r="P110" s="587"/>
      <c r="Q110" s="587" t="str">
        <f t="shared" si="25"/>
        <v/>
      </c>
      <c r="R110" s="587"/>
      <c r="S110" s="587" t="str">
        <f t="shared" si="47"/>
        <v/>
      </c>
      <c r="T110" s="587"/>
      <c r="U110" s="587" t="str">
        <f t="shared" si="48"/>
        <v/>
      </c>
      <c r="V110" s="587" t="s">
        <v>957</v>
      </c>
      <c r="W110" s="587">
        <f t="shared" si="49"/>
        <v>2.5299999999999998</v>
      </c>
      <c r="X110" s="587"/>
      <c r="Y110" s="587" t="str">
        <f t="shared" si="34"/>
        <v/>
      </c>
      <c r="Z110" s="587"/>
      <c r="AA110" s="587" t="str">
        <f t="shared" si="29"/>
        <v/>
      </c>
      <c r="AB110" s="587"/>
      <c r="AC110" s="587" t="str">
        <f t="shared" si="30"/>
        <v/>
      </c>
      <c r="AD110" s="586"/>
      <c r="AE110" s="587" t="str">
        <f t="shared" si="31"/>
        <v/>
      </c>
    </row>
    <row r="111" spans="2:31">
      <c r="B111" s="586" t="s">
        <v>372</v>
      </c>
      <c r="C111" s="587">
        <v>1.1000000000000001</v>
      </c>
      <c r="D111" s="588" t="s">
        <v>957</v>
      </c>
      <c r="E111" s="587">
        <v>2.2999999999999998</v>
      </c>
      <c r="F111" s="587">
        <f t="shared" si="50"/>
        <v>2.5299999999999998</v>
      </c>
      <c r="G111" s="587">
        <f t="shared" si="51"/>
        <v>6.8</v>
      </c>
      <c r="H111" s="589" t="s">
        <v>957</v>
      </c>
      <c r="I111" s="587">
        <f t="shared" si="45"/>
        <v>2.5299999999999998</v>
      </c>
      <c r="J111" s="589" t="s">
        <v>957</v>
      </c>
      <c r="K111" s="587">
        <f t="shared" si="23"/>
        <v>6.8</v>
      </c>
      <c r="L111" s="587"/>
      <c r="M111" s="587"/>
      <c r="N111" s="587"/>
      <c r="O111" s="587" t="str">
        <f t="shared" si="46"/>
        <v/>
      </c>
      <c r="P111" s="587"/>
      <c r="Q111" s="587" t="str">
        <f t="shared" si="25"/>
        <v/>
      </c>
      <c r="R111" s="587"/>
      <c r="S111" s="587" t="str">
        <f t="shared" si="47"/>
        <v/>
      </c>
      <c r="T111" s="587"/>
      <c r="U111" s="587" t="str">
        <f t="shared" si="48"/>
        <v/>
      </c>
      <c r="V111" s="587" t="s">
        <v>957</v>
      </c>
      <c r="W111" s="587">
        <f t="shared" si="49"/>
        <v>2.5299999999999998</v>
      </c>
      <c r="X111" s="587"/>
      <c r="Y111" s="587" t="str">
        <f t="shared" si="34"/>
        <v/>
      </c>
      <c r="Z111" s="587"/>
      <c r="AA111" s="587" t="str">
        <f t="shared" si="29"/>
        <v/>
      </c>
      <c r="AB111" s="587"/>
      <c r="AC111" s="587" t="str">
        <f t="shared" si="30"/>
        <v/>
      </c>
      <c r="AD111" s="586"/>
      <c r="AE111" s="587" t="str">
        <f t="shared" si="31"/>
        <v/>
      </c>
    </row>
    <row r="112" spans="2:31">
      <c r="B112" s="586" t="s">
        <v>373</v>
      </c>
      <c r="C112" s="587">
        <v>1.65</v>
      </c>
      <c r="D112" s="588" t="s">
        <v>957</v>
      </c>
      <c r="E112" s="587">
        <v>2.2999999999999998</v>
      </c>
      <c r="F112" s="587">
        <f t="shared" si="50"/>
        <v>3.7949999999999995</v>
      </c>
      <c r="G112" s="587">
        <f t="shared" si="51"/>
        <v>7.8999999999999995</v>
      </c>
      <c r="H112" s="589" t="s">
        <v>957</v>
      </c>
      <c r="I112" s="587">
        <f t="shared" si="45"/>
        <v>3.7949999999999995</v>
      </c>
      <c r="J112" s="589" t="s">
        <v>957</v>
      </c>
      <c r="K112" s="587">
        <f t="shared" si="23"/>
        <v>7.8999999999999995</v>
      </c>
      <c r="L112" s="587"/>
      <c r="M112" s="587"/>
      <c r="N112" s="587"/>
      <c r="O112" s="587" t="str">
        <f t="shared" si="46"/>
        <v/>
      </c>
      <c r="P112" s="587"/>
      <c r="Q112" s="587" t="str">
        <f t="shared" si="25"/>
        <v/>
      </c>
      <c r="R112" s="587"/>
      <c r="S112" s="587" t="str">
        <f t="shared" si="47"/>
        <v/>
      </c>
      <c r="T112" s="587"/>
      <c r="U112" s="587" t="str">
        <f t="shared" si="48"/>
        <v/>
      </c>
      <c r="V112" s="587" t="s">
        <v>957</v>
      </c>
      <c r="W112" s="587">
        <f t="shared" si="49"/>
        <v>3.7949999999999995</v>
      </c>
      <c r="X112" s="587"/>
      <c r="Y112" s="587" t="str">
        <f t="shared" si="34"/>
        <v/>
      </c>
      <c r="Z112" s="587"/>
      <c r="AA112" s="587" t="str">
        <f t="shared" si="29"/>
        <v/>
      </c>
      <c r="AB112" s="587"/>
      <c r="AC112" s="587" t="str">
        <f t="shared" si="30"/>
        <v/>
      </c>
      <c r="AD112" s="586"/>
      <c r="AE112" s="587" t="str">
        <f t="shared" si="31"/>
        <v/>
      </c>
    </row>
    <row r="113" spans="2:31">
      <c r="B113" s="586" t="s">
        <v>374</v>
      </c>
      <c r="C113" s="587">
        <v>4.2</v>
      </c>
      <c r="D113" s="588" t="s">
        <v>957</v>
      </c>
      <c r="E113" s="587">
        <v>2.5499999999999998</v>
      </c>
      <c r="F113" s="587">
        <f t="shared" si="50"/>
        <v>10.709999999999999</v>
      </c>
      <c r="G113" s="587">
        <f t="shared" si="51"/>
        <v>13.5</v>
      </c>
      <c r="H113" s="589" t="s">
        <v>957</v>
      </c>
      <c r="I113" s="587">
        <f t="shared" si="45"/>
        <v>10.709999999999999</v>
      </c>
      <c r="J113" s="589" t="s">
        <v>957</v>
      </c>
      <c r="K113" s="587">
        <f t="shared" si="23"/>
        <v>13.5</v>
      </c>
      <c r="L113" s="587"/>
      <c r="M113" s="587"/>
      <c r="N113" s="587"/>
      <c r="O113" s="587" t="str">
        <f t="shared" si="46"/>
        <v/>
      </c>
      <c r="P113" s="587"/>
      <c r="Q113" s="587" t="str">
        <f t="shared" si="25"/>
        <v/>
      </c>
      <c r="R113" s="587"/>
      <c r="S113" s="587" t="str">
        <f t="shared" si="47"/>
        <v/>
      </c>
      <c r="T113" s="587"/>
      <c r="U113" s="587" t="str">
        <f t="shared" si="48"/>
        <v/>
      </c>
      <c r="V113" s="587" t="s">
        <v>957</v>
      </c>
      <c r="W113" s="587">
        <f t="shared" si="49"/>
        <v>10.709999999999999</v>
      </c>
      <c r="X113" s="587"/>
      <c r="Y113" s="587" t="str">
        <f t="shared" si="34"/>
        <v/>
      </c>
      <c r="Z113" s="587"/>
      <c r="AA113" s="587" t="str">
        <f t="shared" si="29"/>
        <v/>
      </c>
      <c r="AB113" s="587"/>
      <c r="AC113" s="587" t="str">
        <f t="shared" si="30"/>
        <v/>
      </c>
      <c r="AD113" s="586"/>
      <c r="AE113" s="587" t="str">
        <f t="shared" si="31"/>
        <v/>
      </c>
    </row>
    <row r="114" spans="2:31">
      <c r="B114" s="586" t="s">
        <v>375</v>
      </c>
      <c r="C114" s="587">
        <v>4.1500000000000004</v>
      </c>
      <c r="D114" s="588" t="s">
        <v>957</v>
      </c>
      <c r="E114" s="587">
        <v>4.5</v>
      </c>
      <c r="F114" s="587">
        <f t="shared" si="50"/>
        <v>18.675000000000001</v>
      </c>
      <c r="G114" s="587">
        <f t="shared" si="51"/>
        <v>17.3</v>
      </c>
      <c r="H114" s="589" t="s">
        <v>957</v>
      </c>
      <c r="I114" s="587">
        <f t="shared" si="45"/>
        <v>18.675000000000001</v>
      </c>
      <c r="J114" s="589" t="s">
        <v>957</v>
      </c>
      <c r="K114" s="587">
        <f t="shared" si="23"/>
        <v>17.3</v>
      </c>
      <c r="L114" s="587"/>
      <c r="M114" s="587"/>
      <c r="N114" s="587"/>
      <c r="O114" s="587" t="str">
        <f t="shared" si="46"/>
        <v/>
      </c>
      <c r="P114" s="587"/>
      <c r="Q114" s="587" t="str">
        <f t="shared" si="25"/>
        <v/>
      </c>
      <c r="R114" s="587"/>
      <c r="S114" s="587" t="str">
        <f t="shared" si="47"/>
        <v/>
      </c>
      <c r="T114" s="587"/>
      <c r="U114" s="587" t="str">
        <f t="shared" si="48"/>
        <v/>
      </c>
      <c r="V114" s="587" t="s">
        <v>957</v>
      </c>
      <c r="W114" s="587">
        <f t="shared" si="49"/>
        <v>18.675000000000001</v>
      </c>
      <c r="X114" s="587"/>
      <c r="Y114" s="587" t="str">
        <f t="shared" si="34"/>
        <v/>
      </c>
      <c r="Z114" s="587"/>
      <c r="AA114" s="587" t="str">
        <f t="shared" si="29"/>
        <v/>
      </c>
      <c r="AB114" s="587"/>
      <c r="AC114" s="587" t="str">
        <f t="shared" si="30"/>
        <v/>
      </c>
      <c r="AD114" s="586"/>
      <c r="AE114" s="587" t="str">
        <f t="shared" si="31"/>
        <v/>
      </c>
    </row>
    <row r="115" spans="2:31">
      <c r="B115" s="586" t="s">
        <v>376</v>
      </c>
      <c r="C115" s="587">
        <v>2.4</v>
      </c>
      <c r="D115" s="588" t="s">
        <v>957</v>
      </c>
      <c r="E115" s="587">
        <v>4.5</v>
      </c>
      <c r="F115" s="587">
        <f t="shared" si="50"/>
        <v>10.799999999999999</v>
      </c>
      <c r="G115" s="587">
        <f t="shared" si="51"/>
        <v>13.8</v>
      </c>
      <c r="H115" s="589" t="s">
        <v>957</v>
      </c>
      <c r="I115" s="587">
        <f t="shared" si="45"/>
        <v>10.799999999999999</v>
      </c>
      <c r="J115" s="589" t="s">
        <v>957</v>
      </c>
      <c r="K115" s="587">
        <f t="shared" si="23"/>
        <v>13.8</v>
      </c>
      <c r="L115" s="587"/>
      <c r="M115" s="587"/>
      <c r="N115" s="587"/>
      <c r="O115" s="587" t="str">
        <f t="shared" si="46"/>
        <v/>
      </c>
      <c r="P115" s="587"/>
      <c r="Q115" s="587" t="str">
        <f t="shared" si="25"/>
        <v/>
      </c>
      <c r="R115" s="587"/>
      <c r="S115" s="587" t="str">
        <f t="shared" si="47"/>
        <v/>
      </c>
      <c r="T115" s="587"/>
      <c r="U115" s="587" t="str">
        <f t="shared" si="48"/>
        <v/>
      </c>
      <c r="V115" s="587"/>
      <c r="W115" s="587" t="str">
        <f t="shared" si="49"/>
        <v/>
      </c>
      <c r="X115" s="587"/>
      <c r="Y115" s="587" t="str">
        <f t="shared" si="34"/>
        <v/>
      </c>
      <c r="Z115" s="587"/>
      <c r="AA115" s="587" t="str">
        <f t="shared" si="29"/>
        <v/>
      </c>
      <c r="AB115" s="587"/>
      <c r="AC115" s="587" t="str">
        <f t="shared" si="30"/>
        <v/>
      </c>
      <c r="AD115" s="586"/>
      <c r="AE115" s="587" t="str">
        <f t="shared" si="31"/>
        <v/>
      </c>
    </row>
    <row r="116" spans="2:31">
      <c r="B116" s="586" t="s">
        <v>377</v>
      </c>
      <c r="C116" s="587">
        <v>4.2</v>
      </c>
      <c r="D116" s="588" t="s">
        <v>957</v>
      </c>
      <c r="E116" s="587">
        <v>3.55</v>
      </c>
      <c r="F116" s="587">
        <f t="shared" si="50"/>
        <v>14.91</v>
      </c>
      <c r="G116" s="587">
        <f t="shared" si="51"/>
        <v>15.5</v>
      </c>
      <c r="H116" s="589" t="s">
        <v>957</v>
      </c>
      <c r="I116" s="587">
        <f t="shared" si="45"/>
        <v>14.91</v>
      </c>
      <c r="J116" s="589" t="s">
        <v>957</v>
      </c>
      <c r="K116" s="587">
        <f t="shared" si="23"/>
        <v>15.5</v>
      </c>
      <c r="L116" s="587"/>
      <c r="M116" s="587"/>
      <c r="N116" s="587"/>
      <c r="O116" s="587" t="str">
        <f t="shared" si="46"/>
        <v/>
      </c>
      <c r="P116" s="587"/>
      <c r="Q116" s="587" t="str">
        <f t="shared" si="25"/>
        <v/>
      </c>
      <c r="R116" s="587"/>
      <c r="S116" s="587" t="str">
        <f t="shared" si="47"/>
        <v/>
      </c>
      <c r="T116" s="587"/>
      <c r="U116" s="587" t="str">
        <f t="shared" si="48"/>
        <v/>
      </c>
      <c r="V116" s="587" t="s">
        <v>957</v>
      </c>
      <c r="W116" s="587">
        <f t="shared" si="49"/>
        <v>14.91</v>
      </c>
      <c r="X116" s="587"/>
      <c r="Y116" s="587" t="str">
        <f t="shared" si="34"/>
        <v/>
      </c>
      <c r="Z116" s="587"/>
      <c r="AA116" s="587" t="str">
        <f t="shared" si="29"/>
        <v/>
      </c>
      <c r="AB116" s="587"/>
      <c r="AC116" s="587" t="str">
        <f t="shared" si="30"/>
        <v/>
      </c>
      <c r="AD116" s="586"/>
      <c r="AE116" s="587" t="str">
        <f t="shared" si="31"/>
        <v/>
      </c>
    </row>
    <row r="117" spans="2:31">
      <c r="B117" s="586" t="s">
        <v>378</v>
      </c>
      <c r="C117" s="587">
        <v>2.25</v>
      </c>
      <c r="D117" s="588" t="s">
        <v>957</v>
      </c>
      <c r="E117" s="587">
        <v>4.5999999999999996</v>
      </c>
      <c r="F117" s="587">
        <f t="shared" si="50"/>
        <v>10.35</v>
      </c>
      <c r="G117" s="587">
        <f t="shared" si="51"/>
        <v>13.7</v>
      </c>
      <c r="H117" s="589" t="s">
        <v>957</v>
      </c>
      <c r="I117" s="587">
        <f t="shared" si="45"/>
        <v>10.35</v>
      </c>
      <c r="J117" s="589" t="s">
        <v>957</v>
      </c>
      <c r="K117" s="587">
        <f t="shared" si="23"/>
        <v>13.7</v>
      </c>
      <c r="L117" s="587"/>
      <c r="M117" s="587"/>
      <c r="N117" s="587"/>
      <c r="O117" s="587" t="str">
        <f t="shared" si="46"/>
        <v/>
      </c>
      <c r="P117" s="587"/>
      <c r="Q117" s="587" t="str">
        <f t="shared" si="25"/>
        <v/>
      </c>
      <c r="R117" s="587"/>
      <c r="S117" s="587" t="str">
        <f t="shared" si="47"/>
        <v/>
      </c>
      <c r="T117" s="587"/>
      <c r="U117" s="587" t="str">
        <f t="shared" si="48"/>
        <v/>
      </c>
      <c r="V117" s="587"/>
      <c r="W117" s="587" t="str">
        <f t="shared" si="49"/>
        <v/>
      </c>
      <c r="X117" s="587"/>
      <c r="Y117" s="587" t="str">
        <f t="shared" si="34"/>
        <v/>
      </c>
      <c r="Z117" s="587"/>
      <c r="AA117" s="587" t="str">
        <f t="shared" si="29"/>
        <v/>
      </c>
      <c r="AB117" s="587"/>
      <c r="AC117" s="587" t="str">
        <f t="shared" si="30"/>
        <v/>
      </c>
      <c r="AD117" s="586"/>
      <c r="AE117" s="587" t="str">
        <f t="shared" si="31"/>
        <v/>
      </c>
    </row>
    <row r="118" spans="2:31">
      <c r="B118" s="586" t="s">
        <v>379</v>
      </c>
      <c r="C118" s="587">
        <v>2</v>
      </c>
      <c r="D118" s="588" t="s">
        <v>957</v>
      </c>
      <c r="E118" s="587">
        <v>2.4</v>
      </c>
      <c r="F118" s="587">
        <f t="shared" si="50"/>
        <v>4.8</v>
      </c>
      <c r="G118" s="587">
        <f t="shared" si="51"/>
        <v>8.8000000000000007</v>
      </c>
      <c r="H118" s="589" t="s">
        <v>957</v>
      </c>
      <c r="I118" s="587">
        <f t="shared" si="45"/>
        <v>4.8</v>
      </c>
      <c r="J118" s="589" t="s">
        <v>957</v>
      </c>
      <c r="K118" s="587">
        <f t="shared" si="23"/>
        <v>8.8000000000000007</v>
      </c>
      <c r="L118" s="587"/>
      <c r="M118" s="587"/>
      <c r="N118" s="587"/>
      <c r="O118" s="587" t="str">
        <f t="shared" si="46"/>
        <v/>
      </c>
      <c r="P118" s="587"/>
      <c r="Q118" s="587" t="str">
        <f t="shared" si="25"/>
        <v/>
      </c>
      <c r="R118" s="587"/>
      <c r="S118" s="587" t="str">
        <f t="shared" si="47"/>
        <v/>
      </c>
      <c r="T118" s="587"/>
      <c r="U118" s="587" t="str">
        <f t="shared" si="48"/>
        <v/>
      </c>
      <c r="V118" s="587" t="s">
        <v>957</v>
      </c>
      <c r="W118" s="587">
        <f t="shared" si="49"/>
        <v>4.8</v>
      </c>
      <c r="X118" s="587"/>
      <c r="Y118" s="587" t="str">
        <f t="shared" si="34"/>
        <v/>
      </c>
      <c r="Z118" s="587"/>
      <c r="AA118" s="587" t="str">
        <f t="shared" si="29"/>
        <v/>
      </c>
      <c r="AB118" s="587"/>
      <c r="AC118" s="587" t="str">
        <f t="shared" si="30"/>
        <v/>
      </c>
      <c r="AD118" s="586"/>
      <c r="AE118" s="587" t="str">
        <f t="shared" si="31"/>
        <v/>
      </c>
    </row>
    <row r="119" spans="2:31">
      <c r="B119" s="586" t="s">
        <v>380</v>
      </c>
      <c r="C119" s="587">
        <v>2</v>
      </c>
      <c r="D119" s="588" t="s">
        <v>957</v>
      </c>
      <c r="E119" s="587">
        <v>2.4</v>
      </c>
      <c r="F119" s="587">
        <f t="shared" si="50"/>
        <v>4.8</v>
      </c>
      <c r="G119" s="587">
        <f t="shared" si="51"/>
        <v>8.8000000000000007</v>
      </c>
      <c r="H119" s="589" t="s">
        <v>957</v>
      </c>
      <c r="I119" s="587">
        <f t="shared" si="45"/>
        <v>4.8</v>
      </c>
      <c r="J119" s="589" t="s">
        <v>957</v>
      </c>
      <c r="K119" s="587">
        <f t="shared" si="23"/>
        <v>8.8000000000000007</v>
      </c>
      <c r="L119" s="587"/>
      <c r="M119" s="587"/>
      <c r="N119" s="587"/>
      <c r="O119" s="587" t="str">
        <f t="shared" si="46"/>
        <v/>
      </c>
      <c r="P119" s="587"/>
      <c r="Q119" s="587" t="str">
        <f t="shared" si="25"/>
        <v/>
      </c>
      <c r="R119" s="587"/>
      <c r="S119" s="587" t="str">
        <f t="shared" si="47"/>
        <v/>
      </c>
      <c r="T119" s="587"/>
      <c r="U119" s="587" t="str">
        <f t="shared" si="48"/>
        <v/>
      </c>
      <c r="V119" s="587" t="s">
        <v>957</v>
      </c>
      <c r="W119" s="587">
        <f t="shared" si="49"/>
        <v>4.8</v>
      </c>
      <c r="X119" s="587"/>
      <c r="Y119" s="587" t="str">
        <f t="shared" si="34"/>
        <v/>
      </c>
      <c r="Z119" s="587"/>
      <c r="AA119" s="587" t="str">
        <f t="shared" si="29"/>
        <v/>
      </c>
      <c r="AB119" s="587"/>
      <c r="AC119" s="587" t="str">
        <f t="shared" si="30"/>
        <v/>
      </c>
      <c r="AD119" s="586"/>
      <c r="AE119" s="587" t="str">
        <f t="shared" si="31"/>
        <v/>
      </c>
    </row>
    <row r="120" spans="2:31">
      <c r="B120" s="586" t="s">
        <v>381</v>
      </c>
      <c r="C120" s="587">
        <v>2</v>
      </c>
      <c r="D120" s="588" t="s">
        <v>957</v>
      </c>
      <c r="E120" s="587">
        <v>2.4</v>
      </c>
      <c r="F120" s="587">
        <f t="shared" si="50"/>
        <v>4.8</v>
      </c>
      <c r="G120" s="587">
        <f t="shared" si="51"/>
        <v>8.8000000000000007</v>
      </c>
      <c r="H120" s="589" t="s">
        <v>957</v>
      </c>
      <c r="I120" s="587">
        <f t="shared" si="45"/>
        <v>4.8</v>
      </c>
      <c r="J120" s="589" t="s">
        <v>957</v>
      </c>
      <c r="K120" s="587">
        <f t="shared" si="23"/>
        <v>8.8000000000000007</v>
      </c>
      <c r="L120" s="587"/>
      <c r="M120" s="587"/>
      <c r="N120" s="587"/>
      <c r="O120" s="587" t="str">
        <f t="shared" si="46"/>
        <v/>
      </c>
      <c r="P120" s="587"/>
      <c r="Q120" s="587" t="str">
        <f t="shared" si="25"/>
        <v/>
      </c>
      <c r="R120" s="587"/>
      <c r="S120" s="587" t="str">
        <f t="shared" si="47"/>
        <v/>
      </c>
      <c r="T120" s="587"/>
      <c r="U120" s="587" t="str">
        <f t="shared" si="48"/>
        <v/>
      </c>
      <c r="V120" s="587" t="s">
        <v>957</v>
      </c>
      <c r="W120" s="587">
        <f t="shared" si="49"/>
        <v>4.8</v>
      </c>
      <c r="X120" s="587"/>
      <c r="Y120" s="587" t="str">
        <f t="shared" si="34"/>
        <v/>
      </c>
      <c r="Z120" s="587"/>
      <c r="AA120" s="587" t="str">
        <f t="shared" si="29"/>
        <v/>
      </c>
      <c r="AB120" s="587"/>
      <c r="AC120" s="587" t="str">
        <f t="shared" si="30"/>
        <v/>
      </c>
      <c r="AD120" s="586"/>
      <c r="AE120" s="587" t="str">
        <f t="shared" si="31"/>
        <v/>
      </c>
    </row>
    <row r="121" spans="2:31">
      <c r="B121" s="586" t="s">
        <v>382</v>
      </c>
      <c r="C121" s="587">
        <v>2</v>
      </c>
      <c r="D121" s="588" t="s">
        <v>957</v>
      </c>
      <c r="E121" s="587">
        <v>2.4</v>
      </c>
      <c r="F121" s="587">
        <f t="shared" si="50"/>
        <v>4.8</v>
      </c>
      <c r="G121" s="587">
        <f t="shared" si="51"/>
        <v>8.8000000000000007</v>
      </c>
      <c r="H121" s="589" t="s">
        <v>957</v>
      </c>
      <c r="I121" s="587">
        <f t="shared" si="45"/>
        <v>4.8</v>
      </c>
      <c r="J121" s="589" t="s">
        <v>957</v>
      </c>
      <c r="K121" s="587">
        <f t="shared" si="23"/>
        <v>8.8000000000000007</v>
      </c>
      <c r="L121" s="587"/>
      <c r="M121" s="587"/>
      <c r="N121" s="587"/>
      <c r="O121" s="587" t="str">
        <f t="shared" si="46"/>
        <v/>
      </c>
      <c r="P121" s="587"/>
      <c r="Q121" s="587" t="str">
        <f t="shared" si="25"/>
        <v/>
      </c>
      <c r="R121" s="587"/>
      <c r="S121" s="587" t="str">
        <f t="shared" si="47"/>
        <v/>
      </c>
      <c r="T121" s="587"/>
      <c r="U121" s="587" t="str">
        <f t="shared" si="48"/>
        <v/>
      </c>
      <c r="V121" s="587" t="s">
        <v>957</v>
      </c>
      <c r="W121" s="587">
        <f t="shared" si="49"/>
        <v>4.8</v>
      </c>
      <c r="X121" s="587"/>
      <c r="Y121" s="587" t="str">
        <f t="shared" si="34"/>
        <v/>
      </c>
      <c r="Z121" s="587"/>
      <c r="AA121" s="587" t="str">
        <f t="shared" si="29"/>
        <v/>
      </c>
      <c r="AB121" s="587"/>
      <c r="AC121" s="587" t="str">
        <f t="shared" si="30"/>
        <v/>
      </c>
      <c r="AD121" s="586"/>
      <c r="AE121" s="587" t="str">
        <f t="shared" si="31"/>
        <v/>
      </c>
    </row>
    <row r="122" spans="2:31">
      <c r="B122" s="586" t="s">
        <v>383</v>
      </c>
      <c r="C122" s="587">
        <v>4.1500000000000004</v>
      </c>
      <c r="D122" s="588" t="s">
        <v>957</v>
      </c>
      <c r="E122" s="587">
        <v>3.55</v>
      </c>
      <c r="F122" s="587">
        <f t="shared" si="50"/>
        <v>14.7325</v>
      </c>
      <c r="G122" s="587">
        <f t="shared" si="51"/>
        <v>15.4</v>
      </c>
      <c r="H122" s="589" t="s">
        <v>957</v>
      </c>
      <c r="I122" s="587">
        <f t="shared" si="45"/>
        <v>14.7325</v>
      </c>
      <c r="J122" s="589" t="s">
        <v>957</v>
      </c>
      <c r="K122" s="587">
        <f t="shared" si="23"/>
        <v>15.4</v>
      </c>
      <c r="L122" s="587"/>
      <c r="M122" s="587"/>
      <c r="N122" s="587"/>
      <c r="O122" s="587" t="str">
        <f t="shared" si="46"/>
        <v/>
      </c>
      <c r="P122" s="587"/>
      <c r="Q122" s="587" t="str">
        <f t="shared" si="25"/>
        <v/>
      </c>
      <c r="R122" s="587"/>
      <c r="S122" s="587" t="str">
        <f t="shared" si="47"/>
        <v/>
      </c>
      <c r="T122" s="587"/>
      <c r="U122" s="587" t="str">
        <f t="shared" si="48"/>
        <v/>
      </c>
      <c r="V122" s="587" t="s">
        <v>957</v>
      </c>
      <c r="W122" s="587">
        <f t="shared" si="49"/>
        <v>14.7325</v>
      </c>
      <c r="X122" s="587"/>
      <c r="Y122" s="587" t="str">
        <f t="shared" si="34"/>
        <v/>
      </c>
      <c r="Z122" s="587"/>
      <c r="AA122" s="587" t="str">
        <f t="shared" si="29"/>
        <v/>
      </c>
      <c r="AB122" s="587"/>
      <c r="AC122" s="587" t="str">
        <f t="shared" si="30"/>
        <v/>
      </c>
      <c r="AD122" s="586"/>
      <c r="AE122" s="587" t="str">
        <f t="shared" si="31"/>
        <v/>
      </c>
    </row>
    <row r="123" spans="2:31">
      <c r="B123" s="586" t="s">
        <v>384</v>
      </c>
      <c r="C123" s="587">
        <v>2.4</v>
      </c>
      <c r="D123" s="588" t="s">
        <v>957</v>
      </c>
      <c r="E123" s="587">
        <v>6.1</v>
      </c>
      <c r="F123" s="587">
        <f t="shared" si="50"/>
        <v>14.639999999999999</v>
      </c>
      <c r="G123" s="587">
        <f t="shared" si="51"/>
        <v>17</v>
      </c>
      <c r="H123" s="589" t="s">
        <v>957</v>
      </c>
      <c r="I123" s="587">
        <f t="shared" si="45"/>
        <v>14.639999999999999</v>
      </c>
      <c r="J123" s="589" t="s">
        <v>957</v>
      </c>
      <c r="K123" s="587">
        <f t="shared" si="23"/>
        <v>17</v>
      </c>
      <c r="L123" s="587"/>
      <c r="M123" s="587"/>
      <c r="N123" s="587"/>
      <c r="O123" s="587" t="str">
        <f t="shared" si="46"/>
        <v/>
      </c>
      <c r="P123" s="587"/>
      <c r="Q123" s="587" t="str">
        <f t="shared" si="25"/>
        <v/>
      </c>
      <c r="R123" s="587"/>
      <c r="S123" s="587" t="str">
        <f t="shared" si="47"/>
        <v/>
      </c>
      <c r="T123" s="587"/>
      <c r="U123" s="587" t="str">
        <f t="shared" si="48"/>
        <v/>
      </c>
      <c r="V123" s="587"/>
      <c r="W123" s="587" t="str">
        <f t="shared" si="49"/>
        <v/>
      </c>
      <c r="X123" s="587"/>
      <c r="Y123" s="587" t="str">
        <f t="shared" si="34"/>
        <v/>
      </c>
      <c r="Z123" s="587"/>
      <c r="AA123" s="587" t="str">
        <f t="shared" si="29"/>
        <v/>
      </c>
      <c r="AB123" s="587"/>
      <c r="AC123" s="587" t="str">
        <f t="shared" si="30"/>
        <v/>
      </c>
      <c r="AD123" s="586"/>
      <c r="AE123" s="587" t="str">
        <f t="shared" si="31"/>
        <v/>
      </c>
    </row>
    <row r="124" spans="2:31">
      <c r="B124" s="586" t="s">
        <v>385</v>
      </c>
      <c r="C124" s="587">
        <v>4.2</v>
      </c>
      <c r="D124" s="588" t="s">
        <v>957</v>
      </c>
      <c r="E124" s="587">
        <v>3.5</v>
      </c>
      <c r="F124" s="587">
        <f t="shared" si="50"/>
        <v>14.700000000000001</v>
      </c>
      <c r="G124" s="587">
        <f t="shared" si="51"/>
        <v>15.4</v>
      </c>
      <c r="H124" s="589" t="s">
        <v>957</v>
      </c>
      <c r="I124" s="587">
        <f t="shared" si="45"/>
        <v>14.700000000000001</v>
      </c>
      <c r="J124" s="589" t="s">
        <v>957</v>
      </c>
      <c r="K124" s="587">
        <f t="shared" si="23"/>
        <v>15.4</v>
      </c>
      <c r="L124" s="587"/>
      <c r="M124" s="587"/>
      <c r="N124" s="587"/>
      <c r="O124" s="587" t="str">
        <f t="shared" si="46"/>
        <v/>
      </c>
      <c r="P124" s="587"/>
      <c r="Q124" s="587" t="str">
        <f t="shared" si="25"/>
        <v/>
      </c>
      <c r="R124" s="587"/>
      <c r="S124" s="587" t="str">
        <f t="shared" si="47"/>
        <v/>
      </c>
      <c r="T124" s="587"/>
      <c r="U124" s="587" t="str">
        <f t="shared" si="48"/>
        <v/>
      </c>
      <c r="V124" s="587" t="s">
        <v>957</v>
      </c>
      <c r="W124" s="587">
        <f t="shared" si="49"/>
        <v>14.700000000000001</v>
      </c>
      <c r="X124" s="587"/>
      <c r="Y124" s="587" t="str">
        <f t="shared" si="34"/>
        <v/>
      </c>
      <c r="Z124" s="587"/>
      <c r="AA124" s="587" t="str">
        <f t="shared" si="29"/>
        <v/>
      </c>
      <c r="AB124" s="587"/>
      <c r="AC124" s="587" t="str">
        <f t="shared" si="30"/>
        <v/>
      </c>
      <c r="AD124" s="586"/>
      <c r="AE124" s="587" t="str">
        <f t="shared" si="31"/>
        <v/>
      </c>
    </row>
    <row r="125" spans="2:31">
      <c r="B125" s="586" t="s">
        <v>386</v>
      </c>
      <c r="C125" s="587">
        <v>2.25</v>
      </c>
      <c r="D125" s="588" t="s">
        <v>957</v>
      </c>
      <c r="E125" s="587">
        <v>5</v>
      </c>
      <c r="F125" s="587">
        <f t="shared" si="50"/>
        <v>11.25</v>
      </c>
      <c r="G125" s="587">
        <f t="shared" si="51"/>
        <v>14.5</v>
      </c>
      <c r="H125" s="589" t="s">
        <v>957</v>
      </c>
      <c r="I125" s="587">
        <f t="shared" si="45"/>
        <v>11.25</v>
      </c>
      <c r="J125" s="589" t="s">
        <v>957</v>
      </c>
      <c r="K125" s="587">
        <f t="shared" si="23"/>
        <v>14.5</v>
      </c>
      <c r="L125" s="587"/>
      <c r="M125" s="587"/>
      <c r="N125" s="587"/>
      <c r="O125" s="587" t="str">
        <f t="shared" si="46"/>
        <v/>
      </c>
      <c r="P125" s="587"/>
      <c r="Q125" s="587" t="str">
        <f t="shared" si="25"/>
        <v/>
      </c>
      <c r="R125" s="587"/>
      <c r="S125" s="587" t="str">
        <f t="shared" si="47"/>
        <v/>
      </c>
      <c r="T125" s="587"/>
      <c r="U125" s="587" t="str">
        <f t="shared" si="48"/>
        <v/>
      </c>
      <c r="V125" s="587"/>
      <c r="W125" s="587" t="str">
        <f t="shared" si="49"/>
        <v/>
      </c>
      <c r="X125" s="587"/>
      <c r="Y125" s="587" t="str">
        <f t="shared" si="34"/>
        <v/>
      </c>
      <c r="Z125" s="587"/>
      <c r="AA125" s="587" t="str">
        <f t="shared" si="29"/>
        <v/>
      </c>
      <c r="AB125" s="587"/>
      <c r="AC125" s="587" t="str">
        <f t="shared" si="30"/>
        <v/>
      </c>
      <c r="AD125" s="586"/>
      <c r="AE125" s="587" t="str">
        <f t="shared" si="31"/>
        <v/>
      </c>
    </row>
    <row r="126" spans="2:31">
      <c r="B126" s="586" t="s">
        <v>387</v>
      </c>
      <c r="C126" s="587">
        <v>1.25</v>
      </c>
      <c r="D126" s="588" t="s">
        <v>957</v>
      </c>
      <c r="E126" s="587">
        <v>2.0499999999999998</v>
      </c>
      <c r="F126" s="587">
        <f t="shared" si="50"/>
        <v>2.5625</v>
      </c>
      <c r="G126" s="587">
        <f t="shared" si="51"/>
        <v>6.6</v>
      </c>
      <c r="H126" s="589" t="s">
        <v>957</v>
      </c>
      <c r="I126" s="587">
        <f t="shared" si="45"/>
        <v>2.5625</v>
      </c>
      <c r="J126" s="589" t="s">
        <v>957</v>
      </c>
      <c r="K126" s="587">
        <f t="shared" si="23"/>
        <v>6.6</v>
      </c>
      <c r="L126" s="587"/>
      <c r="M126" s="587"/>
      <c r="N126" s="587"/>
      <c r="O126" s="587" t="str">
        <f t="shared" si="46"/>
        <v/>
      </c>
      <c r="P126" s="587"/>
      <c r="Q126" s="587" t="str">
        <f t="shared" si="25"/>
        <v/>
      </c>
      <c r="R126" s="587"/>
      <c r="S126" s="587" t="str">
        <f t="shared" si="47"/>
        <v/>
      </c>
      <c r="T126" s="587"/>
      <c r="U126" s="587" t="str">
        <f t="shared" si="48"/>
        <v/>
      </c>
      <c r="V126" s="587" t="s">
        <v>957</v>
      </c>
      <c r="W126" s="587">
        <f t="shared" si="49"/>
        <v>2.5625</v>
      </c>
      <c r="X126" s="587"/>
      <c r="Y126" s="587" t="str">
        <f t="shared" si="34"/>
        <v/>
      </c>
      <c r="Z126" s="587"/>
      <c r="AA126" s="587" t="str">
        <f t="shared" si="29"/>
        <v/>
      </c>
      <c r="AB126" s="587"/>
      <c r="AC126" s="587" t="str">
        <f t="shared" si="30"/>
        <v/>
      </c>
      <c r="AD126" s="586"/>
      <c r="AE126" s="587" t="str">
        <f t="shared" si="31"/>
        <v/>
      </c>
    </row>
    <row r="127" spans="2:31">
      <c r="B127" s="586" t="s">
        <v>388</v>
      </c>
      <c r="C127" s="587">
        <v>2.9</v>
      </c>
      <c r="D127" s="588" t="s">
        <v>957</v>
      </c>
      <c r="E127" s="587">
        <v>2.0499999999999998</v>
      </c>
      <c r="F127" s="587">
        <f t="shared" si="50"/>
        <v>5.9449999999999994</v>
      </c>
      <c r="G127" s="587">
        <f t="shared" si="51"/>
        <v>9.8999999999999986</v>
      </c>
      <c r="H127" s="589" t="s">
        <v>957</v>
      </c>
      <c r="I127" s="587">
        <f t="shared" si="45"/>
        <v>5.9449999999999994</v>
      </c>
      <c r="J127" s="589" t="s">
        <v>957</v>
      </c>
      <c r="K127" s="587">
        <f t="shared" si="23"/>
        <v>9.8999999999999986</v>
      </c>
      <c r="L127" s="587"/>
      <c r="M127" s="587"/>
      <c r="N127" s="587"/>
      <c r="O127" s="587" t="str">
        <f t="shared" si="46"/>
        <v/>
      </c>
      <c r="P127" s="587"/>
      <c r="Q127" s="587" t="str">
        <f t="shared" si="25"/>
        <v/>
      </c>
      <c r="R127" s="587"/>
      <c r="S127" s="587" t="str">
        <f t="shared" si="47"/>
        <v/>
      </c>
      <c r="T127" s="587"/>
      <c r="U127" s="587" t="str">
        <f t="shared" si="48"/>
        <v/>
      </c>
      <c r="V127" s="587" t="s">
        <v>957</v>
      </c>
      <c r="W127" s="587">
        <f t="shared" si="49"/>
        <v>5.9449999999999994</v>
      </c>
      <c r="X127" s="587"/>
      <c r="Y127" s="587" t="str">
        <f t="shared" si="34"/>
        <v/>
      </c>
      <c r="Z127" s="587"/>
      <c r="AA127" s="587" t="str">
        <f t="shared" si="29"/>
        <v/>
      </c>
      <c r="AB127" s="587"/>
      <c r="AC127" s="587" t="str">
        <f t="shared" si="30"/>
        <v/>
      </c>
      <c r="AD127" s="586"/>
      <c r="AE127" s="587" t="str">
        <f t="shared" si="31"/>
        <v/>
      </c>
    </row>
    <row r="128" spans="2:31">
      <c r="B128" s="586" t="s">
        <v>389</v>
      </c>
      <c r="C128" s="587">
        <v>5</v>
      </c>
      <c r="D128" s="588" t="s">
        <v>957</v>
      </c>
      <c r="E128" s="587">
        <v>5.15</v>
      </c>
      <c r="F128" s="587">
        <f t="shared" si="50"/>
        <v>25.75</v>
      </c>
      <c r="G128" s="587">
        <f t="shared" si="51"/>
        <v>20.3</v>
      </c>
      <c r="H128" s="589" t="s">
        <v>957</v>
      </c>
      <c r="I128" s="587">
        <f t="shared" si="45"/>
        <v>25.75</v>
      </c>
      <c r="J128" s="589" t="s">
        <v>957</v>
      </c>
      <c r="K128" s="587">
        <f t="shared" si="23"/>
        <v>20.3</v>
      </c>
      <c r="L128" s="587"/>
      <c r="M128" s="587"/>
      <c r="N128" s="587"/>
      <c r="O128" s="587" t="str">
        <f t="shared" si="46"/>
        <v/>
      </c>
      <c r="P128" s="587"/>
      <c r="Q128" s="587" t="str">
        <f t="shared" si="25"/>
        <v/>
      </c>
      <c r="R128" s="587"/>
      <c r="S128" s="587" t="str">
        <f t="shared" si="47"/>
        <v/>
      </c>
      <c r="T128" s="587"/>
      <c r="U128" s="587" t="str">
        <f t="shared" si="48"/>
        <v/>
      </c>
      <c r="V128" s="587" t="s">
        <v>957</v>
      </c>
      <c r="W128" s="587">
        <f t="shared" si="49"/>
        <v>25.75</v>
      </c>
      <c r="X128" s="587"/>
      <c r="Y128" s="587" t="str">
        <f t="shared" si="34"/>
        <v/>
      </c>
      <c r="Z128" s="587"/>
      <c r="AA128" s="587" t="str">
        <f t="shared" si="29"/>
        <v/>
      </c>
      <c r="AB128" s="587"/>
      <c r="AC128" s="587" t="str">
        <f t="shared" si="30"/>
        <v/>
      </c>
      <c r="AD128" s="586"/>
      <c r="AE128" s="587" t="str">
        <f t="shared" si="31"/>
        <v/>
      </c>
    </row>
    <row r="129" spans="2:31">
      <c r="B129" s="586" t="s">
        <v>335</v>
      </c>
      <c r="C129" s="587">
        <v>3</v>
      </c>
      <c r="D129" s="588" t="s">
        <v>957</v>
      </c>
      <c r="E129" s="587">
        <v>5.15</v>
      </c>
      <c r="F129" s="587">
        <f t="shared" si="50"/>
        <v>15.450000000000001</v>
      </c>
      <c r="G129" s="587">
        <f t="shared" si="51"/>
        <v>16.3</v>
      </c>
      <c r="H129" s="589" t="s">
        <v>957</v>
      </c>
      <c r="I129" s="587">
        <f t="shared" si="45"/>
        <v>15.450000000000001</v>
      </c>
      <c r="J129" s="589" t="s">
        <v>957</v>
      </c>
      <c r="K129" s="587">
        <f t="shared" si="23"/>
        <v>16.3</v>
      </c>
      <c r="L129" s="587"/>
      <c r="M129" s="587"/>
      <c r="N129" s="587"/>
      <c r="O129" s="587" t="str">
        <f t="shared" si="46"/>
        <v/>
      </c>
      <c r="P129" s="587"/>
      <c r="Q129" s="587" t="str">
        <f t="shared" si="25"/>
        <v/>
      </c>
      <c r="R129" s="587"/>
      <c r="S129" s="587" t="str">
        <f t="shared" si="47"/>
        <v/>
      </c>
      <c r="T129" s="587"/>
      <c r="U129" s="587" t="str">
        <f t="shared" si="48"/>
        <v/>
      </c>
      <c r="V129" s="587" t="s">
        <v>957</v>
      </c>
      <c r="W129" s="587">
        <f t="shared" si="49"/>
        <v>15.450000000000001</v>
      </c>
      <c r="X129" s="587"/>
      <c r="Y129" s="587" t="str">
        <f t="shared" si="34"/>
        <v/>
      </c>
      <c r="Z129" s="587"/>
      <c r="AA129" s="587" t="str">
        <f t="shared" si="29"/>
        <v/>
      </c>
      <c r="AB129" s="587"/>
      <c r="AC129" s="587" t="str">
        <f t="shared" si="30"/>
        <v/>
      </c>
      <c r="AD129" s="586"/>
      <c r="AE129" s="587" t="str">
        <f t="shared" si="31"/>
        <v/>
      </c>
    </row>
    <row r="130" spans="2:31">
      <c r="B130" s="586" t="s">
        <v>390</v>
      </c>
      <c r="C130" s="587">
        <v>4.2</v>
      </c>
      <c r="D130" s="588" t="s">
        <v>957</v>
      </c>
      <c r="E130" s="587">
        <v>3.5</v>
      </c>
      <c r="F130" s="587">
        <f t="shared" si="50"/>
        <v>14.700000000000001</v>
      </c>
      <c r="G130" s="587">
        <f t="shared" si="51"/>
        <v>15.4</v>
      </c>
      <c r="H130" s="589" t="s">
        <v>957</v>
      </c>
      <c r="I130" s="587">
        <f t="shared" si="45"/>
        <v>14.700000000000001</v>
      </c>
      <c r="J130" s="589" t="s">
        <v>957</v>
      </c>
      <c r="K130" s="587">
        <f t="shared" si="23"/>
        <v>15.4</v>
      </c>
      <c r="L130" s="587"/>
      <c r="M130" s="587"/>
      <c r="N130" s="587"/>
      <c r="O130" s="587" t="str">
        <f t="shared" si="46"/>
        <v/>
      </c>
      <c r="P130" s="587"/>
      <c r="Q130" s="587" t="str">
        <f t="shared" si="25"/>
        <v/>
      </c>
      <c r="R130" s="587"/>
      <c r="S130" s="587" t="str">
        <f t="shared" si="47"/>
        <v/>
      </c>
      <c r="T130" s="587"/>
      <c r="U130" s="587" t="str">
        <f t="shared" si="48"/>
        <v/>
      </c>
      <c r="V130" s="587" t="s">
        <v>957</v>
      </c>
      <c r="W130" s="587">
        <f t="shared" si="49"/>
        <v>14.700000000000001</v>
      </c>
      <c r="X130" s="587"/>
      <c r="Y130" s="587" t="str">
        <f t="shared" si="34"/>
        <v/>
      </c>
      <c r="Z130" s="587"/>
      <c r="AA130" s="587" t="str">
        <f t="shared" si="29"/>
        <v/>
      </c>
      <c r="AB130" s="587"/>
      <c r="AC130" s="587" t="str">
        <f t="shared" si="30"/>
        <v/>
      </c>
      <c r="AD130" s="586"/>
      <c r="AE130" s="587" t="str">
        <f t="shared" si="31"/>
        <v/>
      </c>
    </row>
    <row r="131" spans="2:31">
      <c r="B131" s="586" t="s">
        <v>391</v>
      </c>
      <c r="C131" s="587">
        <v>2.25</v>
      </c>
      <c r="D131" s="588" t="s">
        <v>957</v>
      </c>
      <c r="E131" s="587">
        <v>5.6</v>
      </c>
      <c r="F131" s="587">
        <f t="shared" si="50"/>
        <v>12.6</v>
      </c>
      <c r="G131" s="587">
        <f t="shared" si="51"/>
        <v>15.7</v>
      </c>
      <c r="H131" s="589" t="s">
        <v>957</v>
      </c>
      <c r="I131" s="587">
        <f t="shared" si="45"/>
        <v>12.6</v>
      </c>
      <c r="J131" s="589" t="s">
        <v>957</v>
      </c>
      <c r="K131" s="587">
        <f t="shared" si="23"/>
        <v>15.7</v>
      </c>
      <c r="L131" s="587"/>
      <c r="M131" s="587"/>
      <c r="N131" s="587"/>
      <c r="O131" s="587" t="str">
        <f t="shared" si="46"/>
        <v/>
      </c>
      <c r="P131" s="587"/>
      <c r="Q131" s="587" t="str">
        <f t="shared" si="25"/>
        <v/>
      </c>
      <c r="R131" s="587"/>
      <c r="S131" s="587" t="str">
        <f t="shared" si="47"/>
        <v/>
      </c>
      <c r="T131" s="587"/>
      <c r="U131" s="587" t="str">
        <f t="shared" si="48"/>
        <v/>
      </c>
      <c r="V131" s="587"/>
      <c r="W131" s="587" t="str">
        <f t="shared" si="49"/>
        <v/>
      </c>
      <c r="X131" s="587"/>
      <c r="Y131" s="587" t="str">
        <f t="shared" si="34"/>
        <v/>
      </c>
      <c r="Z131" s="587"/>
      <c r="AA131" s="587" t="str">
        <f t="shared" si="29"/>
        <v/>
      </c>
      <c r="AB131" s="587"/>
      <c r="AC131" s="587" t="str">
        <f t="shared" si="30"/>
        <v/>
      </c>
      <c r="AD131" s="586"/>
      <c r="AE131" s="587" t="str">
        <f t="shared" si="31"/>
        <v/>
      </c>
    </row>
    <row r="132" spans="2:31">
      <c r="B132" s="586" t="s">
        <v>392</v>
      </c>
      <c r="C132" s="587">
        <v>2.7</v>
      </c>
      <c r="D132" s="588" t="s">
        <v>957</v>
      </c>
      <c r="E132" s="587">
        <v>1.95</v>
      </c>
      <c r="F132" s="587">
        <f t="shared" si="50"/>
        <v>5.2650000000000006</v>
      </c>
      <c r="G132" s="587">
        <f t="shared" si="51"/>
        <v>9.3000000000000007</v>
      </c>
      <c r="H132" s="589" t="s">
        <v>957</v>
      </c>
      <c r="I132" s="587">
        <f t="shared" si="45"/>
        <v>5.2650000000000006</v>
      </c>
      <c r="J132" s="589" t="s">
        <v>957</v>
      </c>
      <c r="K132" s="587">
        <f t="shared" si="23"/>
        <v>9.3000000000000007</v>
      </c>
      <c r="L132" s="587"/>
      <c r="M132" s="587"/>
      <c r="N132" s="587"/>
      <c r="O132" s="587" t="str">
        <f t="shared" si="46"/>
        <v/>
      </c>
      <c r="P132" s="587"/>
      <c r="Q132" s="587" t="str">
        <f t="shared" si="25"/>
        <v/>
      </c>
      <c r="R132" s="587"/>
      <c r="S132" s="587" t="str">
        <f t="shared" si="47"/>
        <v/>
      </c>
      <c r="T132" s="587"/>
      <c r="U132" s="587" t="str">
        <f t="shared" si="48"/>
        <v/>
      </c>
      <c r="V132" s="587" t="s">
        <v>957</v>
      </c>
      <c r="W132" s="587">
        <f t="shared" si="49"/>
        <v>5.2650000000000006</v>
      </c>
      <c r="X132" s="587"/>
      <c r="Y132" s="587" t="str">
        <f t="shared" si="34"/>
        <v/>
      </c>
      <c r="Z132" s="587"/>
      <c r="AA132" s="587" t="str">
        <f t="shared" si="29"/>
        <v/>
      </c>
      <c r="AB132" s="587"/>
      <c r="AC132" s="587" t="str">
        <f t="shared" si="30"/>
        <v/>
      </c>
      <c r="AD132" s="586"/>
      <c r="AE132" s="587" t="str">
        <f t="shared" si="31"/>
        <v/>
      </c>
    </row>
    <row r="133" spans="2:31">
      <c r="B133" s="586" t="s">
        <v>393</v>
      </c>
      <c r="C133" s="587">
        <v>1.35</v>
      </c>
      <c r="D133" s="588" t="s">
        <v>957</v>
      </c>
      <c r="E133" s="587">
        <v>1.95</v>
      </c>
      <c r="F133" s="587">
        <f t="shared" si="50"/>
        <v>2.6325000000000003</v>
      </c>
      <c r="G133" s="587">
        <f t="shared" si="51"/>
        <v>6.6</v>
      </c>
      <c r="H133" s="589" t="s">
        <v>957</v>
      </c>
      <c r="I133" s="587">
        <f t="shared" si="45"/>
        <v>2.6325000000000003</v>
      </c>
      <c r="J133" s="589" t="s">
        <v>957</v>
      </c>
      <c r="K133" s="587">
        <f t="shared" si="23"/>
        <v>6.6</v>
      </c>
      <c r="L133" s="587"/>
      <c r="M133" s="587"/>
      <c r="N133" s="587"/>
      <c r="O133" s="587" t="str">
        <f t="shared" si="46"/>
        <v/>
      </c>
      <c r="P133" s="587"/>
      <c r="Q133" s="587" t="str">
        <f t="shared" si="25"/>
        <v/>
      </c>
      <c r="R133" s="587"/>
      <c r="S133" s="587" t="str">
        <f t="shared" si="47"/>
        <v/>
      </c>
      <c r="T133" s="587"/>
      <c r="U133" s="587" t="str">
        <f t="shared" si="48"/>
        <v/>
      </c>
      <c r="V133" s="587" t="s">
        <v>957</v>
      </c>
      <c r="W133" s="587">
        <f t="shared" si="49"/>
        <v>2.6325000000000003</v>
      </c>
      <c r="X133" s="587"/>
      <c r="Y133" s="587" t="str">
        <f t="shared" si="34"/>
        <v/>
      </c>
      <c r="Z133" s="587"/>
      <c r="AA133" s="587" t="str">
        <f t="shared" si="29"/>
        <v/>
      </c>
      <c r="AB133" s="587"/>
      <c r="AC133" s="587" t="str">
        <f t="shared" si="30"/>
        <v/>
      </c>
      <c r="AD133" s="586"/>
      <c r="AE133" s="587" t="str">
        <f t="shared" si="31"/>
        <v/>
      </c>
    </row>
    <row r="134" spans="2:31">
      <c r="B134" s="586" t="s">
        <v>394</v>
      </c>
      <c r="C134" s="587">
        <v>7</v>
      </c>
      <c r="D134" s="588" t="s">
        <v>957</v>
      </c>
      <c r="E134" s="587">
        <v>3.95</v>
      </c>
      <c r="F134" s="587">
        <f t="shared" si="50"/>
        <v>27.650000000000002</v>
      </c>
      <c r="G134" s="587">
        <f t="shared" si="51"/>
        <v>21.9</v>
      </c>
      <c r="H134" s="589" t="s">
        <v>957</v>
      </c>
      <c r="I134" s="587">
        <f t="shared" si="45"/>
        <v>27.650000000000002</v>
      </c>
      <c r="J134" s="589" t="s">
        <v>957</v>
      </c>
      <c r="K134" s="587">
        <f t="shared" ref="K134:K197" si="52">IF(J134="x",G134,"")</f>
        <v>21.9</v>
      </c>
      <c r="L134" s="587"/>
      <c r="M134" s="587"/>
      <c r="N134" s="587"/>
      <c r="O134" s="587" t="str">
        <f t="shared" si="46"/>
        <v/>
      </c>
      <c r="P134" s="587"/>
      <c r="Q134" s="587" t="str">
        <f t="shared" ref="Q134:Q197" si="53">IF(P134="x",G134,"")</f>
        <v/>
      </c>
      <c r="R134" s="587"/>
      <c r="S134" s="587" t="str">
        <f t="shared" si="47"/>
        <v/>
      </c>
      <c r="T134" s="587"/>
      <c r="U134" s="587" t="str">
        <f t="shared" si="48"/>
        <v/>
      </c>
      <c r="V134" s="587"/>
      <c r="W134" s="587" t="str">
        <f t="shared" si="49"/>
        <v/>
      </c>
      <c r="X134" s="587"/>
      <c r="Y134" s="587" t="str">
        <f t="shared" si="34"/>
        <v/>
      </c>
      <c r="Z134" s="587" t="s">
        <v>952</v>
      </c>
      <c r="AA134" s="587">
        <f t="shared" si="29"/>
        <v>27.650000000000002</v>
      </c>
      <c r="AB134" s="587"/>
      <c r="AC134" s="587" t="str">
        <f t="shared" si="30"/>
        <v/>
      </c>
      <c r="AD134" s="586"/>
      <c r="AE134" s="587" t="str">
        <f t="shared" ref="AE134:AE197" si="54">IF(AD134="x",F134,"")</f>
        <v/>
      </c>
    </row>
    <row r="135" spans="2:31">
      <c r="B135" s="586" t="s">
        <v>395</v>
      </c>
      <c r="C135" s="587">
        <v>3.2</v>
      </c>
      <c r="D135" s="588" t="s">
        <v>957</v>
      </c>
      <c r="E135" s="587">
        <v>3.95</v>
      </c>
      <c r="F135" s="587">
        <f t="shared" si="50"/>
        <v>12.64</v>
      </c>
      <c r="G135" s="587">
        <f t="shared" si="51"/>
        <v>14.3</v>
      </c>
      <c r="H135" s="589" t="s">
        <v>957</v>
      </c>
      <c r="I135" s="587">
        <f t="shared" si="45"/>
        <v>12.64</v>
      </c>
      <c r="J135" s="589" t="s">
        <v>957</v>
      </c>
      <c r="K135" s="587">
        <f t="shared" si="52"/>
        <v>14.3</v>
      </c>
      <c r="L135" s="587"/>
      <c r="M135" s="587"/>
      <c r="N135" s="587"/>
      <c r="O135" s="587" t="str">
        <f t="shared" si="46"/>
        <v/>
      </c>
      <c r="P135" s="587"/>
      <c r="Q135" s="587" t="str">
        <f t="shared" si="53"/>
        <v/>
      </c>
      <c r="R135" s="587"/>
      <c r="S135" s="587" t="str">
        <f t="shared" si="47"/>
        <v/>
      </c>
      <c r="T135" s="587"/>
      <c r="U135" s="587" t="str">
        <f t="shared" si="48"/>
        <v/>
      </c>
      <c r="V135" s="587" t="s">
        <v>957</v>
      </c>
      <c r="W135" s="587">
        <f t="shared" si="49"/>
        <v>12.64</v>
      </c>
      <c r="X135" s="587"/>
      <c r="Y135" s="587" t="str">
        <f t="shared" si="34"/>
        <v/>
      </c>
      <c r="Z135" s="587"/>
      <c r="AA135" s="587" t="str">
        <f t="shared" si="29"/>
        <v/>
      </c>
      <c r="AB135" s="587"/>
      <c r="AC135" s="587" t="str">
        <f t="shared" si="30"/>
        <v/>
      </c>
      <c r="AD135" s="586"/>
      <c r="AE135" s="587" t="str">
        <f t="shared" si="54"/>
        <v/>
      </c>
    </row>
    <row r="136" spans="2:31">
      <c r="B136" s="586" t="s">
        <v>396</v>
      </c>
      <c r="C136" s="587">
        <v>1.95</v>
      </c>
      <c r="D136" s="588" t="s">
        <v>957</v>
      </c>
      <c r="E136" s="587">
        <v>2.4500000000000002</v>
      </c>
      <c r="F136" s="587">
        <f t="shared" si="50"/>
        <v>4.7774999999999999</v>
      </c>
      <c r="G136" s="587">
        <f t="shared" si="51"/>
        <v>8.8000000000000007</v>
      </c>
      <c r="H136" s="589" t="s">
        <v>957</v>
      </c>
      <c r="I136" s="587">
        <f t="shared" si="45"/>
        <v>4.7774999999999999</v>
      </c>
      <c r="J136" s="589" t="s">
        <v>957</v>
      </c>
      <c r="K136" s="587">
        <f t="shared" si="52"/>
        <v>8.8000000000000007</v>
      </c>
      <c r="L136" s="587"/>
      <c r="M136" s="587"/>
      <c r="N136" s="587"/>
      <c r="O136" s="587" t="str">
        <f t="shared" si="46"/>
        <v/>
      </c>
      <c r="P136" s="587"/>
      <c r="Q136" s="587" t="str">
        <f t="shared" si="53"/>
        <v/>
      </c>
      <c r="R136" s="587"/>
      <c r="S136" s="587" t="str">
        <f t="shared" si="47"/>
        <v/>
      </c>
      <c r="T136" s="587"/>
      <c r="U136" s="587" t="str">
        <f t="shared" si="48"/>
        <v/>
      </c>
      <c r="V136" s="587" t="s">
        <v>957</v>
      </c>
      <c r="W136" s="587">
        <f t="shared" si="49"/>
        <v>4.7774999999999999</v>
      </c>
      <c r="X136" s="587"/>
      <c r="Y136" s="587" t="str">
        <f t="shared" si="34"/>
        <v/>
      </c>
      <c r="Z136" s="587"/>
      <c r="AA136" s="587" t="str">
        <f t="shared" si="29"/>
        <v/>
      </c>
      <c r="AB136" s="587"/>
      <c r="AC136" s="587" t="str">
        <f t="shared" si="30"/>
        <v/>
      </c>
      <c r="AD136" s="586"/>
      <c r="AE136" s="587" t="str">
        <f t="shared" si="54"/>
        <v/>
      </c>
    </row>
    <row r="137" spans="2:31">
      <c r="B137" s="586" t="s">
        <v>397</v>
      </c>
      <c r="C137" s="587">
        <v>1.95</v>
      </c>
      <c r="D137" s="588" t="s">
        <v>957</v>
      </c>
      <c r="E137" s="587">
        <v>1.35</v>
      </c>
      <c r="F137" s="587">
        <f t="shared" si="50"/>
        <v>2.6325000000000003</v>
      </c>
      <c r="G137" s="587">
        <f t="shared" si="51"/>
        <v>6.6</v>
      </c>
      <c r="H137" s="589" t="s">
        <v>957</v>
      </c>
      <c r="I137" s="587">
        <f t="shared" si="45"/>
        <v>2.6325000000000003</v>
      </c>
      <c r="J137" s="589" t="s">
        <v>957</v>
      </c>
      <c r="K137" s="587">
        <f t="shared" si="52"/>
        <v>6.6</v>
      </c>
      <c r="L137" s="587"/>
      <c r="M137" s="587"/>
      <c r="N137" s="587"/>
      <c r="O137" s="587" t="str">
        <f t="shared" si="46"/>
        <v/>
      </c>
      <c r="P137" s="587"/>
      <c r="Q137" s="587" t="str">
        <f t="shared" si="53"/>
        <v/>
      </c>
      <c r="R137" s="587"/>
      <c r="S137" s="587" t="str">
        <f t="shared" si="47"/>
        <v/>
      </c>
      <c r="T137" s="587"/>
      <c r="U137" s="587" t="str">
        <f t="shared" si="48"/>
        <v/>
      </c>
      <c r="V137" s="587" t="s">
        <v>957</v>
      </c>
      <c r="W137" s="587">
        <f t="shared" si="49"/>
        <v>2.6325000000000003</v>
      </c>
      <c r="X137" s="587"/>
      <c r="Y137" s="587" t="str">
        <f t="shared" si="34"/>
        <v/>
      </c>
      <c r="Z137" s="587"/>
      <c r="AA137" s="587" t="str">
        <f t="shared" si="29"/>
        <v/>
      </c>
      <c r="AB137" s="587"/>
      <c r="AC137" s="587" t="str">
        <f t="shared" si="30"/>
        <v/>
      </c>
      <c r="AD137" s="586"/>
      <c r="AE137" s="587" t="str">
        <f t="shared" si="54"/>
        <v/>
      </c>
    </row>
    <row r="138" spans="2:31">
      <c r="B138" s="586" t="s">
        <v>398</v>
      </c>
      <c r="C138" s="587">
        <v>2</v>
      </c>
      <c r="D138" s="588" t="s">
        <v>957</v>
      </c>
      <c r="E138" s="587">
        <v>21.8</v>
      </c>
      <c r="F138" s="587">
        <f t="shared" si="50"/>
        <v>43.6</v>
      </c>
      <c r="G138" s="587">
        <f t="shared" si="51"/>
        <v>47.6</v>
      </c>
      <c r="H138" s="589" t="s">
        <v>957</v>
      </c>
      <c r="I138" s="587">
        <f t="shared" si="45"/>
        <v>43.6</v>
      </c>
      <c r="J138" s="589" t="s">
        <v>957</v>
      </c>
      <c r="K138" s="587">
        <f t="shared" si="52"/>
        <v>47.6</v>
      </c>
      <c r="L138" s="587"/>
      <c r="M138" s="587"/>
      <c r="N138" s="587"/>
      <c r="O138" s="587" t="str">
        <f t="shared" si="46"/>
        <v/>
      </c>
      <c r="P138" s="587"/>
      <c r="Q138" s="587" t="str">
        <f t="shared" si="53"/>
        <v/>
      </c>
      <c r="R138" s="587"/>
      <c r="S138" s="587" t="str">
        <f t="shared" si="47"/>
        <v/>
      </c>
      <c r="T138" s="587"/>
      <c r="U138" s="587" t="str">
        <f t="shared" si="48"/>
        <v/>
      </c>
      <c r="V138" s="587" t="s">
        <v>957</v>
      </c>
      <c r="W138" s="587">
        <f t="shared" si="49"/>
        <v>43.6</v>
      </c>
      <c r="X138" s="587" t="s">
        <v>952</v>
      </c>
      <c r="Y138" s="587">
        <f t="shared" si="34"/>
        <v>43.6</v>
      </c>
      <c r="Z138" s="587"/>
      <c r="AA138" s="587" t="str">
        <f t="shared" si="29"/>
        <v/>
      </c>
      <c r="AB138" s="587"/>
      <c r="AC138" s="587" t="str">
        <f t="shared" si="30"/>
        <v/>
      </c>
      <c r="AD138" s="586"/>
      <c r="AE138" s="587" t="str">
        <f t="shared" si="54"/>
        <v/>
      </c>
    </row>
    <row r="139" spans="2:31">
      <c r="B139" s="586" t="s">
        <v>399</v>
      </c>
      <c r="C139" s="587">
        <v>4.3</v>
      </c>
      <c r="D139" s="588" t="s">
        <v>957</v>
      </c>
      <c r="E139" s="587">
        <v>2.95</v>
      </c>
      <c r="F139" s="587">
        <f t="shared" si="50"/>
        <v>12.685</v>
      </c>
      <c r="G139" s="587">
        <f t="shared" si="51"/>
        <v>14.5</v>
      </c>
      <c r="H139" s="589" t="s">
        <v>957</v>
      </c>
      <c r="I139" s="587">
        <f t="shared" si="45"/>
        <v>12.685</v>
      </c>
      <c r="J139" s="589" t="s">
        <v>957</v>
      </c>
      <c r="K139" s="587">
        <f t="shared" si="52"/>
        <v>14.5</v>
      </c>
      <c r="L139" s="587"/>
      <c r="M139" s="587"/>
      <c r="N139" s="587"/>
      <c r="O139" s="587" t="str">
        <f t="shared" si="46"/>
        <v/>
      </c>
      <c r="P139" s="587"/>
      <c r="Q139" s="587" t="str">
        <f t="shared" si="53"/>
        <v/>
      </c>
      <c r="R139" s="587"/>
      <c r="S139" s="587" t="str">
        <f t="shared" si="47"/>
        <v/>
      </c>
      <c r="T139" s="587"/>
      <c r="U139" s="587" t="str">
        <f t="shared" si="48"/>
        <v/>
      </c>
      <c r="V139" s="587" t="s">
        <v>957</v>
      </c>
      <c r="W139" s="587">
        <f t="shared" si="49"/>
        <v>12.685</v>
      </c>
      <c r="X139" s="587" t="s">
        <v>952</v>
      </c>
      <c r="Y139" s="587">
        <f t="shared" si="34"/>
        <v>12.685</v>
      </c>
      <c r="Z139" s="587"/>
      <c r="AA139" s="587" t="str">
        <f t="shared" ref="AA139:AA202" si="55">IF(Z139="x",F139,"")</f>
        <v/>
      </c>
      <c r="AB139" s="587"/>
      <c r="AC139" s="587" t="str">
        <f t="shared" ref="AC139:AC202" si="56">IF(AB139="x",F139,"")</f>
        <v/>
      </c>
      <c r="AD139" s="586"/>
      <c r="AE139" s="587" t="str">
        <f t="shared" si="54"/>
        <v/>
      </c>
    </row>
    <row r="140" spans="2:31">
      <c r="B140" s="592" t="s">
        <v>963</v>
      </c>
      <c r="C140" s="593"/>
      <c r="D140" s="592"/>
      <c r="E140" s="594"/>
      <c r="F140" s="593"/>
      <c r="G140" s="594"/>
      <c r="H140" s="595"/>
      <c r="I140" s="594"/>
      <c r="J140" s="595"/>
      <c r="K140" s="587" t="str">
        <f t="shared" si="52"/>
        <v/>
      </c>
      <c r="L140" s="594"/>
      <c r="M140" s="594"/>
      <c r="N140" s="594"/>
      <c r="O140" s="594"/>
      <c r="P140" s="594"/>
      <c r="Q140" s="587" t="str">
        <f t="shared" si="53"/>
        <v/>
      </c>
      <c r="R140" s="594"/>
      <c r="S140" s="594"/>
      <c r="T140" s="594"/>
      <c r="U140" s="594"/>
      <c r="V140" s="594"/>
      <c r="W140" s="594"/>
      <c r="X140" s="594"/>
      <c r="Y140" s="587" t="str">
        <f t="shared" si="34"/>
        <v/>
      </c>
      <c r="Z140" s="594"/>
      <c r="AA140" s="587" t="str">
        <f t="shared" si="55"/>
        <v/>
      </c>
      <c r="AB140" s="594"/>
      <c r="AC140" s="587" t="str">
        <f t="shared" si="56"/>
        <v/>
      </c>
      <c r="AD140" s="586"/>
      <c r="AE140" s="587" t="str">
        <f t="shared" si="54"/>
        <v/>
      </c>
    </row>
    <row r="141" spans="2:31">
      <c r="B141" s="586" t="s">
        <v>400</v>
      </c>
      <c r="C141" s="587"/>
      <c r="D141" s="588" t="s">
        <v>957</v>
      </c>
      <c r="E141" s="587"/>
      <c r="F141" s="587">
        <f>9.25*3.65+7.87*2.5+1.95*4.07</f>
        <v>61.374000000000002</v>
      </c>
      <c r="G141" s="587">
        <f>9.25+5.6+4.07+1.95+2.38+7.87+2.5+7.87+3.65</f>
        <v>45.14</v>
      </c>
      <c r="H141" s="589" t="s">
        <v>957</v>
      </c>
      <c r="I141" s="587">
        <f t="shared" ref="I141:I156" si="57">IF(H141="x",F141,"")</f>
        <v>61.374000000000002</v>
      </c>
      <c r="J141" s="589" t="s">
        <v>957</v>
      </c>
      <c r="K141" s="587">
        <f t="shared" si="52"/>
        <v>45.14</v>
      </c>
      <c r="L141" s="587"/>
      <c r="M141" s="587"/>
      <c r="N141" s="587"/>
      <c r="O141" s="587" t="str">
        <f t="shared" ref="O141:O156" si="58">IF(N141="x",F141,"")</f>
        <v/>
      </c>
      <c r="P141" s="587"/>
      <c r="Q141" s="587" t="str">
        <f t="shared" si="53"/>
        <v/>
      </c>
      <c r="R141" s="587"/>
      <c r="S141" s="587" t="str">
        <f t="shared" ref="S141:S156" si="59">IF(R141="x",F141,"")</f>
        <v/>
      </c>
      <c r="T141" s="587"/>
      <c r="U141" s="587" t="str">
        <f t="shared" ref="U141:U156" si="60">IF(T141="x",F141,"")</f>
        <v/>
      </c>
      <c r="V141" s="587" t="s">
        <v>957</v>
      </c>
      <c r="W141" s="587">
        <f t="shared" ref="W141:W156" si="61">IF(V141="x",F141,"")</f>
        <v>61.374000000000002</v>
      </c>
      <c r="X141" s="587"/>
      <c r="Y141" s="587" t="str">
        <f t="shared" si="34"/>
        <v/>
      </c>
      <c r="Z141" s="587"/>
      <c r="AA141" s="587" t="str">
        <f t="shared" si="55"/>
        <v/>
      </c>
      <c r="AB141" s="587"/>
      <c r="AC141" s="587" t="str">
        <f t="shared" si="56"/>
        <v/>
      </c>
      <c r="AD141" s="586"/>
      <c r="AE141" s="587" t="str">
        <f t="shared" si="54"/>
        <v/>
      </c>
    </row>
    <row r="142" spans="2:31">
      <c r="B142" s="586" t="s">
        <v>401</v>
      </c>
      <c r="C142" s="587"/>
      <c r="D142" s="588" t="s">
        <v>957</v>
      </c>
      <c r="E142" s="587"/>
      <c r="F142" s="587">
        <v>7.17</v>
      </c>
      <c r="G142" s="587">
        <f>(2.37+3.3)*2</f>
        <v>11.34</v>
      </c>
      <c r="H142" s="589" t="s">
        <v>957</v>
      </c>
      <c r="I142" s="587">
        <f t="shared" si="57"/>
        <v>7.17</v>
      </c>
      <c r="J142" s="589" t="s">
        <v>957</v>
      </c>
      <c r="K142" s="587">
        <f t="shared" si="52"/>
        <v>11.34</v>
      </c>
      <c r="L142" s="587"/>
      <c r="M142" s="587"/>
      <c r="N142" s="587"/>
      <c r="O142" s="587" t="str">
        <f t="shared" si="58"/>
        <v/>
      </c>
      <c r="P142" s="587"/>
      <c r="Q142" s="587" t="str">
        <f t="shared" si="53"/>
        <v/>
      </c>
      <c r="R142" s="587"/>
      <c r="S142" s="587" t="str">
        <f t="shared" si="59"/>
        <v/>
      </c>
      <c r="T142" s="587"/>
      <c r="U142" s="587" t="str">
        <f t="shared" si="60"/>
        <v/>
      </c>
      <c r="V142" s="587" t="s">
        <v>957</v>
      </c>
      <c r="W142" s="587">
        <f t="shared" si="61"/>
        <v>7.17</v>
      </c>
      <c r="X142" s="587"/>
      <c r="Y142" s="587" t="str">
        <f t="shared" si="34"/>
        <v/>
      </c>
      <c r="Z142" s="587"/>
      <c r="AA142" s="587" t="str">
        <f t="shared" si="55"/>
        <v/>
      </c>
      <c r="AB142" s="587"/>
      <c r="AC142" s="587" t="str">
        <f t="shared" si="56"/>
        <v/>
      </c>
      <c r="AD142" s="586"/>
      <c r="AE142" s="587" t="str">
        <f t="shared" si="54"/>
        <v/>
      </c>
    </row>
    <row r="143" spans="2:31">
      <c r="B143" s="586" t="s">
        <v>402</v>
      </c>
      <c r="C143" s="587">
        <v>4.12</v>
      </c>
      <c r="D143" s="588" t="s">
        <v>957</v>
      </c>
      <c r="E143" s="587">
        <v>2.95</v>
      </c>
      <c r="F143" s="587">
        <f t="shared" ref="F143:F149" si="62">C143*E143</f>
        <v>12.154000000000002</v>
      </c>
      <c r="G143" s="587">
        <f t="shared" ref="G143:G149" si="63">(C143+E143)*2</f>
        <v>14.14</v>
      </c>
      <c r="H143" s="589" t="s">
        <v>957</v>
      </c>
      <c r="I143" s="587">
        <f t="shared" si="57"/>
        <v>12.154000000000002</v>
      </c>
      <c r="J143" s="589" t="s">
        <v>957</v>
      </c>
      <c r="K143" s="587">
        <f t="shared" si="52"/>
        <v>14.14</v>
      </c>
      <c r="L143" s="587"/>
      <c r="M143" s="587"/>
      <c r="N143" s="587"/>
      <c r="O143" s="587" t="str">
        <f t="shared" si="58"/>
        <v/>
      </c>
      <c r="P143" s="587"/>
      <c r="Q143" s="587" t="str">
        <f t="shared" si="53"/>
        <v/>
      </c>
      <c r="R143" s="587"/>
      <c r="S143" s="587" t="str">
        <f t="shared" si="59"/>
        <v/>
      </c>
      <c r="T143" s="587"/>
      <c r="U143" s="587" t="str">
        <f t="shared" si="60"/>
        <v/>
      </c>
      <c r="V143" s="587" t="s">
        <v>957</v>
      </c>
      <c r="W143" s="587">
        <f t="shared" si="61"/>
        <v>12.154000000000002</v>
      </c>
      <c r="X143" s="587"/>
      <c r="Y143" s="587" t="str">
        <f t="shared" si="34"/>
        <v/>
      </c>
      <c r="Z143" s="587"/>
      <c r="AA143" s="587" t="str">
        <f t="shared" si="55"/>
        <v/>
      </c>
      <c r="AB143" s="587"/>
      <c r="AC143" s="587" t="str">
        <f t="shared" si="56"/>
        <v/>
      </c>
      <c r="AD143" s="586"/>
      <c r="AE143" s="587" t="str">
        <f t="shared" si="54"/>
        <v/>
      </c>
    </row>
    <row r="144" spans="2:31">
      <c r="B144" s="586" t="s">
        <v>403</v>
      </c>
      <c r="C144" s="587">
        <v>2</v>
      </c>
      <c r="D144" s="588" t="s">
        <v>957</v>
      </c>
      <c r="E144" s="587">
        <f>2.15+1.2</f>
        <v>3.3499999999999996</v>
      </c>
      <c r="F144" s="587">
        <f t="shared" si="62"/>
        <v>6.6999999999999993</v>
      </c>
      <c r="G144" s="587">
        <f t="shared" si="63"/>
        <v>10.7</v>
      </c>
      <c r="H144" s="589" t="s">
        <v>957</v>
      </c>
      <c r="I144" s="587">
        <f t="shared" si="57"/>
        <v>6.6999999999999993</v>
      </c>
      <c r="J144" s="589" t="s">
        <v>957</v>
      </c>
      <c r="K144" s="587">
        <f t="shared" si="52"/>
        <v>10.7</v>
      </c>
      <c r="L144" s="587"/>
      <c r="M144" s="587"/>
      <c r="N144" s="587"/>
      <c r="O144" s="587" t="str">
        <f t="shared" si="58"/>
        <v/>
      </c>
      <c r="P144" s="587"/>
      <c r="Q144" s="587" t="str">
        <f t="shared" si="53"/>
        <v/>
      </c>
      <c r="R144" s="587"/>
      <c r="S144" s="587" t="str">
        <f t="shared" si="59"/>
        <v/>
      </c>
      <c r="T144" s="587"/>
      <c r="U144" s="587" t="str">
        <f t="shared" si="60"/>
        <v/>
      </c>
      <c r="V144" s="587" t="s">
        <v>957</v>
      </c>
      <c r="W144" s="587">
        <f t="shared" si="61"/>
        <v>6.6999999999999993</v>
      </c>
      <c r="X144" s="587"/>
      <c r="Y144" s="587" t="str">
        <f t="shared" ref="Y144:Y207" si="64">IF(X144="x",F144,"")</f>
        <v/>
      </c>
      <c r="Z144" s="587"/>
      <c r="AA144" s="587" t="str">
        <f t="shared" si="55"/>
        <v/>
      </c>
      <c r="AB144" s="587"/>
      <c r="AC144" s="587" t="str">
        <f t="shared" si="56"/>
        <v/>
      </c>
      <c r="AD144" s="586"/>
      <c r="AE144" s="587" t="str">
        <f t="shared" si="54"/>
        <v/>
      </c>
    </row>
    <row r="145" spans="2:31">
      <c r="B145" s="586" t="s">
        <v>404</v>
      </c>
      <c r="C145" s="587"/>
      <c r="D145" s="588" t="s">
        <v>957</v>
      </c>
      <c r="E145" s="587"/>
      <c r="F145" s="587">
        <f>1.97*4.85+2.15*1.2</f>
        <v>12.134499999999999</v>
      </c>
      <c r="G145" s="587">
        <v>17.939999999999998</v>
      </c>
      <c r="H145" s="589" t="s">
        <v>957</v>
      </c>
      <c r="I145" s="587">
        <f t="shared" si="57"/>
        <v>12.134499999999999</v>
      </c>
      <c r="J145" s="589" t="s">
        <v>957</v>
      </c>
      <c r="K145" s="587">
        <f t="shared" si="52"/>
        <v>17.939999999999998</v>
      </c>
      <c r="L145" s="587"/>
      <c r="M145" s="587"/>
      <c r="N145" s="587"/>
      <c r="O145" s="587" t="str">
        <f t="shared" si="58"/>
        <v/>
      </c>
      <c r="P145" s="587"/>
      <c r="Q145" s="587" t="str">
        <f t="shared" si="53"/>
        <v/>
      </c>
      <c r="R145" s="587"/>
      <c r="S145" s="587" t="str">
        <f t="shared" si="59"/>
        <v/>
      </c>
      <c r="T145" s="587"/>
      <c r="U145" s="587" t="str">
        <f t="shared" si="60"/>
        <v/>
      </c>
      <c r="V145" s="587" t="s">
        <v>957</v>
      </c>
      <c r="W145" s="587">
        <f t="shared" si="61"/>
        <v>12.134499999999999</v>
      </c>
      <c r="X145" s="587"/>
      <c r="Y145" s="587" t="str">
        <f t="shared" si="64"/>
        <v/>
      </c>
      <c r="Z145" s="587"/>
      <c r="AA145" s="587" t="str">
        <f t="shared" si="55"/>
        <v/>
      </c>
      <c r="AB145" s="587"/>
      <c r="AC145" s="587" t="str">
        <f t="shared" si="56"/>
        <v/>
      </c>
      <c r="AD145" s="586"/>
      <c r="AE145" s="587" t="str">
        <f t="shared" si="54"/>
        <v/>
      </c>
    </row>
    <row r="146" spans="2:31">
      <c r="B146" s="586" t="s">
        <v>405</v>
      </c>
      <c r="C146" s="587">
        <v>4.12</v>
      </c>
      <c r="D146" s="588" t="s">
        <v>957</v>
      </c>
      <c r="E146" s="587">
        <v>2.5</v>
      </c>
      <c r="F146" s="587">
        <f t="shared" si="62"/>
        <v>10.3</v>
      </c>
      <c r="G146" s="587">
        <f t="shared" si="63"/>
        <v>13.24</v>
      </c>
      <c r="H146" s="589" t="s">
        <v>957</v>
      </c>
      <c r="I146" s="587">
        <f t="shared" si="57"/>
        <v>10.3</v>
      </c>
      <c r="J146" s="589" t="s">
        <v>957</v>
      </c>
      <c r="K146" s="587">
        <f t="shared" si="52"/>
        <v>13.24</v>
      </c>
      <c r="L146" s="587"/>
      <c r="M146" s="587"/>
      <c r="N146" s="587"/>
      <c r="O146" s="587" t="str">
        <f t="shared" si="58"/>
        <v/>
      </c>
      <c r="P146" s="587"/>
      <c r="Q146" s="587" t="str">
        <f t="shared" si="53"/>
        <v/>
      </c>
      <c r="R146" s="587"/>
      <c r="S146" s="587" t="str">
        <f t="shared" si="59"/>
        <v/>
      </c>
      <c r="T146" s="587"/>
      <c r="U146" s="587" t="str">
        <f t="shared" si="60"/>
        <v/>
      </c>
      <c r="V146" s="587" t="s">
        <v>957</v>
      </c>
      <c r="W146" s="587">
        <f t="shared" si="61"/>
        <v>10.3</v>
      </c>
      <c r="X146" s="587"/>
      <c r="Y146" s="587" t="str">
        <f t="shared" si="64"/>
        <v/>
      </c>
      <c r="Z146" s="587"/>
      <c r="AA146" s="587" t="str">
        <f t="shared" si="55"/>
        <v/>
      </c>
      <c r="AB146" s="587"/>
      <c r="AC146" s="587" t="str">
        <f t="shared" si="56"/>
        <v/>
      </c>
      <c r="AD146" s="586"/>
      <c r="AE146" s="587" t="str">
        <f t="shared" si="54"/>
        <v/>
      </c>
    </row>
    <row r="147" spans="2:31">
      <c r="B147" s="586" t="s">
        <v>406</v>
      </c>
      <c r="C147" s="587">
        <v>1.8</v>
      </c>
      <c r="D147" s="588" t="s">
        <v>957</v>
      </c>
      <c r="E147" s="587">
        <v>2.25</v>
      </c>
      <c r="F147" s="587">
        <f t="shared" si="62"/>
        <v>4.05</v>
      </c>
      <c r="G147" s="587">
        <f t="shared" si="63"/>
        <v>8.1</v>
      </c>
      <c r="H147" s="589" t="s">
        <v>957</v>
      </c>
      <c r="I147" s="587">
        <f t="shared" si="57"/>
        <v>4.05</v>
      </c>
      <c r="J147" s="589" t="s">
        <v>957</v>
      </c>
      <c r="K147" s="587">
        <f t="shared" si="52"/>
        <v>8.1</v>
      </c>
      <c r="L147" s="587"/>
      <c r="M147" s="587"/>
      <c r="N147" s="587"/>
      <c r="O147" s="587" t="str">
        <f t="shared" si="58"/>
        <v/>
      </c>
      <c r="P147" s="587"/>
      <c r="Q147" s="587" t="str">
        <f t="shared" si="53"/>
        <v/>
      </c>
      <c r="R147" s="587"/>
      <c r="S147" s="587" t="str">
        <f t="shared" si="59"/>
        <v/>
      </c>
      <c r="T147" s="587"/>
      <c r="U147" s="587" t="str">
        <f t="shared" si="60"/>
        <v/>
      </c>
      <c r="V147" s="587" t="s">
        <v>957</v>
      </c>
      <c r="W147" s="587">
        <f t="shared" si="61"/>
        <v>4.05</v>
      </c>
      <c r="X147" s="587"/>
      <c r="Y147" s="587" t="str">
        <f t="shared" si="64"/>
        <v/>
      </c>
      <c r="Z147" s="587"/>
      <c r="AA147" s="587" t="str">
        <f t="shared" si="55"/>
        <v/>
      </c>
      <c r="AB147" s="587"/>
      <c r="AC147" s="587" t="str">
        <f t="shared" si="56"/>
        <v/>
      </c>
      <c r="AD147" s="586"/>
      <c r="AE147" s="587" t="str">
        <f t="shared" si="54"/>
        <v/>
      </c>
    </row>
    <row r="148" spans="2:31">
      <c r="B148" s="586" t="s">
        <v>407</v>
      </c>
      <c r="C148" s="587">
        <v>2.17</v>
      </c>
      <c r="D148" s="588" t="s">
        <v>957</v>
      </c>
      <c r="E148" s="587">
        <v>2.25</v>
      </c>
      <c r="F148" s="587">
        <f t="shared" si="62"/>
        <v>4.8825000000000003</v>
      </c>
      <c r="G148" s="587">
        <f t="shared" si="63"/>
        <v>8.84</v>
      </c>
      <c r="H148" s="589" t="s">
        <v>957</v>
      </c>
      <c r="I148" s="587">
        <f t="shared" si="57"/>
        <v>4.8825000000000003</v>
      </c>
      <c r="J148" s="589" t="s">
        <v>957</v>
      </c>
      <c r="K148" s="587">
        <f t="shared" si="52"/>
        <v>8.84</v>
      </c>
      <c r="L148" s="587"/>
      <c r="M148" s="587"/>
      <c r="N148" s="587"/>
      <c r="O148" s="587" t="str">
        <f t="shared" si="58"/>
        <v/>
      </c>
      <c r="P148" s="587"/>
      <c r="Q148" s="587" t="str">
        <f t="shared" si="53"/>
        <v/>
      </c>
      <c r="R148" s="587"/>
      <c r="S148" s="587" t="str">
        <f t="shared" si="59"/>
        <v/>
      </c>
      <c r="T148" s="587"/>
      <c r="U148" s="587" t="str">
        <f t="shared" si="60"/>
        <v/>
      </c>
      <c r="V148" s="587"/>
      <c r="W148" s="587" t="str">
        <f t="shared" si="61"/>
        <v/>
      </c>
      <c r="X148" s="587"/>
      <c r="Y148" s="587" t="str">
        <f t="shared" si="64"/>
        <v/>
      </c>
      <c r="Z148" s="587" t="s">
        <v>952</v>
      </c>
      <c r="AA148" s="587">
        <f t="shared" si="55"/>
        <v>4.8825000000000003</v>
      </c>
      <c r="AB148" s="587"/>
      <c r="AC148" s="587" t="str">
        <f t="shared" si="56"/>
        <v/>
      </c>
      <c r="AD148" s="586"/>
      <c r="AE148" s="587" t="str">
        <f t="shared" si="54"/>
        <v/>
      </c>
    </row>
    <row r="149" spans="2:31">
      <c r="B149" s="586" t="s">
        <v>408</v>
      </c>
      <c r="C149" s="587">
        <v>5.77</v>
      </c>
      <c r="D149" s="588" t="s">
        <v>957</v>
      </c>
      <c r="E149" s="587">
        <v>4.0999999999999996</v>
      </c>
      <c r="F149" s="587">
        <f t="shared" si="62"/>
        <v>23.656999999999996</v>
      </c>
      <c r="G149" s="587">
        <f t="shared" si="63"/>
        <v>19.739999999999998</v>
      </c>
      <c r="H149" s="589" t="s">
        <v>957</v>
      </c>
      <c r="I149" s="587">
        <f t="shared" si="57"/>
        <v>23.656999999999996</v>
      </c>
      <c r="J149" s="589" t="s">
        <v>957</v>
      </c>
      <c r="K149" s="587">
        <f t="shared" si="52"/>
        <v>19.739999999999998</v>
      </c>
      <c r="L149" s="587"/>
      <c r="M149" s="587"/>
      <c r="N149" s="587"/>
      <c r="O149" s="587" t="str">
        <f t="shared" si="58"/>
        <v/>
      </c>
      <c r="P149" s="587"/>
      <c r="Q149" s="587" t="str">
        <f t="shared" si="53"/>
        <v/>
      </c>
      <c r="R149" s="587"/>
      <c r="S149" s="587" t="str">
        <f t="shared" si="59"/>
        <v/>
      </c>
      <c r="T149" s="587"/>
      <c r="U149" s="587" t="str">
        <f t="shared" si="60"/>
        <v/>
      </c>
      <c r="V149" s="587"/>
      <c r="W149" s="587" t="str">
        <f t="shared" si="61"/>
        <v/>
      </c>
      <c r="X149" s="587"/>
      <c r="Y149" s="587" t="str">
        <f t="shared" si="64"/>
        <v/>
      </c>
      <c r="Z149" s="587" t="s">
        <v>952</v>
      </c>
      <c r="AA149" s="587">
        <f t="shared" si="55"/>
        <v>23.656999999999996</v>
      </c>
      <c r="AB149" s="587"/>
      <c r="AC149" s="587" t="str">
        <f t="shared" si="56"/>
        <v/>
      </c>
      <c r="AD149" s="586"/>
      <c r="AE149" s="587" t="str">
        <f t="shared" si="54"/>
        <v/>
      </c>
    </row>
    <row r="150" spans="2:31">
      <c r="B150" s="586" t="s">
        <v>325</v>
      </c>
      <c r="C150" s="587"/>
      <c r="D150" s="588"/>
      <c r="E150" s="587"/>
      <c r="F150" s="587">
        <f>1.5*15.05+2.77*1.75</f>
        <v>27.422500000000003</v>
      </c>
      <c r="G150" s="587">
        <f>(1.5+15.05+2.77+1.75)*2-1.75*2</f>
        <v>38.64</v>
      </c>
      <c r="H150" s="589" t="s">
        <v>957</v>
      </c>
      <c r="I150" s="587">
        <f t="shared" si="57"/>
        <v>27.422500000000003</v>
      </c>
      <c r="J150" s="589" t="s">
        <v>957</v>
      </c>
      <c r="K150" s="587">
        <f t="shared" si="52"/>
        <v>38.64</v>
      </c>
      <c r="L150" s="587"/>
      <c r="M150" s="587"/>
      <c r="N150" s="587"/>
      <c r="O150" s="587" t="str">
        <f t="shared" si="58"/>
        <v/>
      </c>
      <c r="P150" s="587"/>
      <c r="Q150" s="587" t="str">
        <f t="shared" si="53"/>
        <v/>
      </c>
      <c r="R150" s="587"/>
      <c r="S150" s="587" t="str">
        <f t="shared" si="59"/>
        <v/>
      </c>
      <c r="T150" s="587"/>
      <c r="U150" s="587" t="str">
        <f t="shared" si="60"/>
        <v/>
      </c>
      <c r="V150" s="587"/>
      <c r="W150" s="587" t="str">
        <f t="shared" si="61"/>
        <v/>
      </c>
      <c r="X150" s="587" t="s">
        <v>952</v>
      </c>
      <c r="Y150" s="587">
        <f t="shared" si="64"/>
        <v>27.422500000000003</v>
      </c>
      <c r="Z150" s="587"/>
      <c r="AA150" s="587" t="str">
        <f t="shared" si="55"/>
        <v/>
      </c>
      <c r="AB150" s="587"/>
      <c r="AC150" s="587" t="str">
        <f t="shared" si="56"/>
        <v/>
      </c>
      <c r="AD150" s="586"/>
      <c r="AE150" s="587" t="str">
        <f t="shared" si="54"/>
        <v/>
      </c>
    </row>
    <row r="151" spans="2:31">
      <c r="B151" s="586" t="s">
        <v>409</v>
      </c>
      <c r="C151" s="587">
        <v>4</v>
      </c>
      <c r="D151" s="588" t="s">
        <v>957</v>
      </c>
      <c r="E151" s="587">
        <v>8.3000000000000007</v>
      </c>
      <c r="F151" s="587">
        <f>C151*E151</f>
        <v>33.200000000000003</v>
      </c>
      <c r="G151" s="587">
        <f>(C151+E151)*2</f>
        <v>24.6</v>
      </c>
      <c r="H151" s="589" t="s">
        <v>957</v>
      </c>
      <c r="I151" s="587">
        <f t="shared" si="57"/>
        <v>33.200000000000003</v>
      </c>
      <c r="J151" s="589" t="s">
        <v>957</v>
      </c>
      <c r="K151" s="587">
        <f t="shared" si="52"/>
        <v>24.6</v>
      </c>
      <c r="L151" s="587"/>
      <c r="M151" s="587"/>
      <c r="N151" s="587"/>
      <c r="O151" s="587" t="str">
        <f t="shared" si="58"/>
        <v/>
      </c>
      <c r="P151" s="587"/>
      <c r="Q151" s="587" t="str">
        <f t="shared" si="53"/>
        <v/>
      </c>
      <c r="R151" s="587"/>
      <c r="S151" s="587" t="str">
        <f t="shared" si="59"/>
        <v/>
      </c>
      <c r="T151" s="587"/>
      <c r="U151" s="587" t="str">
        <f t="shared" si="60"/>
        <v/>
      </c>
      <c r="V151" s="587"/>
      <c r="W151" s="587" t="str">
        <f t="shared" si="61"/>
        <v/>
      </c>
      <c r="X151" s="587"/>
      <c r="Y151" s="587" t="str">
        <f t="shared" si="64"/>
        <v/>
      </c>
      <c r="Z151" s="587" t="s">
        <v>952</v>
      </c>
      <c r="AA151" s="587">
        <f t="shared" si="55"/>
        <v>33.200000000000003</v>
      </c>
      <c r="AB151" s="587"/>
      <c r="AC151" s="587" t="str">
        <f t="shared" si="56"/>
        <v/>
      </c>
      <c r="AD151" s="586"/>
      <c r="AE151" s="587" t="str">
        <f t="shared" si="54"/>
        <v/>
      </c>
    </row>
    <row r="152" spans="2:31">
      <c r="B152" s="586" t="s">
        <v>308</v>
      </c>
      <c r="C152" s="587">
        <v>3.59</v>
      </c>
      <c r="D152" s="588" t="s">
        <v>957</v>
      </c>
      <c r="E152" s="587">
        <v>2.2999999999999998</v>
      </c>
      <c r="F152" s="587">
        <f>C152*E152</f>
        <v>8.2569999999999997</v>
      </c>
      <c r="G152" s="587">
        <f>(C152+E152)*2</f>
        <v>11.78</v>
      </c>
      <c r="H152" s="589" t="s">
        <v>957</v>
      </c>
      <c r="I152" s="587">
        <f t="shared" si="57"/>
        <v>8.2569999999999997</v>
      </c>
      <c r="J152" s="589" t="s">
        <v>957</v>
      </c>
      <c r="K152" s="587">
        <f t="shared" si="52"/>
        <v>11.78</v>
      </c>
      <c r="L152" s="587"/>
      <c r="M152" s="587"/>
      <c r="N152" s="587"/>
      <c r="O152" s="587" t="str">
        <f t="shared" si="58"/>
        <v/>
      </c>
      <c r="P152" s="587"/>
      <c r="Q152" s="587" t="str">
        <f t="shared" si="53"/>
        <v/>
      </c>
      <c r="R152" s="587"/>
      <c r="S152" s="587" t="str">
        <f t="shared" si="59"/>
        <v/>
      </c>
      <c r="T152" s="587"/>
      <c r="U152" s="587" t="str">
        <f t="shared" si="60"/>
        <v/>
      </c>
      <c r="V152" s="587" t="s">
        <v>957</v>
      </c>
      <c r="W152" s="587">
        <f t="shared" si="61"/>
        <v>8.2569999999999997</v>
      </c>
      <c r="X152" s="587"/>
      <c r="Y152" s="587" t="str">
        <f t="shared" si="64"/>
        <v/>
      </c>
      <c r="Z152" s="587"/>
      <c r="AA152" s="587" t="str">
        <f t="shared" si="55"/>
        <v/>
      </c>
      <c r="AB152" s="587"/>
      <c r="AC152" s="587" t="str">
        <f t="shared" si="56"/>
        <v/>
      </c>
      <c r="AD152" s="586"/>
      <c r="AE152" s="587" t="str">
        <f t="shared" si="54"/>
        <v/>
      </c>
    </row>
    <row r="153" spans="2:31">
      <c r="B153" s="586" t="s">
        <v>397</v>
      </c>
      <c r="C153" s="587">
        <v>1.39</v>
      </c>
      <c r="D153" s="588" t="s">
        <v>957</v>
      </c>
      <c r="E153" s="587">
        <v>2.2999999999999998</v>
      </c>
      <c r="F153" s="587">
        <f>C153*E153</f>
        <v>3.1969999999999996</v>
      </c>
      <c r="G153" s="587">
        <f>(C153+E153)*2</f>
        <v>7.379999999999999</v>
      </c>
      <c r="H153" s="589" t="s">
        <v>957</v>
      </c>
      <c r="I153" s="587">
        <f t="shared" si="57"/>
        <v>3.1969999999999996</v>
      </c>
      <c r="J153" s="589" t="s">
        <v>957</v>
      </c>
      <c r="K153" s="587">
        <f t="shared" si="52"/>
        <v>7.379999999999999</v>
      </c>
      <c r="L153" s="587"/>
      <c r="M153" s="587"/>
      <c r="N153" s="587"/>
      <c r="O153" s="587" t="str">
        <f t="shared" si="58"/>
        <v/>
      </c>
      <c r="P153" s="587"/>
      <c r="Q153" s="587" t="str">
        <f t="shared" si="53"/>
        <v/>
      </c>
      <c r="R153" s="587"/>
      <c r="S153" s="587" t="str">
        <f t="shared" si="59"/>
        <v/>
      </c>
      <c r="T153" s="587"/>
      <c r="U153" s="587" t="str">
        <f t="shared" si="60"/>
        <v/>
      </c>
      <c r="V153" s="587" t="s">
        <v>957</v>
      </c>
      <c r="W153" s="587">
        <f t="shared" si="61"/>
        <v>3.1969999999999996</v>
      </c>
      <c r="X153" s="587"/>
      <c r="Y153" s="587" t="str">
        <f t="shared" si="64"/>
        <v/>
      </c>
      <c r="Z153" s="587"/>
      <c r="AA153" s="587" t="str">
        <f t="shared" si="55"/>
        <v/>
      </c>
      <c r="AB153" s="587"/>
      <c r="AC153" s="587" t="str">
        <f t="shared" si="56"/>
        <v/>
      </c>
      <c r="AD153" s="586"/>
      <c r="AE153" s="587" t="str">
        <f t="shared" si="54"/>
        <v/>
      </c>
    </row>
    <row r="154" spans="2:31">
      <c r="B154" s="586" t="s">
        <v>302</v>
      </c>
      <c r="C154" s="587">
        <v>5.12</v>
      </c>
      <c r="D154" s="588" t="s">
        <v>957</v>
      </c>
      <c r="E154" s="587">
        <v>2.52</v>
      </c>
      <c r="F154" s="587">
        <f>C154*E154</f>
        <v>12.9024</v>
      </c>
      <c r="G154" s="587">
        <f>(C154+E154)*2</f>
        <v>15.280000000000001</v>
      </c>
      <c r="H154" s="589" t="s">
        <v>957</v>
      </c>
      <c r="I154" s="587">
        <f t="shared" si="57"/>
        <v>12.9024</v>
      </c>
      <c r="J154" s="589" t="s">
        <v>957</v>
      </c>
      <c r="K154" s="587">
        <f t="shared" si="52"/>
        <v>15.280000000000001</v>
      </c>
      <c r="L154" s="587"/>
      <c r="M154" s="587"/>
      <c r="N154" s="587"/>
      <c r="O154" s="587" t="str">
        <f t="shared" si="58"/>
        <v/>
      </c>
      <c r="P154" s="587"/>
      <c r="Q154" s="587" t="str">
        <f t="shared" si="53"/>
        <v/>
      </c>
      <c r="R154" s="587"/>
      <c r="S154" s="587" t="str">
        <f t="shared" si="59"/>
        <v/>
      </c>
      <c r="T154" s="587"/>
      <c r="U154" s="587" t="str">
        <f t="shared" si="60"/>
        <v/>
      </c>
      <c r="V154" s="587" t="s">
        <v>957</v>
      </c>
      <c r="W154" s="587">
        <f t="shared" si="61"/>
        <v>12.9024</v>
      </c>
      <c r="X154" s="587"/>
      <c r="Y154" s="587" t="str">
        <f t="shared" si="64"/>
        <v/>
      </c>
      <c r="Z154" s="587"/>
      <c r="AA154" s="587" t="str">
        <f t="shared" si="55"/>
        <v/>
      </c>
      <c r="AB154" s="587"/>
      <c r="AC154" s="587" t="str">
        <f t="shared" si="56"/>
        <v/>
      </c>
      <c r="AD154" s="586"/>
      <c r="AE154" s="587" t="str">
        <f t="shared" si="54"/>
        <v/>
      </c>
    </row>
    <row r="155" spans="2:31">
      <c r="B155" s="586" t="s">
        <v>410</v>
      </c>
      <c r="C155" s="587">
        <v>5.12</v>
      </c>
      <c r="D155" s="588" t="s">
        <v>957</v>
      </c>
      <c r="E155" s="587">
        <v>3.17</v>
      </c>
      <c r="F155" s="587">
        <f>C155*E155</f>
        <v>16.230399999999999</v>
      </c>
      <c r="G155" s="587">
        <f>(C155+E155)*2</f>
        <v>16.579999999999998</v>
      </c>
      <c r="H155" s="589" t="s">
        <v>957</v>
      </c>
      <c r="I155" s="587">
        <f t="shared" si="57"/>
        <v>16.230399999999999</v>
      </c>
      <c r="J155" s="589" t="s">
        <v>957</v>
      </c>
      <c r="K155" s="587">
        <f t="shared" si="52"/>
        <v>16.579999999999998</v>
      </c>
      <c r="L155" s="587"/>
      <c r="M155" s="587"/>
      <c r="N155" s="587"/>
      <c r="O155" s="587" t="str">
        <f t="shared" si="58"/>
        <v/>
      </c>
      <c r="P155" s="587"/>
      <c r="Q155" s="587" t="str">
        <f t="shared" si="53"/>
        <v/>
      </c>
      <c r="R155" s="587"/>
      <c r="S155" s="587" t="str">
        <f t="shared" si="59"/>
        <v/>
      </c>
      <c r="T155" s="587"/>
      <c r="U155" s="587" t="str">
        <f t="shared" si="60"/>
        <v/>
      </c>
      <c r="V155" s="587" t="s">
        <v>957</v>
      </c>
      <c r="W155" s="587">
        <f t="shared" si="61"/>
        <v>16.230399999999999</v>
      </c>
      <c r="X155" s="587"/>
      <c r="Y155" s="587" t="str">
        <f t="shared" si="64"/>
        <v/>
      </c>
      <c r="Z155" s="587"/>
      <c r="AA155" s="587" t="str">
        <f t="shared" si="55"/>
        <v/>
      </c>
      <c r="AB155" s="587"/>
      <c r="AC155" s="587" t="str">
        <f t="shared" si="56"/>
        <v/>
      </c>
      <c r="AD155" s="586"/>
      <c r="AE155" s="587" t="str">
        <f t="shared" si="54"/>
        <v/>
      </c>
    </row>
    <row r="156" spans="2:31">
      <c r="B156" s="586" t="s">
        <v>411</v>
      </c>
      <c r="C156" s="587"/>
      <c r="D156" s="588"/>
      <c r="E156" s="587"/>
      <c r="F156" s="587">
        <f>14.57*6.4+5.15*8.45</f>
        <v>136.7655</v>
      </c>
      <c r="G156" s="587">
        <f>(14.57+6.4+5.15+8.45)*2-5.15*2</f>
        <v>58.839999999999989</v>
      </c>
      <c r="H156" s="589" t="s">
        <v>957</v>
      </c>
      <c r="I156" s="587">
        <f t="shared" si="57"/>
        <v>136.7655</v>
      </c>
      <c r="J156" s="589" t="s">
        <v>957</v>
      </c>
      <c r="K156" s="587">
        <f t="shared" si="52"/>
        <v>58.839999999999989</v>
      </c>
      <c r="L156" s="587"/>
      <c r="M156" s="587"/>
      <c r="N156" s="587"/>
      <c r="O156" s="587" t="str">
        <f t="shared" si="58"/>
        <v/>
      </c>
      <c r="P156" s="587"/>
      <c r="Q156" s="587" t="str">
        <f t="shared" si="53"/>
        <v/>
      </c>
      <c r="R156" s="587"/>
      <c r="S156" s="587" t="str">
        <f t="shared" si="59"/>
        <v/>
      </c>
      <c r="T156" s="587"/>
      <c r="U156" s="587" t="str">
        <f t="shared" si="60"/>
        <v/>
      </c>
      <c r="V156" s="587" t="s">
        <v>957</v>
      </c>
      <c r="W156" s="587">
        <f t="shared" si="61"/>
        <v>136.7655</v>
      </c>
      <c r="X156" s="587"/>
      <c r="Y156" s="587" t="str">
        <f t="shared" si="64"/>
        <v/>
      </c>
      <c r="Z156" s="587"/>
      <c r="AA156" s="587" t="str">
        <f t="shared" si="55"/>
        <v/>
      </c>
      <c r="AB156" s="587"/>
      <c r="AC156" s="587" t="str">
        <f t="shared" si="56"/>
        <v/>
      </c>
      <c r="AD156" s="586"/>
      <c r="AE156" s="587" t="str">
        <f t="shared" si="54"/>
        <v/>
      </c>
    </row>
    <row r="157" spans="2:31">
      <c r="B157" s="592" t="s">
        <v>964</v>
      </c>
      <c r="C157" s="593"/>
      <c r="D157" s="592"/>
      <c r="E157" s="593"/>
      <c r="F157" s="593"/>
      <c r="G157" s="594"/>
      <c r="H157" s="595"/>
      <c r="I157" s="594"/>
      <c r="J157" s="595"/>
      <c r="K157" s="587" t="str">
        <f t="shared" si="52"/>
        <v/>
      </c>
      <c r="L157" s="594"/>
      <c r="M157" s="594"/>
      <c r="N157" s="594"/>
      <c r="O157" s="594"/>
      <c r="P157" s="594"/>
      <c r="Q157" s="587" t="str">
        <f t="shared" si="53"/>
        <v/>
      </c>
      <c r="R157" s="594"/>
      <c r="S157" s="594"/>
      <c r="T157" s="594"/>
      <c r="U157" s="594"/>
      <c r="V157" s="594"/>
      <c r="W157" s="594"/>
      <c r="X157" s="594"/>
      <c r="Y157" s="587" t="str">
        <f t="shared" si="64"/>
        <v/>
      </c>
      <c r="Z157" s="594"/>
      <c r="AA157" s="587" t="str">
        <f t="shared" si="55"/>
        <v/>
      </c>
      <c r="AB157" s="594"/>
      <c r="AC157" s="587" t="str">
        <f t="shared" si="56"/>
        <v/>
      </c>
      <c r="AD157" s="586"/>
      <c r="AE157" s="587" t="str">
        <f t="shared" si="54"/>
        <v/>
      </c>
    </row>
    <row r="158" spans="2:31">
      <c r="B158" s="586" t="s">
        <v>412</v>
      </c>
      <c r="C158" s="587"/>
      <c r="D158" s="588"/>
      <c r="E158" s="587"/>
      <c r="F158" s="587">
        <v>40.68</v>
      </c>
      <c r="G158" s="587">
        <v>25.71</v>
      </c>
      <c r="H158" s="589" t="s">
        <v>957</v>
      </c>
      <c r="I158" s="587">
        <f>IF(H158="x",F158,"")</f>
        <v>40.68</v>
      </c>
      <c r="J158" s="589" t="s">
        <v>957</v>
      </c>
      <c r="K158" s="587">
        <f t="shared" si="52"/>
        <v>25.71</v>
      </c>
      <c r="L158" s="587"/>
      <c r="M158" s="587"/>
      <c r="N158" s="587"/>
      <c r="O158" s="587" t="str">
        <f>IF(N158="x",F158,"")</f>
        <v/>
      </c>
      <c r="P158" s="587"/>
      <c r="Q158" s="587" t="str">
        <f t="shared" si="53"/>
        <v/>
      </c>
      <c r="R158" s="587"/>
      <c r="S158" s="587" t="str">
        <f>IF(R158="x",F158,"")</f>
        <v/>
      </c>
      <c r="T158" s="587"/>
      <c r="U158" s="587" t="str">
        <f>IF(T158="x",F158,"")</f>
        <v/>
      </c>
      <c r="V158" s="587"/>
      <c r="W158" s="587" t="str">
        <f>IF(V158="x",F158,"")</f>
        <v/>
      </c>
      <c r="X158" s="587"/>
      <c r="Y158" s="587" t="str">
        <f t="shared" si="64"/>
        <v/>
      </c>
      <c r="Z158" s="587"/>
      <c r="AA158" s="587" t="str">
        <f t="shared" si="55"/>
        <v/>
      </c>
      <c r="AB158" s="587" t="s">
        <v>952</v>
      </c>
      <c r="AC158" s="587">
        <f t="shared" si="56"/>
        <v>40.68</v>
      </c>
      <c r="AD158" s="586"/>
      <c r="AE158" s="587" t="str">
        <f t="shared" si="54"/>
        <v/>
      </c>
    </row>
    <row r="159" spans="2:31">
      <c r="B159" s="586" t="s">
        <v>413</v>
      </c>
      <c r="C159" s="587">
        <v>5.65</v>
      </c>
      <c r="D159" s="588" t="s">
        <v>957</v>
      </c>
      <c r="E159" s="587">
        <v>6.5</v>
      </c>
      <c r="F159" s="587">
        <f>C159*E159</f>
        <v>36.725000000000001</v>
      </c>
      <c r="G159" s="587">
        <f>(C159+E159)*2</f>
        <v>24.3</v>
      </c>
      <c r="H159" s="589" t="s">
        <v>957</v>
      </c>
      <c r="I159" s="587">
        <f>IF(H159="x",F159,"")</f>
        <v>36.725000000000001</v>
      </c>
      <c r="J159" s="589" t="s">
        <v>957</v>
      </c>
      <c r="K159" s="587">
        <f t="shared" si="52"/>
        <v>24.3</v>
      </c>
      <c r="L159" s="587"/>
      <c r="M159" s="587"/>
      <c r="N159" s="587"/>
      <c r="O159" s="587" t="str">
        <f>IF(N159="x",F159,"")</f>
        <v/>
      </c>
      <c r="P159" s="587"/>
      <c r="Q159" s="587" t="str">
        <f t="shared" si="53"/>
        <v/>
      </c>
      <c r="R159" s="587"/>
      <c r="S159" s="587" t="str">
        <f>IF(R159="x",F159,"")</f>
        <v/>
      </c>
      <c r="T159" s="587"/>
      <c r="U159" s="587" t="str">
        <f>IF(T159="x",F159,"")</f>
        <v/>
      </c>
      <c r="V159" s="587"/>
      <c r="W159" s="587" t="str">
        <f>IF(V159="x",F159,"")</f>
        <v/>
      </c>
      <c r="X159" s="587"/>
      <c r="Y159" s="587" t="str">
        <f t="shared" si="64"/>
        <v/>
      </c>
      <c r="Z159" s="587"/>
      <c r="AA159" s="587" t="str">
        <f t="shared" si="55"/>
        <v/>
      </c>
      <c r="AB159" s="587" t="s">
        <v>952</v>
      </c>
      <c r="AC159" s="587">
        <f t="shared" si="56"/>
        <v>36.725000000000001</v>
      </c>
      <c r="AD159" s="586"/>
      <c r="AE159" s="587" t="str">
        <f t="shared" si="54"/>
        <v/>
      </c>
    </row>
    <row r="160" spans="2:31">
      <c r="B160" s="586" t="s">
        <v>414</v>
      </c>
      <c r="C160" s="587">
        <v>5.65</v>
      </c>
      <c r="D160" s="588" t="s">
        <v>957</v>
      </c>
      <c r="E160" s="587">
        <v>2.88</v>
      </c>
      <c r="F160" s="587">
        <f>C160*E160</f>
        <v>16.272000000000002</v>
      </c>
      <c r="G160" s="587">
        <f>(C160+E160)*2</f>
        <v>17.060000000000002</v>
      </c>
      <c r="H160" s="589"/>
      <c r="I160" s="587" t="str">
        <f>IF(H160="x",F160,"")</f>
        <v/>
      </c>
      <c r="J160" s="589"/>
      <c r="K160" s="587" t="str">
        <f t="shared" si="52"/>
        <v/>
      </c>
      <c r="L160" s="587"/>
      <c r="M160" s="587"/>
      <c r="N160" s="587"/>
      <c r="O160" s="587" t="str">
        <f>IF(N160="x",F160,"")</f>
        <v/>
      </c>
      <c r="P160" s="587"/>
      <c r="Q160" s="587" t="str">
        <f t="shared" si="53"/>
        <v/>
      </c>
      <c r="R160" s="587"/>
      <c r="S160" s="587" t="str">
        <f>IF(R160="x",F160,"")</f>
        <v/>
      </c>
      <c r="T160" s="587" t="s">
        <v>952</v>
      </c>
      <c r="U160" s="587">
        <f>IF(T160="x",F160,"")</f>
        <v>16.272000000000002</v>
      </c>
      <c r="V160" s="587"/>
      <c r="W160" s="587" t="str">
        <f>IF(V160="x",F160,"")</f>
        <v/>
      </c>
      <c r="X160" s="587"/>
      <c r="Y160" s="587" t="str">
        <f t="shared" si="64"/>
        <v/>
      </c>
      <c r="Z160" s="587"/>
      <c r="AA160" s="587" t="str">
        <f t="shared" si="55"/>
        <v/>
      </c>
      <c r="AB160" s="587" t="s">
        <v>952</v>
      </c>
      <c r="AC160" s="587">
        <f t="shared" si="56"/>
        <v>16.272000000000002</v>
      </c>
      <c r="AD160" s="586"/>
      <c r="AE160" s="587" t="str">
        <f t="shared" si="54"/>
        <v/>
      </c>
    </row>
    <row r="161" spans="2:31">
      <c r="B161" s="586" t="s">
        <v>332</v>
      </c>
      <c r="C161" s="587">
        <v>7.2</v>
      </c>
      <c r="D161" s="588" t="s">
        <v>957</v>
      </c>
      <c r="E161" s="587">
        <v>10.48</v>
      </c>
      <c r="F161" s="587">
        <f>C161*E161</f>
        <v>75.456000000000003</v>
      </c>
      <c r="G161" s="587">
        <f>(C161+E161)*2</f>
        <v>35.36</v>
      </c>
      <c r="H161" s="589" t="s">
        <v>957</v>
      </c>
      <c r="I161" s="587">
        <f>IF(H161="x",F161,"")</f>
        <v>75.456000000000003</v>
      </c>
      <c r="J161" s="589" t="s">
        <v>957</v>
      </c>
      <c r="K161" s="587">
        <f t="shared" si="52"/>
        <v>35.36</v>
      </c>
      <c r="L161" s="587"/>
      <c r="M161" s="587"/>
      <c r="N161" s="587"/>
      <c r="O161" s="587" t="str">
        <f>IF(N161="x",F161,"")</f>
        <v/>
      </c>
      <c r="P161" s="587"/>
      <c r="Q161" s="587" t="str">
        <f t="shared" si="53"/>
        <v/>
      </c>
      <c r="R161" s="587"/>
      <c r="S161" s="587" t="str">
        <f>IF(R161="x",F161,"")</f>
        <v/>
      </c>
      <c r="T161" s="587"/>
      <c r="U161" s="587" t="str">
        <f>IF(T161="x",F161,"")</f>
        <v/>
      </c>
      <c r="V161" s="587"/>
      <c r="W161" s="587" t="str">
        <f>IF(V161="x",F161,"")</f>
        <v/>
      </c>
      <c r="X161" s="587"/>
      <c r="Y161" s="587" t="str">
        <f t="shared" si="64"/>
        <v/>
      </c>
      <c r="Z161" s="587"/>
      <c r="AA161" s="587" t="str">
        <f t="shared" si="55"/>
        <v/>
      </c>
      <c r="AB161" s="587" t="s">
        <v>952</v>
      </c>
      <c r="AC161" s="587">
        <f t="shared" si="56"/>
        <v>75.456000000000003</v>
      </c>
      <c r="AD161" s="586"/>
      <c r="AE161" s="587" t="str">
        <f t="shared" si="54"/>
        <v/>
      </c>
    </row>
    <row r="162" spans="2:31">
      <c r="B162" s="586" t="s">
        <v>308</v>
      </c>
      <c r="C162" s="587">
        <v>7.2</v>
      </c>
      <c r="D162" s="588" t="s">
        <v>957</v>
      </c>
      <c r="E162" s="587">
        <v>10.48</v>
      </c>
      <c r="F162" s="587">
        <f>C162*E162</f>
        <v>75.456000000000003</v>
      </c>
      <c r="G162" s="587">
        <f>(C162+E162)*2</f>
        <v>35.36</v>
      </c>
      <c r="H162" s="589" t="s">
        <v>957</v>
      </c>
      <c r="I162" s="587">
        <f>IF(H162="x",F162,"")</f>
        <v>75.456000000000003</v>
      </c>
      <c r="J162" s="589" t="s">
        <v>957</v>
      </c>
      <c r="K162" s="587">
        <f t="shared" si="52"/>
        <v>35.36</v>
      </c>
      <c r="L162" s="587"/>
      <c r="M162" s="587"/>
      <c r="N162" s="587"/>
      <c r="O162" s="587" t="str">
        <f>IF(N162="x",F162,"")</f>
        <v/>
      </c>
      <c r="P162" s="587"/>
      <c r="Q162" s="587" t="str">
        <f t="shared" si="53"/>
        <v/>
      </c>
      <c r="R162" s="587"/>
      <c r="S162" s="587" t="str">
        <f>IF(R162="x",F162,"")</f>
        <v/>
      </c>
      <c r="T162" s="587"/>
      <c r="U162" s="587" t="str">
        <f>IF(T162="x",F162,"")</f>
        <v/>
      </c>
      <c r="V162" s="587"/>
      <c r="W162" s="587" t="str">
        <f>IF(V162="x",F162,"")</f>
        <v/>
      </c>
      <c r="X162" s="587"/>
      <c r="Y162" s="587" t="str">
        <f t="shared" si="64"/>
        <v/>
      </c>
      <c r="Z162" s="587"/>
      <c r="AA162" s="587" t="str">
        <f t="shared" si="55"/>
        <v/>
      </c>
      <c r="AB162" s="587" t="s">
        <v>952</v>
      </c>
      <c r="AC162" s="587">
        <f t="shared" si="56"/>
        <v>75.456000000000003</v>
      </c>
      <c r="AD162" s="586"/>
      <c r="AE162" s="587" t="str">
        <f t="shared" si="54"/>
        <v/>
      </c>
    </row>
    <row r="163" spans="2:31">
      <c r="B163" s="592" t="s">
        <v>586</v>
      </c>
      <c r="C163" s="593"/>
      <c r="D163" s="592"/>
      <c r="E163" s="593"/>
      <c r="F163" s="593"/>
      <c r="G163" s="594"/>
      <c r="H163" s="595"/>
      <c r="I163" s="594"/>
      <c r="J163" s="595"/>
      <c r="K163" s="587" t="str">
        <f t="shared" si="52"/>
        <v/>
      </c>
      <c r="L163" s="594"/>
      <c r="M163" s="594"/>
      <c r="N163" s="594"/>
      <c r="O163" s="594"/>
      <c r="P163" s="594"/>
      <c r="Q163" s="587" t="str">
        <f t="shared" si="53"/>
        <v/>
      </c>
      <c r="R163" s="594"/>
      <c r="S163" s="594"/>
      <c r="T163" s="594"/>
      <c r="U163" s="594"/>
      <c r="V163" s="594"/>
      <c r="W163" s="594"/>
      <c r="X163" s="594"/>
      <c r="Y163" s="587" t="str">
        <f t="shared" si="64"/>
        <v/>
      </c>
      <c r="Z163" s="594"/>
      <c r="AA163" s="587" t="str">
        <f t="shared" si="55"/>
        <v/>
      </c>
      <c r="AB163" s="594"/>
      <c r="AC163" s="587" t="str">
        <f t="shared" si="56"/>
        <v/>
      </c>
      <c r="AD163" s="586"/>
      <c r="AE163" s="587" t="str">
        <f t="shared" si="54"/>
        <v/>
      </c>
    </row>
    <row r="164" spans="2:31">
      <c r="B164" s="586" t="s">
        <v>295</v>
      </c>
      <c r="C164" s="587"/>
      <c r="D164" s="588" t="s">
        <v>957</v>
      </c>
      <c r="E164" s="587"/>
      <c r="F164" s="587">
        <f>2.5*(15.64*2+17.75*2)</f>
        <v>166.95</v>
      </c>
      <c r="G164" s="587"/>
      <c r="H164" s="589"/>
      <c r="I164" s="587" t="str">
        <f t="shared" ref="I164:I227" si="65">IF(H164="x",F164,"")</f>
        <v/>
      </c>
      <c r="J164" s="589"/>
      <c r="K164" s="587" t="str">
        <f t="shared" si="52"/>
        <v/>
      </c>
      <c r="L164" s="587" t="s">
        <v>952</v>
      </c>
      <c r="M164" s="587">
        <f t="shared" ref="M164:M227" si="66">IF(L164="x",$F164,"")</f>
        <v>166.95</v>
      </c>
      <c r="N164" s="587"/>
      <c r="O164" s="587" t="str">
        <f t="shared" ref="O164:O227" si="67">IF(N164="x",F164,"")</f>
        <v/>
      </c>
      <c r="P164" s="587"/>
      <c r="Q164" s="587" t="str">
        <f t="shared" si="53"/>
        <v/>
      </c>
      <c r="R164" s="587"/>
      <c r="S164" s="587" t="str">
        <f t="shared" ref="S164:S227" si="68">IF(R164="x",F164,"")</f>
        <v/>
      </c>
      <c r="T164" s="587"/>
      <c r="U164" s="587" t="str">
        <f t="shared" ref="U164:U227" si="69">IF(T164="x",F164,"")</f>
        <v/>
      </c>
      <c r="V164" s="587"/>
      <c r="W164" s="587" t="str">
        <f t="shared" ref="W164:W227" si="70">IF(V164="x",F164,"")</f>
        <v/>
      </c>
      <c r="X164" s="587"/>
      <c r="Y164" s="587" t="str">
        <f t="shared" si="64"/>
        <v/>
      </c>
      <c r="Z164" s="587"/>
      <c r="AA164" s="587" t="str">
        <f t="shared" si="55"/>
        <v/>
      </c>
      <c r="AB164" s="587" t="s">
        <v>952</v>
      </c>
      <c r="AC164" s="587">
        <f t="shared" si="56"/>
        <v>166.95</v>
      </c>
      <c r="AD164" s="586"/>
      <c r="AE164" s="587" t="str">
        <f t="shared" si="54"/>
        <v/>
      </c>
    </row>
    <row r="165" spans="2:31">
      <c r="B165" s="586" t="s">
        <v>296</v>
      </c>
      <c r="C165" s="587"/>
      <c r="D165" s="588" t="s">
        <v>957</v>
      </c>
      <c r="E165" s="587"/>
      <c r="F165" s="587">
        <v>154.51</v>
      </c>
      <c r="G165" s="587">
        <v>90.78</v>
      </c>
      <c r="H165" s="589" t="s">
        <v>957</v>
      </c>
      <c r="I165" s="587">
        <f t="shared" si="65"/>
        <v>154.51</v>
      </c>
      <c r="J165" s="589" t="s">
        <v>957</v>
      </c>
      <c r="K165" s="587">
        <f t="shared" si="52"/>
        <v>90.78</v>
      </c>
      <c r="L165" s="587"/>
      <c r="M165" s="587" t="str">
        <f t="shared" si="66"/>
        <v/>
      </c>
      <c r="N165" s="587"/>
      <c r="O165" s="587" t="str">
        <f t="shared" si="67"/>
        <v/>
      </c>
      <c r="P165" s="587"/>
      <c r="Q165" s="587" t="str">
        <f t="shared" si="53"/>
        <v/>
      </c>
      <c r="R165" s="587"/>
      <c r="S165" s="587" t="str">
        <f t="shared" si="68"/>
        <v/>
      </c>
      <c r="T165" s="587"/>
      <c r="U165" s="587" t="str">
        <f t="shared" si="69"/>
        <v/>
      </c>
      <c r="V165" s="587"/>
      <c r="W165" s="587" t="str">
        <f t="shared" si="70"/>
        <v/>
      </c>
      <c r="X165" s="587" t="s">
        <v>957</v>
      </c>
      <c r="Y165" s="587">
        <f t="shared" si="64"/>
        <v>154.51</v>
      </c>
      <c r="Z165" s="587"/>
      <c r="AA165" s="587" t="str">
        <f t="shared" si="55"/>
        <v/>
      </c>
      <c r="AB165" s="587"/>
      <c r="AC165" s="587" t="str">
        <f t="shared" si="56"/>
        <v/>
      </c>
      <c r="AD165" s="586"/>
      <c r="AE165" s="587" t="str">
        <f t="shared" si="54"/>
        <v/>
      </c>
    </row>
    <row r="166" spans="2:31">
      <c r="B166" s="586" t="s">
        <v>415</v>
      </c>
      <c r="C166" s="587">
        <v>10.6</v>
      </c>
      <c r="D166" s="588" t="s">
        <v>957</v>
      </c>
      <c r="E166" s="587">
        <v>2.88</v>
      </c>
      <c r="F166" s="587">
        <f t="shared" ref="F166:F172" si="71">C166*E166</f>
        <v>30.527999999999999</v>
      </c>
      <c r="G166" s="587">
        <f t="shared" ref="G166:G172" si="72">(C166+E166)*2</f>
        <v>26.96</v>
      </c>
      <c r="H166" s="589" t="s">
        <v>957</v>
      </c>
      <c r="I166" s="587">
        <f t="shared" si="65"/>
        <v>30.527999999999999</v>
      </c>
      <c r="J166" s="589" t="s">
        <v>957</v>
      </c>
      <c r="K166" s="587">
        <f t="shared" si="52"/>
        <v>26.96</v>
      </c>
      <c r="L166" s="587"/>
      <c r="M166" s="587" t="str">
        <f t="shared" si="66"/>
        <v/>
      </c>
      <c r="N166" s="587"/>
      <c r="O166" s="587" t="str">
        <f t="shared" si="67"/>
        <v/>
      </c>
      <c r="P166" s="587"/>
      <c r="Q166" s="587" t="str">
        <f t="shared" si="53"/>
        <v/>
      </c>
      <c r="R166" s="587"/>
      <c r="S166" s="587" t="str">
        <f t="shared" si="68"/>
        <v/>
      </c>
      <c r="T166" s="587"/>
      <c r="U166" s="587" t="str">
        <f t="shared" si="69"/>
        <v/>
      </c>
      <c r="V166" s="587"/>
      <c r="W166" s="587" t="str">
        <f t="shared" si="70"/>
        <v/>
      </c>
      <c r="X166" s="587"/>
      <c r="Y166" s="587" t="str">
        <f t="shared" si="64"/>
        <v/>
      </c>
      <c r="Z166" s="587" t="s">
        <v>952</v>
      </c>
      <c r="AA166" s="587">
        <f t="shared" si="55"/>
        <v>30.527999999999999</v>
      </c>
      <c r="AB166" s="587"/>
      <c r="AC166" s="587" t="str">
        <f t="shared" si="56"/>
        <v/>
      </c>
      <c r="AD166" s="586"/>
      <c r="AE166" s="587" t="str">
        <f t="shared" si="54"/>
        <v/>
      </c>
    </row>
    <row r="167" spans="2:31">
      <c r="B167" s="586" t="s">
        <v>416</v>
      </c>
      <c r="C167" s="587"/>
      <c r="D167" s="588"/>
      <c r="E167" s="587"/>
      <c r="F167" s="587"/>
      <c r="G167" s="587"/>
      <c r="H167" s="589"/>
      <c r="I167" s="587"/>
      <c r="J167" s="589"/>
      <c r="K167" s="587" t="str">
        <f t="shared" si="52"/>
        <v/>
      </c>
      <c r="L167" s="587"/>
      <c r="M167" s="587" t="str">
        <f t="shared" si="66"/>
        <v/>
      </c>
      <c r="N167" s="587"/>
      <c r="O167" s="587" t="str">
        <f t="shared" si="67"/>
        <v/>
      </c>
      <c r="P167" s="587"/>
      <c r="Q167" s="587" t="str">
        <f t="shared" si="53"/>
        <v/>
      </c>
      <c r="R167" s="587"/>
      <c r="S167" s="587" t="str">
        <f t="shared" si="68"/>
        <v/>
      </c>
      <c r="T167" s="587"/>
      <c r="U167" s="587" t="str">
        <f t="shared" si="69"/>
        <v/>
      </c>
      <c r="V167" s="587"/>
      <c r="W167" s="587" t="str">
        <f t="shared" si="70"/>
        <v/>
      </c>
      <c r="X167" s="587"/>
      <c r="Y167" s="587" t="str">
        <f t="shared" si="64"/>
        <v/>
      </c>
      <c r="Z167" s="587" t="s">
        <v>952</v>
      </c>
      <c r="AA167" s="587">
        <f t="shared" si="55"/>
        <v>0</v>
      </c>
      <c r="AB167" s="587"/>
      <c r="AC167" s="587" t="str">
        <f t="shared" si="56"/>
        <v/>
      </c>
      <c r="AD167" s="586"/>
      <c r="AE167" s="587" t="str">
        <f t="shared" si="54"/>
        <v/>
      </c>
    </row>
    <row r="168" spans="2:31">
      <c r="B168" s="586" t="s">
        <v>417</v>
      </c>
      <c r="C168" s="587"/>
      <c r="D168" s="588" t="s">
        <v>957</v>
      </c>
      <c r="E168" s="587"/>
      <c r="F168" s="587">
        <v>158.09</v>
      </c>
      <c r="G168" s="587">
        <v>57.73</v>
      </c>
      <c r="H168" s="589" t="s">
        <v>957</v>
      </c>
      <c r="I168" s="587">
        <f t="shared" si="65"/>
        <v>158.09</v>
      </c>
      <c r="J168" s="589" t="s">
        <v>957</v>
      </c>
      <c r="K168" s="587">
        <f t="shared" si="52"/>
        <v>57.73</v>
      </c>
      <c r="L168" s="587"/>
      <c r="M168" s="587" t="str">
        <f t="shared" si="66"/>
        <v/>
      </c>
      <c r="N168" s="587"/>
      <c r="O168" s="587" t="str">
        <f t="shared" si="67"/>
        <v/>
      </c>
      <c r="P168" s="587"/>
      <c r="Q168" s="587" t="str">
        <f t="shared" si="53"/>
        <v/>
      </c>
      <c r="R168" s="587"/>
      <c r="S168" s="587" t="str">
        <f t="shared" si="68"/>
        <v/>
      </c>
      <c r="T168" s="587"/>
      <c r="U168" s="587" t="str">
        <f t="shared" si="69"/>
        <v/>
      </c>
      <c r="V168" s="587"/>
      <c r="W168" s="587" t="str">
        <f t="shared" si="70"/>
        <v/>
      </c>
      <c r="X168" s="587"/>
      <c r="Y168" s="587" t="str">
        <f t="shared" si="64"/>
        <v/>
      </c>
      <c r="Z168" s="587" t="s">
        <v>952</v>
      </c>
      <c r="AA168" s="587">
        <f t="shared" si="55"/>
        <v>158.09</v>
      </c>
      <c r="AB168" s="587"/>
      <c r="AC168" s="587" t="str">
        <f t="shared" si="56"/>
        <v/>
      </c>
      <c r="AD168" s="586"/>
      <c r="AE168" s="587" t="str">
        <f t="shared" si="54"/>
        <v/>
      </c>
    </row>
    <row r="169" spans="2:31">
      <c r="B169" s="586" t="s">
        <v>315</v>
      </c>
      <c r="C169" s="587">
        <v>1.7</v>
      </c>
      <c r="D169" s="588" t="s">
        <v>957</v>
      </c>
      <c r="E169" s="587">
        <v>3.32</v>
      </c>
      <c r="F169" s="587">
        <f t="shared" si="71"/>
        <v>5.6439999999999992</v>
      </c>
      <c r="G169" s="587">
        <f t="shared" si="72"/>
        <v>10.039999999999999</v>
      </c>
      <c r="H169" s="589"/>
      <c r="I169" s="587" t="str">
        <f t="shared" si="65"/>
        <v/>
      </c>
      <c r="J169" s="589"/>
      <c r="K169" s="587" t="str">
        <f t="shared" si="52"/>
        <v/>
      </c>
      <c r="L169" s="587" t="s">
        <v>952</v>
      </c>
      <c r="M169" s="587">
        <f t="shared" si="66"/>
        <v>5.6439999999999992</v>
      </c>
      <c r="N169" s="587"/>
      <c r="O169" s="587" t="str">
        <f t="shared" si="67"/>
        <v/>
      </c>
      <c r="P169" s="587"/>
      <c r="Q169" s="587" t="str">
        <f t="shared" si="53"/>
        <v/>
      </c>
      <c r="R169" s="587"/>
      <c r="S169" s="587" t="str">
        <f t="shared" si="68"/>
        <v/>
      </c>
      <c r="T169" s="587"/>
      <c r="U169" s="587" t="str">
        <f t="shared" si="69"/>
        <v/>
      </c>
      <c r="V169" s="587" t="s">
        <v>957</v>
      </c>
      <c r="W169" s="587">
        <f t="shared" si="70"/>
        <v>5.6439999999999992</v>
      </c>
      <c r="X169" s="587"/>
      <c r="Y169" s="587" t="str">
        <f t="shared" si="64"/>
        <v/>
      </c>
      <c r="Z169" s="587"/>
      <c r="AA169" s="587" t="str">
        <f t="shared" si="55"/>
        <v/>
      </c>
      <c r="AB169" s="587"/>
      <c r="AC169" s="587" t="str">
        <f t="shared" si="56"/>
        <v/>
      </c>
      <c r="AD169" s="586"/>
      <c r="AE169" s="587" t="str">
        <f t="shared" si="54"/>
        <v/>
      </c>
    </row>
    <row r="170" spans="2:31">
      <c r="B170" s="586" t="s">
        <v>297</v>
      </c>
      <c r="C170" s="587">
        <v>3</v>
      </c>
      <c r="D170" s="588" t="s">
        <v>957</v>
      </c>
      <c r="E170" s="587">
        <v>4.1500000000000004</v>
      </c>
      <c r="F170" s="587">
        <f t="shared" si="71"/>
        <v>12.450000000000001</v>
      </c>
      <c r="G170" s="587">
        <f t="shared" si="72"/>
        <v>14.3</v>
      </c>
      <c r="H170" s="589" t="s">
        <v>957</v>
      </c>
      <c r="I170" s="587">
        <f t="shared" si="65"/>
        <v>12.450000000000001</v>
      </c>
      <c r="J170" s="589" t="s">
        <v>957</v>
      </c>
      <c r="K170" s="587">
        <f t="shared" si="52"/>
        <v>14.3</v>
      </c>
      <c r="L170" s="587"/>
      <c r="M170" s="587" t="str">
        <f t="shared" si="66"/>
        <v/>
      </c>
      <c r="N170" s="587"/>
      <c r="O170" s="587" t="str">
        <f t="shared" si="67"/>
        <v/>
      </c>
      <c r="P170" s="587"/>
      <c r="Q170" s="587" t="str">
        <f t="shared" si="53"/>
        <v/>
      </c>
      <c r="R170" s="587"/>
      <c r="S170" s="587" t="str">
        <f t="shared" si="68"/>
        <v/>
      </c>
      <c r="T170" s="587"/>
      <c r="U170" s="587" t="str">
        <f t="shared" si="69"/>
        <v/>
      </c>
      <c r="V170" s="587" t="s">
        <v>957</v>
      </c>
      <c r="W170" s="587">
        <f t="shared" si="70"/>
        <v>12.450000000000001</v>
      </c>
      <c r="X170" s="587"/>
      <c r="Y170" s="587" t="str">
        <f t="shared" si="64"/>
        <v/>
      </c>
      <c r="Z170" s="587"/>
      <c r="AA170" s="587" t="str">
        <f t="shared" si="55"/>
        <v/>
      </c>
      <c r="AB170" s="587"/>
      <c r="AC170" s="587" t="str">
        <f t="shared" si="56"/>
        <v/>
      </c>
      <c r="AD170" s="586"/>
      <c r="AE170" s="587" t="str">
        <f t="shared" si="54"/>
        <v/>
      </c>
    </row>
    <row r="171" spans="2:31">
      <c r="B171" s="586" t="s">
        <v>307</v>
      </c>
      <c r="C171" s="587">
        <v>2.25</v>
      </c>
      <c r="D171" s="588" t="s">
        <v>957</v>
      </c>
      <c r="E171" s="587">
        <v>3.65</v>
      </c>
      <c r="F171" s="587">
        <f t="shared" si="71"/>
        <v>8.2125000000000004</v>
      </c>
      <c r="G171" s="587">
        <f t="shared" si="72"/>
        <v>11.8</v>
      </c>
      <c r="H171" s="589"/>
      <c r="I171" s="587" t="str">
        <f t="shared" si="65"/>
        <v/>
      </c>
      <c r="J171" s="589"/>
      <c r="K171" s="587" t="str">
        <f t="shared" si="52"/>
        <v/>
      </c>
      <c r="L171" s="587" t="s">
        <v>952</v>
      </c>
      <c r="M171" s="587">
        <f t="shared" si="66"/>
        <v>8.2125000000000004</v>
      </c>
      <c r="N171" s="587"/>
      <c r="O171" s="587" t="str">
        <f t="shared" si="67"/>
        <v/>
      </c>
      <c r="P171" s="587"/>
      <c r="Q171" s="587" t="str">
        <f t="shared" si="53"/>
        <v/>
      </c>
      <c r="R171" s="587"/>
      <c r="S171" s="587" t="str">
        <f t="shared" si="68"/>
        <v/>
      </c>
      <c r="T171" s="587"/>
      <c r="U171" s="587" t="str">
        <f t="shared" si="69"/>
        <v/>
      </c>
      <c r="V171" s="587" t="s">
        <v>957</v>
      </c>
      <c r="W171" s="587">
        <f t="shared" si="70"/>
        <v>8.2125000000000004</v>
      </c>
      <c r="X171" s="587"/>
      <c r="Y171" s="587" t="str">
        <f t="shared" si="64"/>
        <v/>
      </c>
      <c r="Z171" s="587"/>
      <c r="AA171" s="587" t="str">
        <f t="shared" si="55"/>
        <v/>
      </c>
      <c r="AB171" s="587"/>
      <c r="AC171" s="587" t="str">
        <f t="shared" si="56"/>
        <v/>
      </c>
      <c r="AD171" s="586"/>
      <c r="AE171" s="587" t="str">
        <f t="shared" si="54"/>
        <v/>
      </c>
    </row>
    <row r="172" spans="2:31">
      <c r="B172" s="586" t="s">
        <v>315</v>
      </c>
      <c r="C172" s="587">
        <v>2.2000000000000002</v>
      </c>
      <c r="D172" s="588" t="s">
        <v>957</v>
      </c>
      <c r="E172" s="587">
        <v>4.7</v>
      </c>
      <c r="F172" s="587">
        <f t="shared" si="71"/>
        <v>10.340000000000002</v>
      </c>
      <c r="G172" s="587">
        <f t="shared" si="72"/>
        <v>13.8</v>
      </c>
      <c r="H172" s="589"/>
      <c r="I172" s="587" t="str">
        <f t="shared" si="65"/>
        <v/>
      </c>
      <c r="J172" s="589"/>
      <c r="K172" s="587" t="str">
        <f t="shared" si="52"/>
        <v/>
      </c>
      <c r="L172" s="587" t="s">
        <v>952</v>
      </c>
      <c r="M172" s="587">
        <f t="shared" si="66"/>
        <v>10.340000000000002</v>
      </c>
      <c r="N172" s="587"/>
      <c r="O172" s="587" t="str">
        <f t="shared" si="67"/>
        <v/>
      </c>
      <c r="P172" s="587"/>
      <c r="Q172" s="587" t="str">
        <f t="shared" si="53"/>
        <v/>
      </c>
      <c r="R172" s="587"/>
      <c r="S172" s="587" t="str">
        <f t="shared" si="68"/>
        <v/>
      </c>
      <c r="T172" s="587"/>
      <c r="U172" s="587" t="str">
        <f t="shared" si="69"/>
        <v/>
      </c>
      <c r="V172" s="587" t="s">
        <v>957</v>
      </c>
      <c r="W172" s="587">
        <f t="shared" si="70"/>
        <v>10.340000000000002</v>
      </c>
      <c r="X172" s="587"/>
      <c r="Y172" s="587" t="str">
        <f t="shared" si="64"/>
        <v/>
      </c>
      <c r="Z172" s="587"/>
      <c r="AA172" s="587" t="str">
        <f t="shared" si="55"/>
        <v/>
      </c>
      <c r="AB172" s="587"/>
      <c r="AC172" s="587" t="str">
        <f t="shared" si="56"/>
        <v/>
      </c>
      <c r="AD172" s="586"/>
      <c r="AE172" s="587" t="str">
        <f t="shared" si="54"/>
        <v/>
      </c>
    </row>
    <row r="173" spans="2:31">
      <c r="B173" s="586" t="s">
        <v>418</v>
      </c>
      <c r="C173" s="587"/>
      <c r="D173" s="588" t="s">
        <v>957</v>
      </c>
      <c r="E173" s="587"/>
      <c r="F173" s="587">
        <v>187.41</v>
      </c>
      <c r="G173" s="587">
        <v>86.63</v>
      </c>
      <c r="H173" s="589" t="s">
        <v>957</v>
      </c>
      <c r="I173" s="587">
        <f t="shared" si="65"/>
        <v>187.41</v>
      </c>
      <c r="J173" s="589" t="s">
        <v>957</v>
      </c>
      <c r="K173" s="587">
        <f t="shared" si="52"/>
        <v>86.63</v>
      </c>
      <c r="L173" s="587"/>
      <c r="M173" s="587" t="str">
        <f t="shared" si="66"/>
        <v/>
      </c>
      <c r="N173" s="587"/>
      <c r="O173" s="587" t="str">
        <f t="shared" si="67"/>
        <v/>
      </c>
      <c r="P173" s="587"/>
      <c r="Q173" s="587" t="str">
        <f t="shared" si="53"/>
        <v/>
      </c>
      <c r="R173" s="587"/>
      <c r="S173" s="587" t="str">
        <f t="shared" si="68"/>
        <v/>
      </c>
      <c r="T173" s="587"/>
      <c r="U173" s="587" t="str">
        <f t="shared" si="69"/>
        <v/>
      </c>
      <c r="V173" s="587"/>
      <c r="W173" s="587" t="str">
        <f t="shared" si="70"/>
        <v/>
      </c>
      <c r="X173" s="587" t="s">
        <v>957</v>
      </c>
      <c r="Y173" s="587">
        <f t="shared" si="64"/>
        <v>187.41</v>
      </c>
      <c r="Z173" s="587"/>
      <c r="AA173" s="587" t="str">
        <f t="shared" si="55"/>
        <v/>
      </c>
      <c r="AB173" s="587"/>
      <c r="AC173" s="587" t="str">
        <f t="shared" si="56"/>
        <v/>
      </c>
      <c r="AD173" s="586"/>
      <c r="AE173" s="587" t="str">
        <f t="shared" si="54"/>
        <v/>
      </c>
    </row>
    <row r="174" spans="2:31">
      <c r="B174" s="586" t="s">
        <v>419</v>
      </c>
      <c r="C174" s="587"/>
      <c r="D174" s="588" t="s">
        <v>957</v>
      </c>
      <c r="E174" s="587"/>
      <c r="F174" s="587">
        <v>101.91</v>
      </c>
      <c r="G174" s="587">
        <v>50.89</v>
      </c>
      <c r="H174" s="589" t="s">
        <v>957</v>
      </c>
      <c r="I174" s="587">
        <f t="shared" si="65"/>
        <v>101.91</v>
      </c>
      <c r="J174" s="589" t="s">
        <v>957</v>
      </c>
      <c r="K174" s="587">
        <f t="shared" si="52"/>
        <v>50.89</v>
      </c>
      <c r="L174" s="587"/>
      <c r="M174" s="587" t="str">
        <f t="shared" si="66"/>
        <v/>
      </c>
      <c r="N174" s="587"/>
      <c r="O174" s="587" t="str">
        <f t="shared" si="67"/>
        <v/>
      </c>
      <c r="P174" s="587"/>
      <c r="Q174" s="587" t="str">
        <f t="shared" si="53"/>
        <v/>
      </c>
      <c r="R174" s="587"/>
      <c r="S174" s="587" t="str">
        <f t="shared" si="68"/>
        <v/>
      </c>
      <c r="T174" s="587"/>
      <c r="U174" s="587" t="str">
        <f t="shared" si="69"/>
        <v/>
      </c>
      <c r="V174" s="587" t="s">
        <v>957</v>
      </c>
      <c r="W174" s="587">
        <f t="shared" si="70"/>
        <v>101.91</v>
      </c>
      <c r="X174" s="587"/>
      <c r="Y174" s="587" t="str">
        <f t="shared" si="64"/>
        <v/>
      </c>
      <c r="Z174" s="587"/>
      <c r="AA174" s="587" t="str">
        <f t="shared" si="55"/>
        <v/>
      </c>
      <c r="AB174" s="587"/>
      <c r="AC174" s="587" t="str">
        <f t="shared" si="56"/>
        <v/>
      </c>
      <c r="AD174" s="586"/>
      <c r="AE174" s="587" t="str">
        <f t="shared" si="54"/>
        <v/>
      </c>
    </row>
    <row r="175" spans="2:31">
      <c r="B175" s="586" t="s">
        <v>420</v>
      </c>
      <c r="C175" s="587">
        <v>3.57</v>
      </c>
      <c r="D175" s="588" t="s">
        <v>957</v>
      </c>
      <c r="E175" s="587">
        <v>3.35</v>
      </c>
      <c r="F175" s="587">
        <f>C175*E175</f>
        <v>11.9595</v>
      </c>
      <c r="G175" s="587">
        <f>(C175+E175)*2</f>
        <v>13.84</v>
      </c>
      <c r="H175" s="589" t="s">
        <v>957</v>
      </c>
      <c r="I175" s="587">
        <f t="shared" si="65"/>
        <v>11.9595</v>
      </c>
      <c r="J175" s="589" t="s">
        <v>957</v>
      </c>
      <c r="K175" s="587">
        <f t="shared" si="52"/>
        <v>13.84</v>
      </c>
      <c r="L175" s="587"/>
      <c r="M175" s="587" t="str">
        <f t="shared" si="66"/>
        <v/>
      </c>
      <c r="N175" s="587"/>
      <c r="O175" s="587" t="str">
        <f t="shared" si="67"/>
        <v/>
      </c>
      <c r="P175" s="587"/>
      <c r="Q175" s="587" t="str">
        <f t="shared" si="53"/>
        <v/>
      </c>
      <c r="R175" s="587"/>
      <c r="S175" s="587" t="str">
        <f t="shared" si="68"/>
        <v/>
      </c>
      <c r="T175" s="587"/>
      <c r="U175" s="587" t="str">
        <f t="shared" si="69"/>
        <v/>
      </c>
      <c r="V175" s="587" t="s">
        <v>957</v>
      </c>
      <c r="W175" s="587">
        <f t="shared" si="70"/>
        <v>11.9595</v>
      </c>
      <c r="X175" s="587"/>
      <c r="Y175" s="587" t="str">
        <f t="shared" si="64"/>
        <v/>
      </c>
      <c r="Z175" s="587"/>
      <c r="AA175" s="587" t="str">
        <f t="shared" si="55"/>
        <v/>
      </c>
      <c r="AB175" s="587"/>
      <c r="AC175" s="587" t="str">
        <f t="shared" si="56"/>
        <v/>
      </c>
      <c r="AD175" s="586"/>
      <c r="AE175" s="587" t="str">
        <f t="shared" si="54"/>
        <v/>
      </c>
    </row>
    <row r="176" spans="2:31">
      <c r="B176" s="586" t="s">
        <v>421</v>
      </c>
      <c r="C176" s="587">
        <v>3.57</v>
      </c>
      <c r="D176" s="588" t="s">
        <v>957</v>
      </c>
      <c r="E176" s="587">
        <v>3.35</v>
      </c>
      <c r="F176" s="587">
        <f>C176*E176</f>
        <v>11.9595</v>
      </c>
      <c r="G176" s="587">
        <f>(C176+E176)*2</f>
        <v>13.84</v>
      </c>
      <c r="H176" s="589" t="s">
        <v>957</v>
      </c>
      <c r="I176" s="587">
        <f t="shared" si="65"/>
        <v>11.9595</v>
      </c>
      <c r="J176" s="589" t="s">
        <v>957</v>
      </c>
      <c r="K176" s="587">
        <f t="shared" si="52"/>
        <v>13.84</v>
      </c>
      <c r="L176" s="587"/>
      <c r="M176" s="587" t="str">
        <f t="shared" si="66"/>
        <v/>
      </c>
      <c r="N176" s="587"/>
      <c r="O176" s="587" t="str">
        <f t="shared" si="67"/>
        <v/>
      </c>
      <c r="P176" s="587"/>
      <c r="Q176" s="587" t="str">
        <f t="shared" si="53"/>
        <v/>
      </c>
      <c r="R176" s="587"/>
      <c r="S176" s="587" t="str">
        <f t="shared" si="68"/>
        <v/>
      </c>
      <c r="T176" s="587"/>
      <c r="U176" s="587" t="str">
        <f t="shared" si="69"/>
        <v/>
      </c>
      <c r="V176" s="587" t="s">
        <v>957</v>
      </c>
      <c r="W176" s="587">
        <f t="shared" si="70"/>
        <v>11.9595</v>
      </c>
      <c r="X176" s="587"/>
      <c r="Y176" s="587" t="str">
        <f t="shared" si="64"/>
        <v/>
      </c>
      <c r="Z176" s="587"/>
      <c r="AA176" s="587" t="str">
        <f t="shared" si="55"/>
        <v/>
      </c>
      <c r="AB176" s="587"/>
      <c r="AC176" s="587" t="str">
        <f t="shared" si="56"/>
        <v/>
      </c>
      <c r="AD176" s="586"/>
      <c r="AE176" s="587" t="str">
        <f t="shared" si="54"/>
        <v/>
      </c>
    </row>
    <row r="177" spans="2:31">
      <c r="B177" s="586" t="s">
        <v>422</v>
      </c>
      <c r="C177" s="587"/>
      <c r="D177" s="588" t="s">
        <v>957</v>
      </c>
      <c r="E177" s="587"/>
      <c r="F177" s="587">
        <v>56.86</v>
      </c>
      <c r="G177" s="587">
        <v>43.91</v>
      </c>
      <c r="H177" s="589" t="s">
        <v>957</v>
      </c>
      <c r="I177" s="587">
        <f t="shared" si="65"/>
        <v>56.86</v>
      </c>
      <c r="J177" s="589" t="s">
        <v>957</v>
      </c>
      <c r="K177" s="587">
        <f t="shared" si="52"/>
        <v>43.91</v>
      </c>
      <c r="L177" s="587"/>
      <c r="M177" s="587" t="str">
        <f t="shared" si="66"/>
        <v/>
      </c>
      <c r="N177" s="587"/>
      <c r="O177" s="587" t="str">
        <f t="shared" si="67"/>
        <v/>
      </c>
      <c r="P177" s="587"/>
      <c r="Q177" s="587" t="str">
        <f t="shared" si="53"/>
        <v/>
      </c>
      <c r="R177" s="587"/>
      <c r="S177" s="587" t="str">
        <f t="shared" si="68"/>
        <v/>
      </c>
      <c r="T177" s="587"/>
      <c r="U177" s="587" t="str">
        <f t="shared" si="69"/>
        <v/>
      </c>
      <c r="V177" s="587"/>
      <c r="W177" s="587" t="str">
        <f t="shared" si="70"/>
        <v/>
      </c>
      <c r="X177" s="587" t="s">
        <v>957</v>
      </c>
      <c r="Y177" s="587">
        <f t="shared" si="64"/>
        <v>56.86</v>
      </c>
      <c r="Z177" s="587"/>
      <c r="AA177" s="587" t="str">
        <f t="shared" si="55"/>
        <v/>
      </c>
      <c r="AB177" s="587"/>
      <c r="AC177" s="587" t="str">
        <f t="shared" si="56"/>
        <v/>
      </c>
      <c r="AD177" s="586"/>
      <c r="AE177" s="587" t="str">
        <f t="shared" si="54"/>
        <v/>
      </c>
    </row>
    <row r="178" spans="2:31">
      <c r="B178" s="586" t="s">
        <v>423</v>
      </c>
      <c r="C178" s="587">
        <v>5.08</v>
      </c>
      <c r="D178" s="588" t="s">
        <v>957</v>
      </c>
      <c r="E178" s="587">
        <v>2.5</v>
      </c>
      <c r="F178" s="587">
        <f>C178*E178</f>
        <v>12.7</v>
      </c>
      <c r="G178" s="587">
        <f>(C178+E178)*2</f>
        <v>15.16</v>
      </c>
      <c r="H178" s="589" t="s">
        <v>957</v>
      </c>
      <c r="I178" s="587">
        <f t="shared" si="65"/>
        <v>12.7</v>
      </c>
      <c r="J178" s="589" t="s">
        <v>957</v>
      </c>
      <c r="K178" s="587">
        <f t="shared" si="52"/>
        <v>15.16</v>
      </c>
      <c r="L178" s="587"/>
      <c r="M178" s="587" t="str">
        <f t="shared" si="66"/>
        <v/>
      </c>
      <c r="N178" s="587"/>
      <c r="O178" s="587" t="str">
        <f t="shared" si="67"/>
        <v/>
      </c>
      <c r="P178" s="587"/>
      <c r="Q178" s="587" t="str">
        <f t="shared" si="53"/>
        <v/>
      </c>
      <c r="R178" s="587"/>
      <c r="S178" s="587" t="str">
        <f t="shared" si="68"/>
        <v/>
      </c>
      <c r="T178" s="587"/>
      <c r="U178" s="587" t="str">
        <f t="shared" si="69"/>
        <v/>
      </c>
      <c r="V178" s="587" t="s">
        <v>957</v>
      </c>
      <c r="W178" s="587">
        <f t="shared" si="70"/>
        <v>12.7</v>
      </c>
      <c r="X178" s="587"/>
      <c r="Y178" s="587" t="str">
        <f t="shared" si="64"/>
        <v/>
      </c>
      <c r="Z178" s="587"/>
      <c r="AA178" s="587" t="str">
        <f t="shared" si="55"/>
        <v/>
      </c>
      <c r="AB178" s="587"/>
      <c r="AC178" s="587" t="str">
        <f t="shared" si="56"/>
        <v/>
      </c>
      <c r="AD178" s="586"/>
      <c r="AE178" s="587" t="str">
        <f t="shared" si="54"/>
        <v/>
      </c>
    </row>
    <row r="179" spans="2:31">
      <c r="B179" s="586" t="s">
        <v>424</v>
      </c>
      <c r="C179" s="587">
        <v>5.08</v>
      </c>
      <c r="D179" s="588" t="s">
        <v>957</v>
      </c>
      <c r="E179" s="587">
        <v>2</v>
      </c>
      <c r="F179" s="587">
        <f>C179*E179</f>
        <v>10.16</v>
      </c>
      <c r="G179" s="587">
        <f>(C179+E179)*2</f>
        <v>14.16</v>
      </c>
      <c r="H179" s="589" t="s">
        <v>957</v>
      </c>
      <c r="I179" s="587">
        <f t="shared" si="65"/>
        <v>10.16</v>
      </c>
      <c r="J179" s="589" t="s">
        <v>957</v>
      </c>
      <c r="K179" s="587">
        <f t="shared" si="52"/>
        <v>14.16</v>
      </c>
      <c r="L179" s="587"/>
      <c r="M179" s="587" t="str">
        <f t="shared" si="66"/>
        <v/>
      </c>
      <c r="N179" s="587"/>
      <c r="O179" s="587" t="str">
        <f t="shared" si="67"/>
        <v/>
      </c>
      <c r="P179" s="587"/>
      <c r="Q179" s="587" t="str">
        <f t="shared" si="53"/>
        <v/>
      </c>
      <c r="R179" s="587"/>
      <c r="S179" s="587" t="str">
        <f t="shared" si="68"/>
        <v/>
      </c>
      <c r="T179" s="587"/>
      <c r="U179" s="587" t="str">
        <f t="shared" si="69"/>
        <v/>
      </c>
      <c r="V179" s="587" t="s">
        <v>957</v>
      </c>
      <c r="W179" s="587">
        <f t="shared" si="70"/>
        <v>10.16</v>
      </c>
      <c r="X179" s="587"/>
      <c r="Y179" s="587" t="str">
        <f t="shared" si="64"/>
        <v/>
      </c>
      <c r="Z179" s="587"/>
      <c r="AA179" s="587" t="str">
        <f t="shared" si="55"/>
        <v/>
      </c>
      <c r="AB179" s="587"/>
      <c r="AC179" s="587" t="str">
        <f t="shared" si="56"/>
        <v/>
      </c>
      <c r="AD179" s="586"/>
      <c r="AE179" s="587" t="str">
        <f t="shared" si="54"/>
        <v/>
      </c>
    </row>
    <row r="180" spans="2:31">
      <c r="B180" s="586" t="s">
        <v>425</v>
      </c>
      <c r="C180" s="587"/>
      <c r="D180" s="588" t="s">
        <v>957</v>
      </c>
      <c r="E180" s="587"/>
      <c r="F180" s="587">
        <v>14.62</v>
      </c>
      <c r="G180" s="587">
        <v>17.13</v>
      </c>
      <c r="H180" s="589" t="s">
        <v>957</v>
      </c>
      <c r="I180" s="587">
        <f t="shared" si="65"/>
        <v>14.62</v>
      </c>
      <c r="J180" s="589" t="s">
        <v>957</v>
      </c>
      <c r="K180" s="587">
        <f t="shared" si="52"/>
        <v>17.13</v>
      </c>
      <c r="L180" s="587"/>
      <c r="M180" s="587" t="str">
        <f t="shared" si="66"/>
        <v/>
      </c>
      <c r="N180" s="587"/>
      <c r="O180" s="587" t="str">
        <f t="shared" si="67"/>
        <v/>
      </c>
      <c r="P180" s="587"/>
      <c r="Q180" s="587" t="str">
        <f t="shared" si="53"/>
        <v/>
      </c>
      <c r="R180" s="587"/>
      <c r="S180" s="587" t="str">
        <f t="shared" si="68"/>
        <v/>
      </c>
      <c r="T180" s="587"/>
      <c r="U180" s="587" t="str">
        <f t="shared" si="69"/>
        <v/>
      </c>
      <c r="V180" s="587" t="s">
        <v>957</v>
      </c>
      <c r="W180" s="587">
        <f t="shared" si="70"/>
        <v>14.62</v>
      </c>
      <c r="X180" s="587"/>
      <c r="Y180" s="587" t="str">
        <f t="shared" si="64"/>
        <v/>
      </c>
      <c r="Z180" s="587"/>
      <c r="AA180" s="587" t="str">
        <f t="shared" si="55"/>
        <v/>
      </c>
      <c r="AB180" s="587"/>
      <c r="AC180" s="587" t="str">
        <f t="shared" si="56"/>
        <v/>
      </c>
      <c r="AD180" s="586"/>
      <c r="AE180" s="587" t="str">
        <f t="shared" si="54"/>
        <v/>
      </c>
    </row>
    <row r="181" spans="2:31">
      <c r="B181" s="586" t="s">
        <v>397</v>
      </c>
      <c r="C181" s="587">
        <v>1.9</v>
      </c>
      <c r="D181" s="588" t="s">
        <v>957</v>
      </c>
      <c r="E181" s="587">
        <v>1.35</v>
      </c>
      <c r="F181" s="587">
        <f>C181*E181</f>
        <v>2.5649999999999999</v>
      </c>
      <c r="G181" s="587">
        <f>(C181+E181)*2</f>
        <v>6.5</v>
      </c>
      <c r="H181" s="589" t="s">
        <v>957</v>
      </c>
      <c r="I181" s="587">
        <f t="shared" si="65"/>
        <v>2.5649999999999999</v>
      </c>
      <c r="J181" s="589" t="s">
        <v>957</v>
      </c>
      <c r="K181" s="587">
        <f t="shared" si="52"/>
        <v>6.5</v>
      </c>
      <c r="L181" s="587"/>
      <c r="M181" s="587" t="str">
        <f t="shared" si="66"/>
        <v/>
      </c>
      <c r="N181" s="587"/>
      <c r="O181" s="587" t="str">
        <f t="shared" si="67"/>
        <v/>
      </c>
      <c r="P181" s="587"/>
      <c r="Q181" s="587" t="str">
        <f t="shared" si="53"/>
        <v/>
      </c>
      <c r="R181" s="587"/>
      <c r="S181" s="587" t="str">
        <f t="shared" si="68"/>
        <v/>
      </c>
      <c r="T181" s="587"/>
      <c r="U181" s="587" t="str">
        <f t="shared" si="69"/>
        <v/>
      </c>
      <c r="V181" s="587" t="s">
        <v>957</v>
      </c>
      <c r="W181" s="587">
        <f t="shared" si="70"/>
        <v>2.5649999999999999</v>
      </c>
      <c r="X181" s="587"/>
      <c r="Y181" s="587" t="str">
        <f t="shared" si="64"/>
        <v/>
      </c>
      <c r="Z181" s="587"/>
      <c r="AA181" s="587" t="str">
        <f t="shared" si="55"/>
        <v/>
      </c>
      <c r="AB181" s="587"/>
      <c r="AC181" s="587" t="str">
        <f t="shared" si="56"/>
        <v/>
      </c>
      <c r="AD181" s="586"/>
      <c r="AE181" s="587" t="str">
        <f t="shared" si="54"/>
        <v/>
      </c>
    </row>
    <row r="182" spans="2:31">
      <c r="B182" s="586" t="s">
        <v>426</v>
      </c>
      <c r="C182" s="587"/>
      <c r="D182" s="588" t="s">
        <v>957</v>
      </c>
      <c r="E182" s="587"/>
      <c r="F182" s="587">
        <v>14.91</v>
      </c>
      <c r="G182" s="587">
        <v>17.16</v>
      </c>
      <c r="H182" s="589" t="s">
        <v>957</v>
      </c>
      <c r="I182" s="587">
        <f t="shared" si="65"/>
        <v>14.91</v>
      </c>
      <c r="J182" s="589" t="s">
        <v>957</v>
      </c>
      <c r="K182" s="587">
        <f t="shared" si="52"/>
        <v>17.16</v>
      </c>
      <c r="L182" s="587"/>
      <c r="M182" s="587" t="str">
        <f t="shared" si="66"/>
        <v/>
      </c>
      <c r="N182" s="587"/>
      <c r="O182" s="587" t="str">
        <f t="shared" si="67"/>
        <v/>
      </c>
      <c r="P182" s="587"/>
      <c r="Q182" s="587" t="str">
        <f t="shared" si="53"/>
        <v/>
      </c>
      <c r="R182" s="587"/>
      <c r="S182" s="587" t="str">
        <f t="shared" si="68"/>
        <v/>
      </c>
      <c r="T182" s="587"/>
      <c r="U182" s="587" t="str">
        <f t="shared" si="69"/>
        <v/>
      </c>
      <c r="V182" s="587" t="s">
        <v>957</v>
      </c>
      <c r="W182" s="587">
        <f t="shared" si="70"/>
        <v>14.91</v>
      </c>
      <c r="X182" s="587"/>
      <c r="Y182" s="587" t="str">
        <f t="shared" si="64"/>
        <v/>
      </c>
      <c r="Z182" s="587"/>
      <c r="AA182" s="587" t="str">
        <f t="shared" si="55"/>
        <v/>
      </c>
      <c r="AB182" s="587"/>
      <c r="AC182" s="587" t="str">
        <f t="shared" si="56"/>
        <v/>
      </c>
      <c r="AD182" s="586"/>
      <c r="AE182" s="587" t="str">
        <f t="shared" si="54"/>
        <v/>
      </c>
    </row>
    <row r="183" spans="2:31">
      <c r="B183" s="586" t="s">
        <v>397</v>
      </c>
      <c r="C183" s="587">
        <v>1.9</v>
      </c>
      <c r="D183" s="588"/>
      <c r="E183" s="587">
        <v>1.25</v>
      </c>
      <c r="F183" s="587">
        <f>C183*E183</f>
        <v>2.375</v>
      </c>
      <c r="G183" s="587">
        <f>(C183+E183)*2</f>
        <v>6.3</v>
      </c>
      <c r="H183" s="589" t="s">
        <v>957</v>
      </c>
      <c r="I183" s="587">
        <f t="shared" si="65"/>
        <v>2.375</v>
      </c>
      <c r="J183" s="589" t="s">
        <v>957</v>
      </c>
      <c r="K183" s="587">
        <f t="shared" si="52"/>
        <v>6.3</v>
      </c>
      <c r="L183" s="587"/>
      <c r="M183" s="587" t="str">
        <f t="shared" si="66"/>
        <v/>
      </c>
      <c r="N183" s="587"/>
      <c r="O183" s="587" t="str">
        <f t="shared" si="67"/>
        <v/>
      </c>
      <c r="P183" s="587"/>
      <c r="Q183" s="587" t="str">
        <f t="shared" si="53"/>
        <v/>
      </c>
      <c r="R183" s="587"/>
      <c r="S183" s="587" t="str">
        <f t="shared" si="68"/>
        <v/>
      </c>
      <c r="T183" s="587"/>
      <c r="U183" s="587" t="str">
        <f t="shared" si="69"/>
        <v/>
      </c>
      <c r="V183" s="587" t="s">
        <v>957</v>
      </c>
      <c r="W183" s="587">
        <f t="shared" si="70"/>
        <v>2.375</v>
      </c>
      <c r="X183" s="587"/>
      <c r="Y183" s="587" t="str">
        <f t="shared" si="64"/>
        <v/>
      </c>
      <c r="Z183" s="587"/>
      <c r="AA183" s="587" t="str">
        <f t="shared" si="55"/>
        <v/>
      </c>
      <c r="AB183" s="587"/>
      <c r="AC183" s="587" t="str">
        <f t="shared" si="56"/>
        <v/>
      </c>
      <c r="AD183" s="586"/>
      <c r="AE183" s="587" t="str">
        <f t="shared" si="54"/>
        <v/>
      </c>
    </row>
    <row r="184" spans="2:31">
      <c r="B184" s="586" t="s">
        <v>427</v>
      </c>
      <c r="C184" s="587"/>
      <c r="D184" s="588"/>
      <c r="E184" s="587"/>
      <c r="F184" s="587">
        <v>40.42</v>
      </c>
      <c r="G184" s="587">
        <v>26.85</v>
      </c>
      <c r="H184" s="589" t="s">
        <v>957</v>
      </c>
      <c r="I184" s="587">
        <f t="shared" si="65"/>
        <v>40.42</v>
      </c>
      <c r="J184" s="589" t="s">
        <v>957</v>
      </c>
      <c r="K184" s="587">
        <f t="shared" si="52"/>
        <v>26.85</v>
      </c>
      <c r="L184" s="587"/>
      <c r="M184" s="587" t="str">
        <f t="shared" si="66"/>
        <v/>
      </c>
      <c r="N184" s="587"/>
      <c r="O184" s="587" t="str">
        <f t="shared" si="67"/>
        <v/>
      </c>
      <c r="P184" s="587"/>
      <c r="Q184" s="587" t="str">
        <f t="shared" si="53"/>
        <v/>
      </c>
      <c r="R184" s="587"/>
      <c r="S184" s="587" t="str">
        <f t="shared" si="68"/>
        <v/>
      </c>
      <c r="T184" s="587"/>
      <c r="U184" s="587" t="str">
        <f t="shared" si="69"/>
        <v/>
      </c>
      <c r="V184" s="587" t="s">
        <v>957</v>
      </c>
      <c r="W184" s="587">
        <f t="shared" si="70"/>
        <v>40.42</v>
      </c>
      <c r="X184" s="587"/>
      <c r="Y184" s="587" t="str">
        <f t="shared" si="64"/>
        <v/>
      </c>
      <c r="Z184" s="587"/>
      <c r="AA184" s="587" t="str">
        <f t="shared" si="55"/>
        <v/>
      </c>
      <c r="AB184" s="587"/>
      <c r="AC184" s="587" t="str">
        <f t="shared" si="56"/>
        <v/>
      </c>
      <c r="AD184" s="586"/>
      <c r="AE184" s="587" t="str">
        <f t="shared" si="54"/>
        <v/>
      </c>
    </row>
    <row r="185" spans="2:31">
      <c r="B185" s="586" t="s">
        <v>428</v>
      </c>
      <c r="C185" s="587">
        <v>1.6</v>
      </c>
      <c r="D185" s="588" t="s">
        <v>957</v>
      </c>
      <c r="E185" s="587">
        <v>2.5</v>
      </c>
      <c r="F185" s="587">
        <f>C185*E185</f>
        <v>4</v>
      </c>
      <c r="G185" s="587">
        <f>(C185+E185)*2</f>
        <v>8.1999999999999993</v>
      </c>
      <c r="H185" s="589" t="s">
        <v>957</v>
      </c>
      <c r="I185" s="587">
        <f t="shared" si="65"/>
        <v>4</v>
      </c>
      <c r="J185" s="589" t="s">
        <v>957</v>
      </c>
      <c r="K185" s="587">
        <f t="shared" si="52"/>
        <v>8.1999999999999993</v>
      </c>
      <c r="L185" s="587"/>
      <c r="M185" s="587" t="str">
        <f t="shared" si="66"/>
        <v/>
      </c>
      <c r="N185" s="587"/>
      <c r="O185" s="587" t="str">
        <f t="shared" si="67"/>
        <v/>
      </c>
      <c r="P185" s="587"/>
      <c r="Q185" s="587" t="str">
        <f t="shared" si="53"/>
        <v/>
      </c>
      <c r="R185" s="587"/>
      <c r="S185" s="587" t="str">
        <f t="shared" si="68"/>
        <v/>
      </c>
      <c r="T185" s="587"/>
      <c r="U185" s="587" t="str">
        <f t="shared" si="69"/>
        <v/>
      </c>
      <c r="V185" s="587" t="s">
        <v>957</v>
      </c>
      <c r="W185" s="587">
        <f t="shared" si="70"/>
        <v>4</v>
      </c>
      <c r="X185" s="587"/>
      <c r="Y185" s="587" t="str">
        <f t="shared" si="64"/>
        <v/>
      </c>
      <c r="Z185" s="587"/>
      <c r="AA185" s="587" t="str">
        <f t="shared" si="55"/>
        <v/>
      </c>
      <c r="AB185" s="587"/>
      <c r="AC185" s="587" t="str">
        <f t="shared" si="56"/>
        <v/>
      </c>
      <c r="AD185" s="586"/>
      <c r="AE185" s="587" t="str">
        <f t="shared" si="54"/>
        <v/>
      </c>
    </row>
    <row r="186" spans="2:31">
      <c r="B186" s="586" t="s">
        <v>429</v>
      </c>
      <c r="C186" s="587"/>
      <c r="D186" s="588"/>
      <c r="E186" s="587"/>
      <c r="F186" s="587">
        <v>40.42</v>
      </c>
      <c r="G186" s="587">
        <v>26.85</v>
      </c>
      <c r="H186" s="589" t="s">
        <v>957</v>
      </c>
      <c r="I186" s="587">
        <f t="shared" si="65"/>
        <v>40.42</v>
      </c>
      <c r="J186" s="589" t="s">
        <v>957</v>
      </c>
      <c r="K186" s="587">
        <f t="shared" si="52"/>
        <v>26.85</v>
      </c>
      <c r="L186" s="587"/>
      <c r="M186" s="587" t="str">
        <f t="shared" si="66"/>
        <v/>
      </c>
      <c r="N186" s="587"/>
      <c r="O186" s="587" t="str">
        <f t="shared" si="67"/>
        <v/>
      </c>
      <c r="P186" s="587"/>
      <c r="Q186" s="587" t="str">
        <f t="shared" si="53"/>
        <v/>
      </c>
      <c r="R186" s="587"/>
      <c r="S186" s="587" t="str">
        <f t="shared" si="68"/>
        <v/>
      </c>
      <c r="T186" s="587"/>
      <c r="U186" s="587" t="str">
        <f t="shared" si="69"/>
        <v/>
      </c>
      <c r="V186" s="587" t="s">
        <v>957</v>
      </c>
      <c r="W186" s="587">
        <f t="shared" si="70"/>
        <v>40.42</v>
      </c>
      <c r="X186" s="587"/>
      <c r="Y186" s="587" t="str">
        <f t="shared" si="64"/>
        <v/>
      </c>
      <c r="Z186" s="587"/>
      <c r="AA186" s="587" t="str">
        <f t="shared" si="55"/>
        <v/>
      </c>
      <c r="AB186" s="587"/>
      <c r="AC186" s="587" t="str">
        <f t="shared" si="56"/>
        <v/>
      </c>
      <c r="AD186" s="586"/>
      <c r="AE186" s="587" t="str">
        <f t="shared" si="54"/>
        <v/>
      </c>
    </row>
    <row r="187" spans="2:31">
      <c r="B187" s="586" t="s">
        <v>428</v>
      </c>
      <c r="C187" s="587">
        <v>1.6</v>
      </c>
      <c r="D187" s="588" t="s">
        <v>957</v>
      </c>
      <c r="E187" s="587">
        <v>2.5</v>
      </c>
      <c r="F187" s="587">
        <f t="shared" ref="F187:F194" si="73">C187*E187</f>
        <v>4</v>
      </c>
      <c r="G187" s="587">
        <f t="shared" ref="G187:G194" si="74">(C187+E187)*2</f>
        <v>8.1999999999999993</v>
      </c>
      <c r="H187" s="589" t="s">
        <v>957</v>
      </c>
      <c r="I187" s="587">
        <f t="shared" si="65"/>
        <v>4</v>
      </c>
      <c r="J187" s="589" t="s">
        <v>957</v>
      </c>
      <c r="K187" s="587">
        <f t="shared" si="52"/>
        <v>8.1999999999999993</v>
      </c>
      <c r="L187" s="587"/>
      <c r="M187" s="587" t="str">
        <f t="shared" si="66"/>
        <v/>
      </c>
      <c r="N187" s="587"/>
      <c r="O187" s="587" t="str">
        <f t="shared" si="67"/>
        <v/>
      </c>
      <c r="P187" s="587"/>
      <c r="Q187" s="587" t="str">
        <f t="shared" si="53"/>
        <v/>
      </c>
      <c r="R187" s="587"/>
      <c r="S187" s="587" t="str">
        <f t="shared" si="68"/>
        <v/>
      </c>
      <c r="T187" s="587"/>
      <c r="U187" s="587" t="str">
        <f t="shared" si="69"/>
        <v/>
      </c>
      <c r="V187" s="587" t="s">
        <v>957</v>
      </c>
      <c r="W187" s="587">
        <f t="shared" si="70"/>
        <v>4</v>
      </c>
      <c r="X187" s="587"/>
      <c r="Y187" s="587" t="str">
        <f t="shared" si="64"/>
        <v/>
      </c>
      <c r="Z187" s="587"/>
      <c r="AA187" s="587" t="str">
        <f t="shared" si="55"/>
        <v/>
      </c>
      <c r="AB187" s="587"/>
      <c r="AC187" s="587" t="str">
        <f t="shared" si="56"/>
        <v/>
      </c>
      <c r="AD187" s="586"/>
      <c r="AE187" s="587" t="str">
        <f t="shared" si="54"/>
        <v/>
      </c>
    </row>
    <row r="188" spans="2:31">
      <c r="B188" s="586" t="s">
        <v>430</v>
      </c>
      <c r="C188" s="587">
        <v>7.5</v>
      </c>
      <c r="D188" s="588" t="s">
        <v>957</v>
      </c>
      <c r="E188" s="587">
        <v>3.5</v>
      </c>
      <c r="F188" s="587">
        <f t="shared" si="73"/>
        <v>26.25</v>
      </c>
      <c r="G188" s="587">
        <f t="shared" si="74"/>
        <v>22</v>
      </c>
      <c r="H188" s="589" t="s">
        <v>957</v>
      </c>
      <c r="I188" s="587">
        <f t="shared" si="65"/>
        <v>26.25</v>
      </c>
      <c r="J188" s="589" t="s">
        <v>957</v>
      </c>
      <c r="K188" s="587">
        <f t="shared" si="52"/>
        <v>22</v>
      </c>
      <c r="L188" s="587"/>
      <c r="M188" s="587" t="str">
        <f t="shared" si="66"/>
        <v/>
      </c>
      <c r="N188" s="587"/>
      <c r="O188" s="587" t="str">
        <f t="shared" si="67"/>
        <v/>
      </c>
      <c r="P188" s="587"/>
      <c r="Q188" s="587" t="str">
        <f t="shared" si="53"/>
        <v/>
      </c>
      <c r="R188" s="587"/>
      <c r="S188" s="587" t="str">
        <f t="shared" si="68"/>
        <v/>
      </c>
      <c r="T188" s="587"/>
      <c r="U188" s="587" t="str">
        <f t="shared" si="69"/>
        <v/>
      </c>
      <c r="V188" s="587" t="s">
        <v>957</v>
      </c>
      <c r="W188" s="587">
        <f t="shared" si="70"/>
        <v>26.25</v>
      </c>
      <c r="X188" s="587"/>
      <c r="Y188" s="587" t="str">
        <f t="shared" si="64"/>
        <v/>
      </c>
      <c r="Z188" s="587"/>
      <c r="AA188" s="587" t="str">
        <f t="shared" si="55"/>
        <v/>
      </c>
      <c r="AB188" s="587"/>
      <c r="AC188" s="587" t="str">
        <f t="shared" si="56"/>
        <v/>
      </c>
      <c r="AD188" s="586"/>
      <c r="AE188" s="587" t="str">
        <f t="shared" si="54"/>
        <v/>
      </c>
    </row>
    <row r="189" spans="2:31">
      <c r="B189" s="586" t="s">
        <v>431</v>
      </c>
      <c r="C189" s="587">
        <v>1.6</v>
      </c>
      <c r="D189" s="588" t="s">
        <v>957</v>
      </c>
      <c r="E189" s="587">
        <v>3.5</v>
      </c>
      <c r="F189" s="587">
        <f t="shared" si="73"/>
        <v>5.6000000000000005</v>
      </c>
      <c r="G189" s="587">
        <f t="shared" si="74"/>
        <v>10.199999999999999</v>
      </c>
      <c r="H189" s="589" t="s">
        <v>957</v>
      </c>
      <c r="I189" s="587">
        <f t="shared" si="65"/>
        <v>5.6000000000000005</v>
      </c>
      <c r="J189" s="589" t="s">
        <v>957</v>
      </c>
      <c r="K189" s="587">
        <f t="shared" si="52"/>
        <v>10.199999999999999</v>
      </c>
      <c r="L189" s="587"/>
      <c r="M189" s="587" t="str">
        <f t="shared" si="66"/>
        <v/>
      </c>
      <c r="N189" s="587"/>
      <c r="O189" s="587" t="str">
        <f t="shared" si="67"/>
        <v/>
      </c>
      <c r="P189" s="587"/>
      <c r="Q189" s="587" t="str">
        <f t="shared" si="53"/>
        <v/>
      </c>
      <c r="R189" s="587"/>
      <c r="S189" s="587" t="str">
        <f t="shared" si="68"/>
        <v/>
      </c>
      <c r="T189" s="587"/>
      <c r="U189" s="587" t="str">
        <f t="shared" si="69"/>
        <v/>
      </c>
      <c r="V189" s="587" t="s">
        <v>957</v>
      </c>
      <c r="W189" s="587">
        <f t="shared" si="70"/>
        <v>5.6000000000000005</v>
      </c>
      <c r="X189" s="587"/>
      <c r="Y189" s="587" t="str">
        <f t="shared" si="64"/>
        <v/>
      </c>
      <c r="Z189" s="587"/>
      <c r="AA189" s="587" t="str">
        <f t="shared" si="55"/>
        <v/>
      </c>
      <c r="AB189" s="587"/>
      <c r="AC189" s="587" t="str">
        <f t="shared" si="56"/>
        <v/>
      </c>
      <c r="AD189" s="586"/>
      <c r="AE189" s="587" t="str">
        <f t="shared" si="54"/>
        <v/>
      </c>
    </row>
    <row r="190" spans="2:31">
      <c r="B190" s="586" t="s">
        <v>432</v>
      </c>
      <c r="C190" s="587">
        <v>1.6</v>
      </c>
      <c r="D190" s="588" t="s">
        <v>957</v>
      </c>
      <c r="E190" s="587">
        <v>3.5</v>
      </c>
      <c r="F190" s="587">
        <f t="shared" si="73"/>
        <v>5.6000000000000005</v>
      </c>
      <c r="G190" s="587">
        <f t="shared" si="74"/>
        <v>10.199999999999999</v>
      </c>
      <c r="H190" s="589" t="s">
        <v>957</v>
      </c>
      <c r="I190" s="587">
        <f t="shared" si="65"/>
        <v>5.6000000000000005</v>
      </c>
      <c r="J190" s="589" t="s">
        <v>957</v>
      </c>
      <c r="K190" s="587">
        <f t="shared" si="52"/>
        <v>10.199999999999999</v>
      </c>
      <c r="L190" s="587"/>
      <c r="M190" s="587" t="str">
        <f t="shared" si="66"/>
        <v/>
      </c>
      <c r="N190" s="587"/>
      <c r="O190" s="587" t="str">
        <f t="shared" si="67"/>
        <v/>
      </c>
      <c r="P190" s="587"/>
      <c r="Q190" s="587" t="str">
        <f t="shared" si="53"/>
        <v/>
      </c>
      <c r="R190" s="587"/>
      <c r="S190" s="587" t="str">
        <f t="shared" si="68"/>
        <v/>
      </c>
      <c r="T190" s="587"/>
      <c r="U190" s="587" t="str">
        <f t="shared" si="69"/>
        <v/>
      </c>
      <c r="V190" s="587" t="s">
        <v>957</v>
      </c>
      <c r="W190" s="587">
        <f t="shared" si="70"/>
        <v>5.6000000000000005</v>
      </c>
      <c r="X190" s="587"/>
      <c r="Y190" s="587" t="str">
        <f t="shared" si="64"/>
        <v/>
      </c>
      <c r="Z190" s="587"/>
      <c r="AA190" s="587" t="str">
        <f t="shared" si="55"/>
        <v/>
      </c>
      <c r="AB190" s="587"/>
      <c r="AC190" s="587" t="str">
        <f t="shared" si="56"/>
        <v/>
      </c>
      <c r="AD190" s="586"/>
      <c r="AE190" s="587" t="str">
        <f t="shared" si="54"/>
        <v/>
      </c>
    </row>
    <row r="191" spans="2:31">
      <c r="B191" s="586" t="s">
        <v>430</v>
      </c>
      <c r="C191" s="587">
        <v>7.5</v>
      </c>
      <c r="D191" s="588" t="s">
        <v>957</v>
      </c>
      <c r="E191" s="587">
        <v>3.5</v>
      </c>
      <c r="F191" s="587">
        <f t="shared" si="73"/>
        <v>26.25</v>
      </c>
      <c r="G191" s="587">
        <f t="shared" si="74"/>
        <v>22</v>
      </c>
      <c r="H191" s="589" t="s">
        <v>957</v>
      </c>
      <c r="I191" s="587">
        <f t="shared" si="65"/>
        <v>26.25</v>
      </c>
      <c r="J191" s="589" t="s">
        <v>957</v>
      </c>
      <c r="K191" s="587">
        <f t="shared" si="52"/>
        <v>22</v>
      </c>
      <c r="L191" s="587"/>
      <c r="M191" s="587" t="str">
        <f t="shared" si="66"/>
        <v/>
      </c>
      <c r="N191" s="587"/>
      <c r="O191" s="587" t="str">
        <f t="shared" si="67"/>
        <v/>
      </c>
      <c r="P191" s="587"/>
      <c r="Q191" s="587" t="str">
        <f t="shared" si="53"/>
        <v/>
      </c>
      <c r="R191" s="587"/>
      <c r="S191" s="587" t="str">
        <f t="shared" si="68"/>
        <v/>
      </c>
      <c r="T191" s="587"/>
      <c r="U191" s="587" t="str">
        <f t="shared" si="69"/>
        <v/>
      </c>
      <c r="V191" s="587" t="s">
        <v>957</v>
      </c>
      <c r="W191" s="587">
        <f t="shared" si="70"/>
        <v>26.25</v>
      </c>
      <c r="X191" s="587"/>
      <c r="Y191" s="587" t="str">
        <f t="shared" si="64"/>
        <v/>
      </c>
      <c r="Z191" s="587"/>
      <c r="AA191" s="587" t="str">
        <f t="shared" si="55"/>
        <v/>
      </c>
      <c r="AB191" s="587"/>
      <c r="AC191" s="587" t="str">
        <f t="shared" si="56"/>
        <v/>
      </c>
      <c r="AD191" s="586"/>
      <c r="AE191" s="587" t="str">
        <f t="shared" si="54"/>
        <v/>
      </c>
    </row>
    <row r="192" spans="2:31">
      <c r="B192" s="586" t="s">
        <v>433</v>
      </c>
      <c r="C192" s="587">
        <v>9.25</v>
      </c>
      <c r="D192" s="588" t="s">
        <v>957</v>
      </c>
      <c r="E192" s="587">
        <v>2.36</v>
      </c>
      <c r="F192" s="587">
        <f t="shared" si="73"/>
        <v>21.83</v>
      </c>
      <c r="G192" s="587">
        <f t="shared" si="74"/>
        <v>23.22</v>
      </c>
      <c r="H192" s="589" t="s">
        <v>957</v>
      </c>
      <c r="I192" s="587">
        <f t="shared" si="65"/>
        <v>21.83</v>
      </c>
      <c r="J192" s="589" t="s">
        <v>957</v>
      </c>
      <c r="K192" s="587">
        <f t="shared" si="52"/>
        <v>23.22</v>
      </c>
      <c r="L192" s="587"/>
      <c r="M192" s="587" t="str">
        <f t="shared" si="66"/>
        <v/>
      </c>
      <c r="N192" s="587"/>
      <c r="O192" s="587" t="str">
        <f t="shared" si="67"/>
        <v/>
      </c>
      <c r="P192" s="587"/>
      <c r="Q192" s="587" t="str">
        <f t="shared" si="53"/>
        <v/>
      </c>
      <c r="R192" s="587"/>
      <c r="S192" s="587" t="str">
        <f t="shared" si="68"/>
        <v/>
      </c>
      <c r="T192" s="587"/>
      <c r="U192" s="587" t="str">
        <f t="shared" si="69"/>
        <v/>
      </c>
      <c r="V192" s="587" t="s">
        <v>957</v>
      </c>
      <c r="W192" s="587">
        <f t="shared" si="70"/>
        <v>21.83</v>
      </c>
      <c r="X192" s="587"/>
      <c r="Y192" s="587" t="str">
        <f t="shared" si="64"/>
        <v/>
      </c>
      <c r="Z192" s="587"/>
      <c r="AA192" s="587" t="str">
        <f t="shared" si="55"/>
        <v/>
      </c>
      <c r="AB192" s="587"/>
      <c r="AC192" s="587" t="str">
        <f t="shared" si="56"/>
        <v/>
      </c>
      <c r="AD192" s="586"/>
      <c r="AE192" s="587" t="str">
        <f t="shared" si="54"/>
        <v/>
      </c>
    </row>
    <row r="193" spans="2:31">
      <c r="B193" s="586" t="s">
        <v>434</v>
      </c>
      <c r="C193" s="587">
        <v>9.25</v>
      </c>
      <c r="D193" s="588" t="s">
        <v>957</v>
      </c>
      <c r="E193" s="587">
        <v>2.83</v>
      </c>
      <c r="F193" s="587">
        <f t="shared" si="73"/>
        <v>26.177500000000002</v>
      </c>
      <c r="G193" s="587">
        <f t="shared" si="74"/>
        <v>24.16</v>
      </c>
      <c r="H193" s="589" t="s">
        <v>957</v>
      </c>
      <c r="I193" s="587">
        <f t="shared" si="65"/>
        <v>26.177500000000002</v>
      </c>
      <c r="J193" s="589" t="s">
        <v>957</v>
      </c>
      <c r="K193" s="587">
        <f t="shared" si="52"/>
        <v>24.16</v>
      </c>
      <c r="L193" s="587"/>
      <c r="M193" s="587" t="str">
        <f t="shared" si="66"/>
        <v/>
      </c>
      <c r="N193" s="587"/>
      <c r="O193" s="587" t="str">
        <f t="shared" si="67"/>
        <v/>
      </c>
      <c r="P193" s="587"/>
      <c r="Q193" s="587" t="str">
        <f t="shared" si="53"/>
        <v/>
      </c>
      <c r="R193" s="587"/>
      <c r="S193" s="587" t="str">
        <f t="shared" si="68"/>
        <v/>
      </c>
      <c r="T193" s="587"/>
      <c r="U193" s="587" t="str">
        <f t="shared" si="69"/>
        <v/>
      </c>
      <c r="V193" s="587" t="s">
        <v>957</v>
      </c>
      <c r="W193" s="587">
        <f t="shared" si="70"/>
        <v>26.177500000000002</v>
      </c>
      <c r="X193" s="587"/>
      <c r="Y193" s="587" t="str">
        <f t="shared" si="64"/>
        <v/>
      </c>
      <c r="Z193" s="587"/>
      <c r="AA193" s="587" t="str">
        <f t="shared" si="55"/>
        <v/>
      </c>
      <c r="AB193" s="587"/>
      <c r="AC193" s="587" t="str">
        <f t="shared" si="56"/>
        <v/>
      </c>
      <c r="AD193" s="586"/>
      <c r="AE193" s="587" t="str">
        <f t="shared" si="54"/>
        <v/>
      </c>
    </row>
    <row r="194" spans="2:31">
      <c r="B194" s="586" t="s">
        <v>428</v>
      </c>
      <c r="C194" s="587">
        <v>1.6</v>
      </c>
      <c r="D194" s="588" t="s">
        <v>957</v>
      </c>
      <c r="E194" s="587">
        <v>3</v>
      </c>
      <c r="F194" s="587">
        <f t="shared" si="73"/>
        <v>4.8000000000000007</v>
      </c>
      <c r="G194" s="587">
        <f t="shared" si="74"/>
        <v>9.1999999999999993</v>
      </c>
      <c r="H194" s="589" t="s">
        <v>957</v>
      </c>
      <c r="I194" s="587">
        <f t="shared" si="65"/>
        <v>4.8000000000000007</v>
      </c>
      <c r="J194" s="589" t="s">
        <v>957</v>
      </c>
      <c r="K194" s="587">
        <f t="shared" si="52"/>
        <v>9.1999999999999993</v>
      </c>
      <c r="L194" s="587"/>
      <c r="M194" s="587" t="str">
        <f t="shared" si="66"/>
        <v/>
      </c>
      <c r="N194" s="587"/>
      <c r="O194" s="587" t="str">
        <f t="shared" si="67"/>
        <v/>
      </c>
      <c r="P194" s="587"/>
      <c r="Q194" s="587" t="str">
        <f t="shared" si="53"/>
        <v/>
      </c>
      <c r="R194" s="587"/>
      <c r="S194" s="587" t="str">
        <f t="shared" si="68"/>
        <v/>
      </c>
      <c r="T194" s="587"/>
      <c r="U194" s="587" t="str">
        <f t="shared" si="69"/>
        <v/>
      </c>
      <c r="V194" s="587" t="s">
        <v>957</v>
      </c>
      <c r="W194" s="587">
        <f t="shared" si="70"/>
        <v>4.8000000000000007</v>
      </c>
      <c r="X194" s="587"/>
      <c r="Y194" s="587" t="str">
        <f t="shared" si="64"/>
        <v/>
      </c>
      <c r="Z194" s="587"/>
      <c r="AA194" s="587" t="str">
        <f t="shared" si="55"/>
        <v/>
      </c>
      <c r="AB194" s="587"/>
      <c r="AC194" s="587" t="str">
        <f t="shared" si="56"/>
        <v/>
      </c>
      <c r="AD194" s="586"/>
      <c r="AE194" s="587" t="str">
        <f t="shared" si="54"/>
        <v/>
      </c>
    </row>
    <row r="195" spans="2:31">
      <c r="B195" s="586" t="s">
        <v>435</v>
      </c>
      <c r="C195" s="587"/>
      <c r="D195" s="588"/>
      <c r="E195" s="587"/>
      <c r="F195" s="587">
        <v>24.19</v>
      </c>
      <c r="G195" s="587">
        <v>21.8</v>
      </c>
      <c r="H195" s="589" t="s">
        <v>957</v>
      </c>
      <c r="I195" s="587">
        <f t="shared" si="65"/>
        <v>24.19</v>
      </c>
      <c r="J195" s="589" t="s">
        <v>957</v>
      </c>
      <c r="K195" s="587">
        <f t="shared" si="52"/>
        <v>21.8</v>
      </c>
      <c r="L195" s="587"/>
      <c r="M195" s="587" t="str">
        <f t="shared" si="66"/>
        <v/>
      </c>
      <c r="N195" s="587"/>
      <c r="O195" s="587" t="str">
        <f t="shared" si="67"/>
        <v/>
      </c>
      <c r="P195" s="587"/>
      <c r="Q195" s="587" t="str">
        <f t="shared" si="53"/>
        <v/>
      </c>
      <c r="R195" s="587"/>
      <c r="S195" s="587" t="str">
        <f t="shared" si="68"/>
        <v/>
      </c>
      <c r="T195" s="587"/>
      <c r="U195" s="587" t="str">
        <f t="shared" si="69"/>
        <v/>
      </c>
      <c r="V195" s="587" t="s">
        <v>957</v>
      </c>
      <c r="W195" s="587">
        <f t="shared" si="70"/>
        <v>24.19</v>
      </c>
      <c r="X195" s="587"/>
      <c r="Y195" s="587" t="str">
        <f t="shared" si="64"/>
        <v/>
      </c>
      <c r="Z195" s="587"/>
      <c r="AA195" s="587" t="str">
        <f t="shared" si="55"/>
        <v/>
      </c>
      <c r="AB195" s="587"/>
      <c r="AC195" s="587" t="str">
        <f t="shared" si="56"/>
        <v/>
      </c>
      <c r="AD195" s="586"/>
      <c r="AE195" s="587" t="str">
        <f t="shared" si="54"/>
        <v/>
      </c>
    </row>
    <row r="196" spans="2:31">
      <c r="B196" s="586" t="s">
        <v>436</v>
      </c>
      <c r="C196" s="587"/>
      <c r="D196" s="588"/>
      <c r="E196" s="587"/>
      <c r="F196" s="587">
        <v>115.59</v>
      </c>
      <c r="G196" s="587">
        <v>44.7</v>
      </c>
      <c r="H196" s="589" t="s">
        <v>957</v>
      </c>
      <c r="I196" s="587">
        <f t="shared" si="65"/>
        <v>115.59</v>
      </c>
      <c r="J196" s="589" t="s">
        <v>957</v>
      </c>
      <c r="K196" s="587">
        <f t="shared" si="52"/>
        <v>44.7</v>
      </c>
      <c r="L196" s="587"/>
      <c r="M196" s="587" t="str">
        <f t="shared" si="66"/>
        <v/>
      </c>
      <c r="N196" s="587"/>
      <c r="O196" s="587" t="str">
        <f t="shared" si="67"/>
        <v/>
      </c>
      <c r="P196" s="587"/>
      <c r="Q196" s="587" t="str">
        <f t="shared" si="53"/>
        <v/>
      </c>
      <c r="R196" s="587"/>
      <c r="S196" s="587" t="str">
        <f t="shared" si="68"/>
        <v/>
      </c>
      <c r="T196" s="587"/>
      <c r="U196" s="587" t="str">
        <f t="shared" si="69"/>
        <v/>
      </c>
      <c r="V196" s="587"/>
      <c r="W196" s="587" t="str">
        <f t="shared" si="70"/>
        <v/>
      </c>
      <c r="X196" s="587"/>
      <c r="Y196" s="587" t="str">
        <f t="shared" si="64"/>
        <v/>
      </c>
      <c r="Z196" s="587" t="s">
        <v>952</v>
      </c>
      <c r="AA196" s="587">
        <f t="shared" si="55"/>
        <v>115.59</v>
      </c>
      <c r="AB196" s="587"/>
      <c r="AC196" s="587" t="str">
        <f t="shared" si="56"/>
        <v/>
      </c>
      <c r="AD196" s="586"/>
      <c r="AE196" s="587" t="str">
        <f t="shared" si="54"/>
        <v/>
      </c>
    </row>
    <row r="197" spans="2:31">
      <c r="B197" s="586" t="s">
        <v>437</v>
      </c>
      <c r="C197" s="587"/>
      <c r="D197" s="588"/>
      <c r="E197" s="587"/>
      <c r="F197" s="587">
        <v>55.59</v>
      </c>
      <c r="G197" s="587">
        <v>29.95</v>
      </c>
      <c r="H197" s="589"/>
      <c r="I197" s="587" t="str">
        <f t="shared" si="65"/>
        <v/>
      </c>
      <c r="J197" s="589"/>
      <c r="K197" s="587" t="str">
        <f t="shared" si="52"/>
        <v/>
      </c>
      <c r="L197" s="587"/>
      <c r="M197" s="587" t="str">
        <f t="shared" si="66"/>
        <v/>
      </c>
      <c r="N197" s="587"/>
      <c r="O197" s="587" t="str">
        <f t="shared" si="67"/>
        <v/>
      </c>
      <c r="P197" s="587"/>
      <c r="Q197" s="587" t="str">
        <f t="shared" si="53"/>
        <v/>
      </c>
      <c r="R197" s="587"/>
      <c r="S197" s="587" t="str">
        <f t="shared" si="68"/>
        <v/>
      </c>
      <c r="T197" s="587" t="s">
        <v>952</v>
      </c>
      <c r="U197" s="587">
        <f t="shared" si="69"/>
        <v>55.59</v>
      </c>
      <c r="V197" s="587"/>
      <c r="W197" s="587" t="str">
        <f t="shared" si="70"/>
        <v/>
      </c>
      <c r="X197" s="587"/>
      <c r="Y197" s="587" t="str">
        <f t="shared" si="64"/>
        <v/>
      </c>
      <c r="Z197" s="587"/>
      <c r="AA197" s="587" t="str">
        <f t="shared" si="55"/>
        <v/>
      </c>
      <c r="AB197" s="587"/>
      <c r="AC197" s="587" t="str">
        <f t="shared" si="56"/>
        <v/>
      </c>
      <c r="AD197" s="586"/>
      <c r="AE197" s="587" t="str">
        <f t="shared" si="54"/>
        <v/>
      </c>
    </row>
    <row r="198" spans="2:31">
      <c r="B198" s="586" t="s">
        <v>438</v>
      </c>
      <c r="C198" s="587"/>
      <c r="D198" s="588"/>
      <c r="E198" s="587"/>
      <c r="F198" s="587">
        <v>165.09</v>
      </c>
      <c r="G198" s="587">
        <v>104.25</v>
      </c>
      <c r="H198" s="589" t="s">
        <v>957</v>
      </c>
      <c r="I198" s="587">
        <f t="shared" si="65"/>
        <v>165.09</v>
      </c>
      <c r="J198" s="589" t="s">
        <v>957</v>
      </c>
      <c r="K198" s="587">
        <f t="shared" ref="K198:K261" si="75">IF(J198="x",G198,"")</f>
        <v>104.25</v>
      </c>
      <c r="L198" s="587"/>
      <c r="M198" s="587" t="str">
        <f t="shared" si="66"/>
        <v/>
      </c>
      <c r="N198" s="587"/>
      <c r="O198" s="587" t="str">
        <f t="shared" si="67"/>
        <v/>
      </c>
      <c r="P198" s="587"/>
      <c r="Q198" s="587" t="str">
        <f t="shared" ref="Q198:Q261" si="76">IF(P198="x",G198,"")</f>
        <v/>
      </c>
      <c r="R198" s="587"/>
      <c r="S198" s="587" t="str">
        <f t="shared" si="68"/>
        <v/>
      </c>
      <c r="T198" s="587"/>
      <c r="U198" s="587" t="str">
        <f t="shared" si="69"/>
        <v/>
      </c>
      <c r="V198" s="587"/>
      <c r="W198" s="587" t="str">
        <f t="shared" si="70"/>
        <v/>
      </c>
      <c r="X198" s="587" t="s">
        <v>957</v>
      </c>
      <c r="Y198" s="587">
        <f t="shared" si="64"/>
        <v>165.09</v>
      </c>
      <c r="Z198" s="587"/>
      <c r="AA198" s="587" t="str">
        <f t="shared" si="55"/>
        <v/>
      </c>
      <c r="AB198" s="587"/>
      <c r="AC198" s="587" t="str">
        <f t="shared" si="56"/>
        <v/>
      </c>
      <c r="AD198" s="586"/>
      <c r="AE198" s="587" t="str">
        <f t="shared" ref="AE198:AE261" si="77">IF(AD198="x",F198,"")</f>
        <v/>
      </c>
    </row>
    <row r="199" spans="2:31">
      <c r="B199" s="586" t="s">
        <v>439</v>
      </c>
      <c r="C199" s="587"/>
      <c r="D199" s="588"/>
      <c r="E199" s="587"/>
      <c r="F199" s="587">
        <v>24.76</v>
      </c>
      <c r="G199" s="587">
        <v>22.42</v>
      </c>
      <c r="H199" s="589" t="s">
        <v>957</v>
      </c>
      <c r="I199" s="587">
        <f t="shared" si="65"/>
        <v>24.76</v>
      </c>
      <c r="J199" s="589" t="s">
        <v>957</v>
      </c>
      <c r="K199" s="587">
        <f t="shared" si="75"/>
        <v>22.42</v>
      </c>
      <c r="L199" s="587"/>
      <c r="M199" s="587" t="str">
        <f t="shared" si="66"/>
        <v/>
      </c>
      <c r="N199" s="587"/>
      <c r="O199" s="587" t="str">
        <f t="shared" si="67"/>
        <v/>
      </c>
      <c r="P199" s="587"/>
      <c r="Q199" s="587" t="str">
        <f t="shared" si="76"/>
        <v/>
      </c>
      <c r="R199" s="587"/>
      <c r="S199" s="587" t="str">
        <f t="shared" si="68"/>
        <v/>
      </c>
      <c r="T199" s="587"/>
      <c r="U199" s="587" t="str">
        <f t="shared" si="69"/>
        <v/>
      </c>
      <c r="V199" s="587" t="s">
        <v>957</v>
      </c>
      <c r="W199" s="587">
        <f t="shared" si="70"/>
        <v>24.76</v>
      </c>
      <c r="X199" s="587"/>
      <c r="Y199" s="587" t="str">
        <f t="shared" si="64"/>
        <v/>
      </c>
      <c r="Z199" s="587"/>
      <c r="AA199" s="587" t="str">
        <f t="shared" si="55"/>
        <v/>
      </c>
      <c r="AB199" s="587"/>
      <c r="AC199" s="587" t="str">
        <f t="shared" si="56"/>
        <v/>
      </c>
      <c r="AD199" s="586"/>
      <c r="AE199" s="587" t="str">
        <f t="shared" si="77"/>
        <v/>
      </c>
    </row>
    <row r="200" spans="2:31">
      <c r="B200" s="586" t="s">
        <v>428</v>
      </c>
      <c r="C200" s="587">
        <v>3</v>
      </c>
      <c r="D200" s="588" t="s">
        <v>957</v>
      </c>
      <c r="E200" s="587">
        <v>1.6</v>
      </c>
      <c r="F200" s="587">
        <f>C200*E200</f>
        <v>4.8000000000000007</v>
      </c>
      <c r="G200" s="587">
        <f>(C200+E200)*2</f>
        <v>9.1999999999999993</v>
      </c>
      <c r="H200" s="589" t="s">
        <v>957</v>
      </c>
      <c r="I200" s="587">
        <f t="shared" si="65"/>
        <v>4.8000000000000007</v>
      </c>
      <c r="J200" s="589" t="s">
        <v>957</v>
      </c>
      <c r="K200" s="587">
        <f t="shared" si="75"/>
        <v>9.1999999999999993</v>
      </c>
      <c r="L200" s="587"/>
      <c r="M200" s="587" t="str">
        <f t="shared" si="66"/>
        <v/>
      </c>
      <c r="N200" s="587"/>
      <c r="O200" s="587" t="str">
        <f t="shared" si="67"/>
        <v/>
      </c>
      <c r="P200" s="587"/>
      <c r="Q200" s="587" t="str">
        <f t="shared" si="76"/>
        <v/>
      </c>
      <c r="R200" s="587"/>
      <c r="S200" s="587" t="str">
        <f t="shared" si="68"/>
        <v/>
      </c>
      <c r="T200" s="587"/>
      <c r="U200" s="587" t="str">
        <f t="shared" si="69"/>
        <v/>
      </c>
      <c r="V200" s="587" t="s">
        <v>957</v>
      </c>
      <c r="W200" s="587">
        <f t="shared" si="70"/>
        <v>4.8000000000000007</v>
      </c>
      <c r="X200" s="587"/>
      <c r="Y200" s="587" t="str">
        <f t="shared" si="64"/>
        <v/>
      </c>
      <c r="Z200" s="587"/>
      <c r="AA200" s="587" t="str">
        <f t="shared" si="55"/>
        <v/>
      </c>
      <c r="AB200" s="587"/>
      <c r="AC200" s="587" t="str">
        <f t="shared" si="56"/>
        <v/>
      </c>
      <c r="AD200" s="586"/>
      <c r="AE200" s="587" t="str">
        <f t="shared" si="77"/>
        <v/>
      </c>
    </row>
    <row r="201" spans="2:31">
      <c r="B201" s="586" t="s">
        <v>440</v>
      </c>
      <c r="C201" s="587"/>
      <c r="D201" s="588"/>
      <c r="E201" s="587"/>
      <c r="F201" s="587">
        <v>12.41</v>
      </c>
      <c r="G201" s="587">
        <v>15.7</v>
      </c>
      <c r="H201" s="589" t="s">
        <v>957</v>
      </c>
      <c r="I201" s="587">
        <f t="shared" si="65"/>
        <v>12.41</v>
      </c>
      <c r="J201" s="589" t="s">
        <v>957</v>
      </c>
      <c r="K201" s="587">
        <f t="shared" si="75"/>
        <v>15.7</v>
      </c>
      <c r="L201" s="587"/>
      <c r="M201" s="587" t="str">
        <f t="shared" si="66"/>
        <v/>
      </c>
      <c r="N201" s="587"/>
      <c r="O201" s="587" t="str">
        <f t="shared" si="67"/>
        <v/>
      </c>
      <c r="P201" s="587"/>
      <c r="Q201" s="587" t="str">
        <f t="shared" si="76"/>
        <v/>
      </c>
      <c r="R201" s="587"/>
      <c r="S201" s="587" t="str">
        <f t="shared" si="68"/>
        <v/>
      </c>
      <c r="T201" s="587"/>
      <c r="U201" s="587" t="str">
        <f t="shared" si="69"/>
        <v/>
      </c>
      <c r="V201" s="587" t="s">
        <v>957</v>
      </c>
      <c r="W201" s="587">
        <f t="shared" si="70"/>
        <v>12.41</v>
      </c>
      <c r="X201" s="587"/>
      <c r="Y201" s="587" t="str">
        <f t="shared" si="64"/>
        <v/>
      </c>
      <c r="Z201" s="587"/>
      <c r="AA201" s="587" t="str">
        <f t="shared" si="55"/>
        <v/>
      </c>
      <c r="AB201" s="587"/>
      <c r="AC201" s="587" t="str">
        <f t="shared" si="56"/>
        <v/>
      </c>
      <c r="AD201" s="586"/>
      <c r="AE201" s="587" t="str">
        <f t="shared" si="77"/>
        <v/>
      </c>
    </row>
    <row r="202" spans="2:31">
      <c r="B202" s="586" t="s">
        <v>397</v>
      </c>
      <c r="C202" s="587">
        <v>1.25</v>
      </c>
      <c r="D202" s="588" t="s">
        <v>957</v>
      </c>
      <c r="E202" s="587">
        <v>1.9</v>
      </c>
      <c r="F202" s="587">
        <f>C202*E202</f>
        <v>2.375</v>
      </c>
      <c r="G202" s="587">
        <f>(C202+E202)*2</f>
        <v>6.3</v>
      </c>
      <c r="H202" s="589" t="s">
        <v>957</v>
      </c>
      <c r="I202" s="587">
        <f t="shared" si="65"/>
        <v>2.375</v>
      </c>
      <c r="J202" s="589" t="s">
        <v>957</v>
      </c>
      <c r="K202" s="587">
        <f t="shared" si="75"/>
        <v>6.3</v>
      </c>
      <c r="L202" s="587"/>
      <c r="M202" s="587" t="str">
        <f t="shared" si="66"/>
        <v/>
      </c>
      <c r="N202" s="587"/>
      <c r="O202" s="587" t="str">
        <f t="shared" si="67"/>
        <v/>
      </c>
      <c r="P202" s="587"/>
      <c r="Q202" s="587" t="str">
        <f t="shared" si="76"/>
        <v/>
      </c>
      <c r="R202" s="587"/>
      <c r="S202" s="587" t="str">
        <f t="shared" si="68"/>
        <v/>
      </c>
      <c r="T202" s="587"/>
      <c r="U202" s="587" t="str">
        <f t="shared" si="69"/>
        <v/>
      </c>
      <c r="V202" s="587" t="s">
        <v>957</v>
      </c>
      <c r="W202" s="587">
        <f t="shared" si="70"/>
        <v>2.375</v>
      </c>
      <c r="X202" s="587"/>
      <c r="Y202" s="587" t="str">
        <f t="shared" si="64"/>
        <v/>
      </c>
      <c r="Z202" s="587"/>
      <c r="AA202" s="587" t="str">
        <f t="shared" si="55"/>
        <v/>
      </c>
      <c r="AB202" s="587"/>
      <c r="AC202" s="587" t="str">
        <f t="shared" si="56"/>
        <v/>
      </c>
      <c r="AD202" s="586"/>
      <c r="AE202" s="587" t="str">
        <f t="shared" si="77"/>
        <v/>
      </c>
    </row>
    <row r="203" spans="2:31">
      <c r="B203" s="586" t="s">
        <v>441</v>
      </c>
      <c r="C203" s="587"/>
      <c r="D203" s="588"/>
      <c r="E203" s="587"/>
      <c r="F203" s="587">
        <v>12.41</v>
      </c>
      <c r="G203" s="587">
        <v>15.7</v>
      </c>
      <c r="H203" s="589" t="s">
        <v>957</v>
      </c>
      <c r="I203" s="587">
        <f t="shared" si="65"/>
        <v>12.41</v>
      </c>
      <c r="J203" s="589" t="s">
        <v>957</v>
      </c>
      <c r="K203" s="587">
        <f t="shared" si="75"/>
        <v>15.7</v>
      </c>
      <c r="L203" s="587"/>
      <c r="M203" s="587" t="str">
        <f t="shared" si="66"/>
        <v/>
      </c>
      <c r="N203" s="587"/>
      <c r="O203" s="587" t="str">
        <f t="shared" si="67"/>
        <v/>
      </c>
      <c r="P203" s="587"/>
      <c r="Q203" s="587" t="str">
        <f t="shared" si="76"/>
        <v/>
      </c>
      <c r="R203" s="587"/>
      <c r="S203" s="587" t="str">
        <f t="shared" si="68"/>
        <v/>
      </c>
      <c r="T203" s="587"/>
      <c r="U203" s="587" t="str">
        <f t="shared" si="69"/>
        <v/>
      </c>
      <c r="V203" s="587" t="s">
        <v>957</v>
      </c>
      <c r="W203" s="587">
        <f t="shared" si="70"/>
        <v>12.41</v>
      </c>
      <c r="X203" s="587"/>
      <c r="Y203" s="587" t="str">
        <f t="shared" si="64"/>
        <v/>
      </c>
      <c r="Z203" s="587"/>
      <c r="AA203" s="587" t="str">
        <f t="shared" ref="AA203:AA267" si="78">IF(Z203="x",F203,"")</f>
        <v/>
      </c>
      <c r="AB203" s="587"/>
      <c r="AC203" s="587" t="str">
        <f t="shared" ref="AC203:AC267" si="79">IF(AB203="x",F203,"")</f>
        <v/>
      </c>
      <c r="AD203" s="586"/>
      <c r="AE203" s="587" t="str">
        <f t="shared" si="77"/>
        <v/>
      </c>
    </row>
    <row r="204" spans="2:31">
      <c r="B204" s="586" t="s">
        <v>397</v>
      </c>
      <c r="C204" s="587">
        <v>1.25</v>
      </c>
      <c r="D204" s="588" t="s">
        <v>957</v>
      </c>
      <c r="E204" s="587">
        <v>1.9</v>
      </c>
      <c r="F204" s="587">
        <f>C204*E204</f>
        <v>2.375</v>
      </c>
      <c r="G204" s="587">
        <f>(C204+E204)*2</f>
        <v>6.3</v>
      </c>
      <c r="H204" s="589" t="s">
        <v>957</v>
      </c>
      <c r="I204" s="587">
        <f t="shared" si="65"/>
        <v>2.375</v>
      </c>
      <c r="J204" s="589" t="s">
        <v>957</v>
      </c>
      <c r="K204" s="587">
        <f t="shared" si="75"/>
        <v>6.3</v>
      </c>
      <c r="L204" s="587"/>
      <c r="M204" s="587" t="str">
        <f t="shared" si="66"/>
        <v/>
      </c>
      <c r="N204" s="587"/>
      <c r="O204" s="587" t="str">
        <f t="shared" si="67"/>
        <v/>
      </c>
      <c r="P204" s="587"/>
      <c r="Q204" s="587" t="str">
        <f t="shared" si="76"/>
        <v/>
      </c>
      <c r="R204" s="587"/>
      <c r="S204" s="587" t="str">
        <f t="shared" si="68"/>
        <v/>
      </c>
      <c r="T204" s="587"/>
      <c r="U204" s="587" t="str">
        <f t="shared" si="69"/>
        <v/>
      </c>
      <c r="V204" s="587" t="s">
        <v>957</v>
      </c>
      <c r="W204" s="587">
        <f t="shared" si="70"/>
        <v>2.375</v>
      </c>
      <c r="X204" s="587"/>
      <c r="Y204" s="587" t="str">
        <f t="shared" si="64"/>
        <v/>
      </c>
      <c r="Z204" s="587"/>
      <c r="AA204" s="587" t="str">
        <f t="shared" si="78"/>
        <v/>
      </c>
      <c r="AB204" s="587"/>
      <c r="AC204" s="587" t="str">
        <f t="shared" si="79"/>
        <v/>
      </c>
      <c r="AD204" s="586"/>
      <c r="AE204" s="587" t="str">
        <f t="shared" si="77"/>
        <v/>
      </c>
    </row>
    <row r="205" spans="2:31">
      <c r="B205" s="586" t="s">
        <v>442</v>
      </c>
      <c r="C205" s="587"/>
      <c r="D205" s="588"/>
      <c r="E205" s="587"/>
      <c r="F205" s="587">
        <v>12.41</v>
      </c>
      <c r="G205" s="587">
        <v>15.7</v>
      </c>
      <c r="H205" s="589" t="s">
        <v>957</v>
      </c>
      <c r="I205" s="587">
        <f t="shared" si="65"/>
        <v>12.41</v>
      </c>
      <c r="J205" s="589" t="s">
        <v>957</v>
      </c>
      <c r="K205" s="587">
        <f t="shared" si="75"/>
        <v>15.7</v>
      </c>
      <c r="L205" s="587"/>
      <c r="M205" s="587" t="str">
        <f t="shared" si="66"/>
        <v/>
      </c>
      <c r="N205" s="587"/>
      <c r="O205" s="587" t="str">
        <f t="shared" si="67"/>
        <v/>
      </c>
      <c r="P205" s="587"/>
      <c r="Q205" s="587" t="str">
        <f t="shared" si="76"/>
        <v/>
      </c>
      <c r="R205" s="587"/>
      <c r="S205" s="587" t="str">
        <f t="shared" si="68"/>
        <v/>
      </c>
      <c r="T205" s="587"/>
      <c r="U205" s="587" t="str">
        <f t="shared" si="69"/>
        <v/>
      </c>
      <c r="V205" s="587" t="s">
        <v>957</v>
      </c>
      <c r="W205" s="587">
        <f t="shared" si="70"/>
        <v>12.41</v>
      </c>
      <c r="X205" s="587"/>
      <c r="Y205" s="587" t="str">
        <f t="shared" si="64"/>
        <v/>
      </c>
      <c r="Z205" s="587"/>
      <c r="AA205" s="587" t="str">
        <f t="shared" si="78"/>
        <v/>
      </c>
      <c r="AB205" s="587"/>
      <c r="AC205" s="587" t="str">
        <f t="shared" si="79"/>
        <v/>
      </c>
      <c r="AD205" s="586"/>
      <c r="AE205" s="587" t="str">
        <f t="shared" si="77"/>
        <v/>
      </c>
    </row>
    <row r="206" spans="2:31">
      <c r="B206" s="586" t="s">
        <v>397</v>
      </c>
      <c r="C206" s="587">
        <v>1.25</v>
      </c>
      <c r="D206" s="588" t="s">
        <v>957</v>
      </c>
      <c r="E206" s="587">
        <v>1.9</v>
      </c>
      <c r="F206" s="587">
        <f>C206*E206</f>
        <v>2.375</v>
      </c>
      <c r="G206" s="587">
        <f>(C206+E206)*2</f>
        <v>6.3</v>
      </c>
      <c r="H206" s="589" t="s">
        <v>957</v>
      </c>
      <c r="I206" s="587">
        <f t="shared" si="65"/>
        <v>2.375</v>
      </c>
      <c r="J206" s="589" t="s">
        <v>957</v>
      </c>
      <c r="K206" s="587">
        <f t="shared" si="75"/>
        <v>6.3</v>
      </c>
      <c r="L206" s="587"/>
      <c r="M206" s="587" t="str">
        <f t="shared" si="66"/>
        <v/>
      </c>
      <c r="N206" s="587"/>
      <c r="O206" s="587" t="str">
        <f t="shared" si="67"/>
        <v/>
      </c>
      <c r="P206" s="587"/>
      <c r="Q206" s="587" t="str">
        <f t="shared" si="76"/>
        <v/>
      </c>
      <c r="R206" s="587"/>
      <c r="S206" s="587" t="str">
        <f t="shared" si="68"/>
        <v/>
      </c>
      <c r="T206" s="587"/>
      <c r="U206" s="587" t="str">
        <f t="shared" si="69"/>
        <v/>
      </c>
      <c r="V206" s="587" t="s">
        <v>957</v>
      </c>
      <c r="W206" s="587">
        <f t="shared" si="70"/>
        <v>2.375</v>
      </c>
      <c r="X206" s="587"/>
      <c r="Y206" s="587" t="str">
        <f t="shared" si="64"/>
        <v/>
      </c>
      <c r="Z206" s="587"/>
      <c r="AA206" s="587" t="str">
        <f t="shared" si="78"/>
        <v/>
      </c>
      <c r="AB206" s="587"/>
      <c r="AC206" s="587" t="str">
        <f t="shared" si="79"/>
        <v/>
      </c>
      <c r="AD206" s="586"/>
      <c r="AE206" s="587" t="str">
        <f t="shared" si="77"/>
        <v/>
      </c>
    </row>
    <row r="207" spans="2:31">
      <c r="B207" s="586" t="s">
        <v>443</v>
      </c>
      <c r="C207" s="587"/>
      <c r="D207" s="588"/>
      <c r="E207" s="587"/>
      <c r="F207" s="587">
        <v>12.41</v>
      </c>
      <c r="G207" s="587">
        <v>15.7</v>
      </c>
      <c r="H207" s="589" t="s">
        <v>957</v>
      </c>
      <c r="I207" s="587">
        <f t="shared" si="65"/>
        <v>12.41</v>
      </c>
      <c r="J207" s="589" t="s">
        <v>957</v>
      </c>
      <c r="K207" s="587">
        <f t="shared" si="75"/>
        <v>15.7</v>
      </c>
      <c r="L207" s="587"/>
      <c r="M207" s="587" t="str">
        <f t="shared" si="66"/>
        <v/>
      </c>
      <c r="N207" s="587"/>
      <c r="O207" s="587" t="str">
        <f t="shared" si="67"/>
        <v/>
      </c>
      <c r="P207" s="587"/>
      <c r="Q207" s="587" t="str">
        <f t="shared" si="76"/>
        <v/>
      </c>
      <c r="R207" s="587"/>
      <c r="S207" s="587" t="str">
        <f t="shared" si="68"/>
        <v/>
      </c>
      <c r="T207" s="587"/>
      <c r="U207" s="587" t="str">
        <f t="shared" si="69"/>
        <v/>
      </c>
      <c r="V207" s="587" t="s">
        <v>957</v>
      </c>
      <c r="W207" s="587">
        <f t="shared" si="70"/>
        <v>12.41</v>
      </c>
      <c r="X207" s="587"/>
      <c r="Y207" s="587" t="str">
        <f t="shared" si="64"/>
        <v/>
      </c>
      <c r="Z207" s="587"/>
      <c r="AA207" s="587" t="str">
        <f t="shared" si="78"/>
        <v/>
      </c>
      <c r="AB207" s="587"/>
      <c r="AC207" s="587" t="str">
        <f t="shared" si="79"/>
        <v/>
      </c>
      <c r="AD207" s="586"/>
      <c r="AE207" s="587" t="str">
        <f t="shared" si="77"/>
        <v/>
      </c>
    </row>
    <row r="208" spans="2:31">
      <c r="B208" s="586" t="s">
        <v>397</v>
      </c>
      <c r="C208" s="587">
        <v>1.25</v>
      </c>
      <c r="D208" s="588" t="s">
        <v>957</v>
      </c>
      <c r="E208" s="587">
        <v>1.9</v>
      </c>
      <c r="F208" s="587">
        <f>C208*E208</f>
        <v>2.375</v>
      </c>
      <c r="G208" s="587">
        <f>(C208+E208)*2</f>
        <v>6.3</v>
      </c>
      <c r="H208" s="589" t="s">
        <v>957</v>
      </c>
      <c r="I208" s="587">
        <f t="shared" si="65"/>
        <v>2.375</v>
      </c>
      <c r="J208" s="589" t="s">
        <v>957</v>
      </c>
      <c r="K208" s="587">
        <f t="shared" si="75"/>
        <v>6.3</v>
      </c>
      <c r="L208" s="587"/>
      <c r="M208" s="587" t="str">
        <f t="shared" si="66"/>
        <v/>
      </c>
      <c r="N208" s="587"/>
      <c r="O208" s="587" t="str">
        <f t="shared" si="67"/>
        <v/>
      </c>
      <c r="P208" s="587"/>
      <c r="Q208" s="587" t="str">
        <f t="shared" si="76"/>
        <v/>
      </c>
      <c r="R208" s="587"/>
      <c r="S208" s="587" t="str">
        <f t="shared" si="68"/>
        <v/>
      </c>
      <c r="T208" s="587"/>
      <c r="U208" s="587" t="str">
        <f t="shared" si="69"/>
        <v/>
      </c>
      <c r="V208" s="587" t="s">
        <v>957</v>
      </c>
      <c r="W208" s="587">
        <f t="shared" si="70"/>
        <v>2.375</v>
      </c>
      <c r="X208" s="587"/>
      <c r="Y208" s="587" t="str">
        <f t="shared" ref="Y208:Y272" si="80">IF(X208="x",F208,"")</f>
        <v/>
      </c>
      <c r="Z208" s="587"/>
      <c r="AA208" s="587" t="str">
        <f t="shared" si="78"/>
        <v/>
      </c>
      <c r="AB208" s="587"/>
      <c r="AC208" s="587" t="str">
        <f t="shared" si="79"/>
        <v/>
      </c>
      <c r="AD208" s="586"/>
      <c r="AE208" s="587" t="str">
        <f t="shared" si="77"/>
        <v/>
      </c>
    </row>
    <row r="209" spans="2:31">
      <c r="B209" s="586" t="s">
        <v>444</v>
      </c>
      <c r="C209" s="587"/>
      <c r="D209" s="588"/>
      <c r="E209" s="587"/>
      <c r="F209" s="587">
        <v>28.43</v>
      </c>
      <c r="G209" s="587">
        <v>24.34</v>
      </c>
      <c r="H209" s="589" t="s">
        <v>957</v>
      </c>
      <c r="I209" s="587">
        <f t="shared" si="65"/>
        <v>28.43</v>
      </c>
      <c r="J209" s="589" t="s">
        <v>957</v>
      </c>
      <c r="K209" s="587">
        <f t="shared" si="75"/>
        <v>24.34</v>
      </c>
      <c r="L209" s="587"/>
      <c r="M209" s="587" t="str">
        <f t="shared" si="66"/>
        <v/>
      </c>
      <c r="N209" s="587"/>
      <c r="O209" s="587" t="str">
        <f t="shared" si="67"/>
        <v/>
      </c>
      <c r="P209" s="587"/>
      <c r="Q209" s="587" t="str">
        <f t="shared" si="76"/>
        <v/>
      </c>
      <c r="R209" s="587"/>
      <c r="S209" s="587" t="str">
        <f t="shared" si="68"/>
        <v/>
      </c>
      <c r="T209" s="587"/>
      <c r="U209" s="587" t="str">
        <f t="shared" si="69"/>
        <v/>
      </c>
      <c r="V209" s="587" t="s">
        <v>957</v>
      </c>
      <c r="W209" s="587">
        <f t="shared" si="70"/>
        <v>28.43</v>
      </c>
      <c r="X209" s="587"/>
      <c r="Y209" s="587" t="str">
        <f t="shared" si="80"/>
        <v/>
      </c>
      <c r="Z209" s="587"/>
      <c r="AA209" s="587" t="str">
        <f t="shared" si="78"/>
        <v/>
      </c>
      <c r="AB209" s="587"/>
      <c r="AC209" s="587" t="str">
        <f t="shared" si="79"/>
        <v/>
      </c>
      <c r="AD209" s="586"/>
      <c r="AE209" s="587" t="str">
        <f t="shared" si="77"/>
        <v/>
      </c>
    </row>
    <row r="210" spans="2:31">
      <c r="B210" s="586" t="s">
        <v>445</v>
      </c>
      <c r="C210" s="587"/>
      <c r="D210" s="588"/>
      <c r="E210" s="587"/>
      <c r="F210" s="587">
        <v>2.8</v>
      </c>
      <c r="G210" s="587">
        <v>1.6</v>
      </c>
      <c r="H210" s="589" t="s">
        <v>957</v>
      </c>
      <c r="I210" s="587">
        <f t="shared" si="65"/>
        <v>2.8</v>
      </c>
      <c r="J210" s="589" t="s">
        <v>957</v>
      </c>
      <c r="K210" s="587">
        <f t="shared" si="75"/>
        <v>1.6</v>
      </c>
      <c r="L210" s="587"/>
      <c r="M210" s="587" t="str">
        <f t="shared" si="66"/>
        <v/>
      </c>
      <c r="N210" s="587"/>
      <c r="O210" s="587" t="str">
        <f t="shared" si="67"/>
        <v/>
      </c>
      <c r="P210" s="587"/>
      <c r="Q210" s="587" t="str">
        <f t="shared" si="76"/>
        <v/>
      </c>
      <c r="R210" s="587"/>
      <c r="S210" s="587" t="str">
        <f t="shared" si="68"/>
        <v/>
      </c>
      <c r="T210" s="587"/>
      <c r="U210" s="587" t="str">
        <f t="shared" si="69"/>
        <v/>
      </c>
      <c r="V210" s="587" t="s">
        <v>957</v>
      </c>
      <c r="W210" s="587">
        <f t="shared" si="70"/>
        <v>2.8</v>
      </c>
      <c r="X210" s="587"/>
      <c r="Y210" s="587" t="str">
        <f t="shared" si="80"/>
        <v/>
      </c>
      <c r="Z210" s="587"/>
      <c r="AA210" s="587" t="str">
        <f t="shared" si="78"/>
        <v/>
      </c>
      <c r="AB210" s="587"/>
      <c r="AC210" s="587" t="str">
        <f t="shared" si="79"/>
        <v/>
      </c>
      <c r="AD210" s="586"/>
      <c r="AE210" s="587" t="str">
        <f t="shared" si="77"/>
        <v/>
      </c>
    </row>
    <row r="211" spans="2:31">
      <c r="B211" s="586" t="s">
        <v>446</v>
      </c>
      <c r="C211" s="587"/>
      <c r="D211" s="588"/>
      <c r="E211" s="587"/>
      <c r="F211" s="587">
        <v>28.43</v>
      </c>
      <c r="G211" s="587">
        <v>24.34</v>
      </c>
      <c r="H211" s="589" t="s">
        <v>957</v>
      </c>
      <c r="I211" s="587">
        <f t="shared" si="65"/>
        <v>28.43</v>
      </c>
      <c r="J211" s="589" t="s">
        <v>957</v>
      </c>
      <c r="K211" s="587">
        <f t="shared" si="75"/>
        <v>24.34</v>
      </c>
      <c r="L211" s="587"/>
      <c r="M211" s="587" t="str">
        <f t="shared" si="66"/>
        <v/>
      </c>
      <c r="N211" s="587"/>
      <c r="O211" s="587" t="str">
        <f t="shared" si="67"/>
        <v/>
      </c>
      <c r="P211" s="587"/>
      <c r="Q211" s="587" t="str">
        <f t="shared" si="76"/>
        <v/>
      </c>
      <c r="R211" s="587"/>
      <c r="S211" s="587" t="str">
        <f t="shared" si="68"/>
        <v/>
      </c>
      <c r="T211" s="587"/>
      <c r="U211" s="587" t="str">
        <f t="shared" si="69"/>
        <v/>
      </c>
      <c r="V211" s="587" t="s">
        <v>957</v>
      </c>
      <c r="W211" s="587">
        <f t="shared" si="70"/>
        <v>28.43</v>
      </c>
      <c r="X211" s="587"/>
      <c r="Y211" s="587" t="str">
        <f t="shared" si="80"/>
        <v/>
      </c>
      <c r="Z211" s="587"/>
      <c r="AA211" s="587" t="str">
        <f t="shared" si="78"/>
        <v/>
      </c>
      <c r="AB211" s="587"/>
      <c r="AC211" s="587" t="str">
        <f t="shared" si="79"/>
        <v/>
      </c>
      <c r="AD211" s="586"/>
      <c r="AE211" s="587" t="str">
        <f t="shared" si="77"/>
        <v/>
      </c>
    </row>
    <row r="212" spans="2:31">
      <c r="B212" s="586" t="s">
        <v>447</v>
      </c>
      <c r="C212" s="587"/>
      <c r="D212" s="588"/>
      <c r="E212" s="587"/>
      <c r="F212" s="587">
        <v>2.8</v>
      </c>
      <c r="G212" s="587">
        <v>1.6</v>
      </c>
      <c r="H212" s="589" t="s">
        <v>957</v>
      </c>
      <c r="I212" s="587">
        <f t="shared" si="65"/>
        <v>2.8</v>
      </c>
      <c r="J212" s="589" t="s">
        <v>957</v>
      </c>
      <c r="K212" s="587">
        <f t="shared" si="75"/>
        <v>1.6</v>
      </c>
      <c r="L212" s="587"/>
      <c r="M212" s="587" t="str">
        <f t="shared" si="66"/>
        <v/>
      </c>
      <c r="N212" s="587"/>
      <c r="O212" s="587" t="str">
        <f t="shared" si="67"/>
        <v/>
      </c>
      <c r="P212" s="587"/>
      <c r="Q212" s="587" t="str">
        <f t="shared" si="76"/>
        <v/>
      </c>
      <c r="R212" s="587"/>
      <c r="S212" s="587" t="str">
        <f t="shared" si="68"/>
        <v/>
      </c>
      <c r="T212" s="587"/>
      <c r="U212" s="587" t="str">
        <f t="shared" si="69"/>
        <v/>
      </c>
      <c r="V212" s="587" t="s">
        <v>957</v>
      </c>
      <c r="W212" s="587">
        <f t="shared" si="70"/>
        <v>2.8</v>
      </c>
      <c r="X212" s="587"/>
      <c r="Y212" s="587" t="str">
        <f t="shared" si="80"/>
        <v/>
      </c>
      <c r="Z212" s="587"/>
      <c r="AA212" s="587" t="str">
        <f t="shared" si="78"/>
        <v/>
      </c>
      <c r="AB212" s="587"/>
      <c r="AC212" s="587" t="str">
        <f t="shared" si="79"/>
        <v/>
      </c>
      <c r="AD212" s="586"/>
      <c r="AE212" s="587" t="str">
        <f t="shared" si="77"/>
        <v/>
      </c>
    </row>
    <row r="213" spans="2:31">
      <c r="B213" s="586" t="s">
        <v>448</v>
      </c>
      <c r="C213" s="587"/>
      <c r="D213" s="588"/>
      <c r="E213" s="587"/>
      <c r="F213" s="587">
        <v>12.41</v>
      </c>
      <c r="G213" s="587">
        <v>15.7</v>
      </c>
      <c r="H213" s="589" t="s">
        <v>957</v>
      </c>
      <c r="I213" s="587">
        <f t="shared" si="65"/>
        <v>12.41</v>
      </c>
      <c r="J213" s="589" t="s">
        <v>957</v>
      </c>
      <c r="K213" s="587">
        <f t="shared" si="75"/>
        <v>15.7</v>
      </c>
      <c r="L213" s="587"/>
      <c r="M213" s="587" t="str">
        <f t="shared" si="66"/>
        <v/>
      </c>
      <c r="N213" s="587"/>
      <c r="O213" s="587" t="str">
        <f t="shared" si="67"/>
        <v/>
      </c>
      <c r="P213" s="587"/>
      <c r="Q213" s="587" t="str">
        <f t="shared" si="76"/>
        <v/>
      </c>
      <c r="R213" s="587"/>
      <c r="S213" s="587" t="str">
        <f t="shared" si="68"/>
        <v/>
      </c>
      <c r="T213" s="587"/>
      <c r="U213" s="587" t="str">
        <f t="shared" si="69"/>
        <v/>
      </c>
      <c r="V213" s="587" t="s">
        <v>957</v>
      </c>
      <c r="W213" s="587">
        <f t="shared" si="70"/>
        <v>12.41</v>
      </c>
      <c r="X213" s="587"/>
      <c r="Y213" s="587" t="str">
        <f t="shared" si="80"/>
        <v/>
      </c>
      <c r="Z213" s="587"/>
      <c r="AA213" s="587" t="str">
        <f t="shared" si="78"/>
        <v/>
      </c>
      <c r="AB213" s="587"/>
      <c r="AC213" s="587" t="str">
        <f t="shared" si="79"/>
        <v/>
      </c>
      <c r="AD213" s="586"/>
      <c r="AE213" s="587" t="str">
        <f t="shared" si="77"/>
        <v/>
      </c>
    </row>
    <row r="214" spans="2:31">
      <c r="B214" s="586" t="s">
        <v>397</v>
      </c>
      <c r="C214" s="587">
        <v>1.25</v>
      </c>
      <c r="D214" s="588" t="s">
        <v>957</v>
      </c>
      <c r="E214" s="587">
        <v>1.9</v>
      </c>
      <c r="F214" s="587">
        <f>C214*E214</f>
        <v>2.375</v>
      </c>
      <c r="G214" s="587">
        <f>(C214+E214)*2</f>
        <v>6.3</v>
      </c>
      <c r="H214" s="589" t="s">
        <v>957</v>
      </c>
      <c r="I214" s="587">
        <f t="shared" si="65"/>
        <v>2.375</v>
      </c>
      <c r="J214" s="589" t="s">
        <v>957</v>
      </c>
      <c r="K214" s="587">
        <f t="shared" si="75"/>
        <v>6.3</v>
      </c>
      <c r="L214" s="587"/>
      <c r="M214" s="587" t="str">
        <f t="shared" si="66"/>
        <v/>
      </c>
      <c r="N214" s="587"/>
      <c r="O214" s="587" t="str">
        <f t="shared" si="67"/>
        <v/>
      </c>
      <c r="P214" s="587"/>
      <c r="Q214" s="587" t="str">
        <f t="shared" si="76"/>
        <v/>
      </c>
      <c r="R214" s="587"/>
      <c r="S214" s="587" t="str">
        <f t="shared" si="68"/>
        <v/>
      </c>
      <c r="T214" s="587"/>
      <c r="U214" s="587" t="str">
        <f t="shared" si="69"/>
        <v/>
      </c>
      <c r="V214" s="587" t="s">
        <v>957</v>
      </c>
      <c r="W214" s="587">
        <f t="shared" si="70"/>
        <v>2.375</v>
      </c>
      <c r="X214" s="587"/>
      <c r="Y214" s="587" t="str">
        <f t="shared" si="80"/>
        <v/>
      </c>
      <c r="Z214" s="587"/>
      <c r="AA214" s="587" t="str">
        <f t="shared" si="78"/>
        <v/>
      </c>
      <c r="AB214" s="587"/>
      <c r="AC214" s="587" t="str">
        <f t="shared" si="79"/>
        <v/>
      </c>
      <c r="AD214" s="586"/>
      <c r="AE214" s="587" t="str">
        <f t="shared" si="77"/>
        <v/>
      </c>
    </row>
    <row r="215" spans="2:31">
      <c r="B215" s="586" t="s">
        <v>449</v>
      </c>
      <c r="C215" s="587"/>
      <c r="D215" s="588"/>
      <c r="E215" s="587"/>
      <c r="F215" s="587">
        <v>12.41</v>
      </c>
      <c r="G215" s="587">
        <v>15.7</v>
      </c>
      <c r="H215" s="589" t="s">
        <v>957</v>
      </c>
      <c r="I215" s="587">
        <f t="shared" si="65"/>
        <v>12.41</v>
      </c>
      <c r="J215" s="589" t="s">
        <v>957</v>
      </c>
      <c r="K215" s="587">
        <f t="shared" si="75"/>
        <v>15.7</v>
      </c>
      <c r="L215" s="587"/>
      <c r="M215" s="587" t="str">
        <f t="shared" si="66"/>
        <v/>
      </c>
      <c r="N215" s="587"/>
      <c r="O215" s="587" t="str">
        <f t="shared" si="67"/>
        <v/>
      </c>
      <c r="P215" s="587"/>
      <c r="Q215" s="587" t="str">
        <f t="shared" si="76"/>
        <v/>
      </c>
      <c r="R215" s="587"/>
      <c r="S215" s="587" t="str">
        <f t="shared" si="68"/>
        <v/>
      </c>
      <c r="T215" s="587"/>
      <c r="U215" s="587" t="str">
        <f t="shared" si="69"/>
        <v/>
      </c>
      <c r="V215" s="587" t="s">
        <v>957</v>
      </c>
      <c r="W215" s="587">
        <f t="shared" si="70"/>
        <v>12.41</v>
      </c>
      <c r="X215" s="587"/>
      <c r="Y215" s="587" t="str">
        <f t="shared" si="80"/>
        <v/>
      </c>
      <c r="Z215" s="587"/>
      <c r="AA215" s="587" t="str">
        <f t="shared" si="78"/>
        <v/>
      </c>
      <c r="AB215" s="587"/>
      <c r="AC215" s="587" t="str">
        <f t="shared" si="79"/>
        <v/>
      </c>
      <c r="AD215" s="586"/>
      <c r="AE215" s="587" t="str">
        <f t="shared" si="77"/>
        <v/>
      </c>
    </row>
    <row r="216" spans="2:31">
      <c r="B216" s="586" t="s">
        <v>397</v>
      </c>
      <c r="C216" s="587">
        <v>1.25</v>
      </c>
      <c r="D216" s="588" t="s">
        <v>957</v>
      </c>
      <c r="E216" s="587">
        <v>1.9</v>
      </c>
      <c r="F216" s="587">
        <f>C216*E216</f>
        <v>2.375</v>
      </c>
      <c r="G216" s="587">
        <f>(C216+E216)*2</f>
        <v>6.3</v>
      </c>
      <c r="H216" s="589" t="s">
        <v>957</v>
      </c>
      <c r="I216" s="587">
        <f t="shared" si="65"/>
        <v>2.375</v>
      </c>
      <c r="J216" s="589" t="s">
        <v>957</v>
      </c>
      <c r="K216" s="587">
        <f t="shared" si="75"/>
        <v>6.3</v>
      </c>
      <c r="L216" s="587"/>
      <c r="M216" s="587" t="str">
        <f t="shared" si="66"/>
        <v/>
      </c>
      <c r="N216" s="587"/>
      <c r="O216" s="587" t="str">
        <f t="shared" si="67"/>
        <v/>
      </c>
      <c r="P216" s="587"/>
      <c r="Q216" s="587" t="str">
        <f t="shared" si="76"/>
        <v/>
      </c>
      <c r="R216" s="587"/>
      <c r="S216" s="587" t="str">
        <f t="shared" si="68"/>
        <v/>
      </c>
      <c r="T216" s="587"/>
      <c r="U216" s="587" t="str">
        <f t="shared" si="69"/>
        <v/>
      </c>
      <c r="V216" s="587" t="s">
        <v>957</v>
      </c>
      <c r="W216" s="587">
        <f t="shared" si="70"/>
        <v>2.375</v>
      </c>
      <c r="X216" s="587"/>
      <c r="Y216" s="587" t="str">
        <f t="shared" si="80"/>
        <v/>
      </c>
      <c r="Z216" s="587"/>
      <c r="AA216" s="587" t="str">
        <f t="shared" si="78"/>
        <v/>
      </c>
      <c r="AB216" s="587"/>
      <c r="AC216" s="587" t="str">
        <f t="shared" si="79"/>
        <v/>
      </c>
      <c r="AD216" s="586"/>
      <c r="AE216" s="587" t="str">
        <f t="shared" si="77"/>
        <v/>
      </c>
    </row>
    <row r="217" spans="2:31">
      <c r="B217" s="586" t="s">
        <v>450</v>
      </c>
      <c r="C217" s="587"/>
      <c r="D217" s="588"/>
      <c r="E217" s="587"/>
      <c r="F217" s="587">
        <v>11.9</v>
      </c>
      <c r="G217" s="587"/>
      <c r="H217" s="589" t="s">
        <v>957</v>
      </c>
      <c r="I217" s="587">
        <f t="shared" si="65"/>
        <v>11.9</v>
      </c>
      <c r="J217" s="589" t="s">
        <v>957</v>
      </c>
      <c r="K217" s="587">
        <f t="shared" si="75"/>
        <v>0</v>
      </c>
      <c r="L217" s="587"/>
      <c r="M217" s="587" t="str">
        <f t="shared" si="66"/>
        <v/>
      </c>
      <c r="N217" s="587"/>
      <c r="O217" s="587" t="str">
        <f t="shared" si="67"/>
        <v/>
      </c>
      <c r="P217" s="587"/>
      <c r="Q217" s="587" t="str">
        <f t="shared" si="76"/>
        <v/>
      </c>
      <c r="R217" s="587"/>
      <c r="S217" s="587" t="str">
        <f t="shared" si="68"/>
        <v/>
      </c>
      <c r="T217" s="587"/>
      <c r="U217" s="587" t="str">
        <f t="shared" si="69"/>
        <v/>
      </c>
      <c r="V217" s="587" t="s">
        <v>957</v>
      </c>
      <c r="W217" s="587">
        <f t="shared" si="70"/>
        <v>11.9</v>
      </c>
      <c r="X217" s="587"/>
      <c r="Y217" s="587" t="str">
        <f t="shared" si="80"/>
        <v/>
      </c>
      <c r="Z217" s="587"/>
      <c r="AA217" s="587" t="str">
        <f t="shared" si="78"/>
        <v/>
      </c>
      <c r="AB217" s="587"/>
      <c r="AC217" s="587" t="str">
        <f t="shared" si="79"/>
        <v/>
      </c>
      <c r="AD217" s="586"/>
      <c r="AE217" s="587" t="str">
        <f t="shared" si="77"/>
        <v/>
      </c>
    </row>
    <row r="218" spans="2:31">
      <c r="B218" s="586" t="s">
        <v>451</v>
      </c>
      <c r="C218" s="587">
        <v>1.87</v>
      </c>
      <c r="D218" s="588" t="s">
        <v>957</v>
      </c>
      <c r="E218" s="587">
        <v>2</v>
      </c>
      <c r="F218" s="587">
        <f>C218*E218</f>
        <v>3.74</v>
      </c>
      <c r="G218" s="587">
        <f>(C218+E218)*2</f>
        <v>7.74</v>
      </c>
      <c r="H218" s="589" t="s">
        <v>957</v>
      </c>
      <c r="I218" s="587">
        <f t="shared" si="65"/>
        <v>3.74</v>
      </c>
      <c r="J218" s="589" t="s">
        <v>957</v>
      </c>
      <c r="K218" s="587">
        <f t="shared" si="75"/>
        <v>7.74</v>
      </c>
      <c r="L218" s="587"/>
      <c r="M218" s="587" t="str">
        <f t="shared" si="66"/>
        <v/>
      </c>
      <c r="N218" s="587"/>
      <c r="O218" s="587" t="str">
        <f t="shared" si="67"/>
        <v/>
      </c>
      <c r="P218" s="587"/>
      <c r="Q218" s="587" t="str">
        <f t="shared" si="76"/>
        <v/>
      </c>
      <c r="R218" s="587"/>
      <c r="S218" s="587" t="str">
        <f t="shared" si="68"/>
        <v/>
      </c>
      <c r="T218" s="587"/>
      <c r="U218" s="587" t="str">
        <f t="shared" si="69"/>
        <v/>
      </c>
      <c r="V218" s="587" t="s">
        <v>957</v>
      </c>
      <c r="W218" s="587">
        <f t="shared" si="70"/>
        <v>3.74</v>
      </c>
      <c r="X218" s="587"/>
      <c r="Y218" s="587" t="str">
        <f t="shared" si="80"/>
        <v/>
      </c>
      <c r="Z218" s="587"/>
      <c r="AA218" s="587" t="str">
        <f t="shared" si="78"/>
        <v/>
      </c>
      <c r="AB218" s="587"/>
      <c r="AC218" s="587" t="str">
        <f t="shared" si="79"/>
        <v/>
      </c>
      <c r="AD218" s="586"/>
      <c r="AE218" s="587" t="str">
        <f t="shared" si="77"/>
        <v/>
      </c>
    </row>
    <row r="219" spans="2:31">
      <c r="B219" s="586" t="s">
        <v>452</v>
      </c>
      <c r="C219" s="587"/>
      <c r="D219" s="588"/>
      <c r="E219" s="587"/>
      <c r="F219" s="587">
        <v>12.41</v>
      </c>
      <c r="G219" s="587">
        <v>15.7</v>
      </c>
      <c r="H219" s="589" t="s">
        <v>957</v>
      </c>
      <c r="I219" s="587">
        <f t="shared" si="65"/>
        <v>12.41</v>
      </c>
      <c r="J219" s="589" t="s">
        <v>957</v>
      </c>
      <c r="K219" s="587">
        <f t="shared" si="75"/>
        <v>15.7</v>
      </c>
      <c r="L219" s="587"/>
      <c r="M219" s="587" t="str">
        <f t="shared" si="66"/>
        <v/>
      </c>
      <c r="N219" s="587"/>
      <c r="O219" s="587" t="str">
        <f t="shared" si="67"/>
        <v/>
      </c>
      <c r="P219" s="587"/>
      <c r="Q219" s="587" t="str">
        <f t="shared" si="76"/>
        <v/>
      </c>
      <c r="R219" s="587"/>
      <c r="S219" s="587" t="str">
        <f t="shared" si="68"/>
        <v/>
      </c>
      <c r="T219" s="587"/>
      <c r="U219" s="587" t="str">
        <f t="shared" si="69"/>
        <v/>
      </c>
      <c r="V219" s="587" t="s">
        <v>957</v>
      </c>
      <c r="W219" s="587">
        <f t="shared" si="70"/>
        <v>12.41</v>
      </c>
      <c r="X219" s="587"/>
      <c r="Y219" s="587" t="str">
        <f t="shared" si="80"/>
        <v/>
      </c>
      <c r="Z219" s="587"/>
      <c r="AA219" s="587" t="str">
        <f t="shared" si="78"/>
        <v/>
      </c>
      <c r="AB219" s="587"/>
      <c r="AC219" s="587" t="str">
        <f t="shared" si="79"/>
        <v/>
      </c>
      <c r="AD219" s="586"/>
      <c r="AE219" s="587" t="str">
        <f t="shared" si="77"/>
        <v/>
      </c>
    </row>
    <row r="220" spans="2:31">
      <c r="B220" s="586" t="s">
        <v>397</v>
      </c>
      <c r="C220" s="587">
        <v>1.25</v>
      </c>
      <c r="D220" s="588" t="s">
        <v>957</v>
      </c>
      <c r="E220" s="587">
        <v>1.9</v>
      </c>
      <c r="F220" s="587">
        <f>C220*E220</f>
        <v>2.375</v>
      </c>
      <c r="G220" s="587">
        <f>(C220+E220)*2</f>
        <v>6.3</v>
      </c>
      <c r="H220" s="589" t="s">
        <v>957</v>
      </c>
      <c r="I220" s="587">
        <f t="shared" si="65"/>
        <v>2.375</v>
      </c>
      <c r="J220" s="589" t="s">
        <v>957</v>
      </c>
      <c r="K220" s="587">
        <f t="shared" si="75"/>
        <v>6.3</v>
      </c>
      <c r="L220" s="587"/>
      <c r="M220" s="587" t="str">
        <f t="shared" si="66"/>
        <v/>
      </c>
      <c r="N220" s="587"/>
      <c r="O220" s="587" t="str">
        <f t="shared" si="67"/>
        <v/>
      </c>
      <c r="P220" s="587"/>
      <c r="Q220" s="587" t="str">
        <f t="shared" si="76"/>
        <v/>
      </c>
      <c r="R220" s="587"/>
      <c r="S220" s="587" t="str">
        <f t="shared" si="68"/>
        <v/>
      </c>
      <c r="T220" s="587"/>
      <c r="U220" s="587" t="str">
        <f t="shared" si="69"/>
        <v/>
      </c>
      <c r="V220" s="587" t="s">
        <v>957</v>
      </c>
      <c r="W220" s="587">
        <f t="shared" si="70"/>
        <v>2.375</v>
      </c>
      <c r="X220" s="587"/>
      <c r="Y220" s="587" t="str">
        <f t="shared" si="80"/>
        <v/>
      </c>
      <c r="Z220" s="587"/>
      <c r="AA220" s="587" t="str">
        <f t="shared" si="78"/>
        <v/>
      </c>
      <c r="AB220" s="587"/>
      <c r="AC220" s="587" t="str">
        <f t="shared" si="79"/>
        <v/>
      </c>
      <c r="AD220" s="586"/>
      <c r="AE220" s="587" t="str">
        <f t="shared" si="77"/>
        <v/>
      </c>
    </row>
    <row r="221" spans="2:31">
      <c r="B221" s="586" t="s">
        <v>453</v>
      </c>
      <c r="C221" s="587"/>
      <c r="D221" s="588"/>
      <c r="E221" s="587"/>
      <c r="F221" s="587">
        <v>12.41</v>
      </c>
      <c r="G221" s="587">
        <v>15.7</v>
      </c>
      <c r="H221" s="589" t="s">
        <v>957</v>
      </c>
      <c r="I221" s="587">
        <f t="shared" si="65"/>
        <v>12.41</v>
      </c>
      <c r="J221" s="589" t="s">
        <v>957</v>
      </c>
      <c r="K221" s="587">
        <f t="shared" si="75"/>
        <v>15.7</v>
      </c>
      <c r="L221" s="587"/>
      <c r="M221" s="587" t="str">
        <f t="shared" si="66"/>
        <v/>
      </c>
      <c r="N221" s="587"/>
      <c r="O221" s="587" t="str">
        <f t="shared" si="67"/>
        <v/>
      </c>
      <c r="P221" s="587"/>
      <c r="Q221" s="587" t="str">
        <f t="shared" si="76"/>
        <v/>
      </c>
      <c r="R221" s="587"/>
      <c r="S221" s="587" t="str">
        <f t="shared" si="68"/>
        <v/>
      </c>
      <c r="T221" s="587"/>
      <c r="U221" s="587" t="str">
        <f t="shared" si="69"/>
        <v/>
      </c>
      <c r="V221" s="587" t="s">
        <v>957</v>
      </c>
      <c r="W221" s="587">
        <f t="shared" si="70"/>
        <v>12.41</v>
      </c>
      <c r="X221" s="587"/>
      <c r="Y221" s="587" t="str">
        <f t="shared" si="80"/>
        <v/>
      </c>
      <c r="Z221" s="587"/>
      <c r="AA221" s="587" t="str">
        <f t="shared" si="78"/>
        <v/>
      </c>
      <c r="AB221" s="587"/>
      <c r="AC221" s="587" t="str">
        <f t="shared" si="79"/>
        <v/>
      </c>
      <c r="AD221" s="586"/>
      <c r="AE221" s="587" t="str">
        <f t="shared" si="77"/>
        <v/>
      </c>
    </row>
    <row r="222" spans="2:31">
      <c r="B222" s="586" t="s">
        <v>397</v>
      </c>
      <c r="C222" s="587">
        <v>1.25</v>
      </c>
      <c r="D222" s="588" t="s">
        <v>957</v>
      </c>
      <c r="E222" s="587">
        <v>1.9</v>
      </c>
      <c r="F222" s="587">
        <f>C222*E222</f>
        <v>2.375</v>
      </c>
      <c r="G222" s="587">
        <f>(C222+E222)*2</f>
        <v>6.3</v>
      </c>
      <c r="H222" s="589" t="s">
        <v>957</v>
      </c>
      <c r="I222" s="587">
        <f t="shared" si="65"/>
        <v>2.375</v>
      </c>
      <c r="J222" s="589" t="s">
        <v>957</v>
      </c>
      <c r="K222" s="587">
        <f t="shared" si="75"/>
        <v>6.3</v>
      </c>
      <c r="L222" s="587"/>
      <c r="M222" s="587" t="str">
        <f t="shared" si="66"/>
        <v/>
      </c>
      <c r="N222" s="587"/>
      <c r="O222" s="587" t="str">
        <f t="shared" si="67"/>
        <v/>
      </c>
      <c r="P222" s="587"/>
      <c r="Q222" s="587" t="str">
        <f t="shared" si="76"/>
        <v/>
      </c>
      <c r="R222" s="587"/>
      <c r="S222" s="587" t="str">
        <f t="shared" si="68"/>
        <v/>
      </c>
      <c r="T222" s="587"/>
      <c r="U222" s="587" t="str">
        <f t="shared" si="69"/>
        <v/>
      </c>
      <c r="V222" s="587" t="s">
        <v>957</v>
      </c>
      <c r="W222" s="587">
        <f t="shared" si="70"/>
        <v>2.375</v>
      </c>
      <c r="X222" s="587"/>
      <c r="Y222" s="587" t="str">
        <f t="shared" si="80"/>
        <v/>
      </c>
      <c r="Z222" s="587"/>
      <c r="AA222" s="587" t="str">
        <f t="shared" si="78"/>
        <v/>
      </c>
      <c r="AB222" s="587"/>
      <c r="AC222" s="587" t="str">
        <f t="shared" si="79"/>
        <v/>
      </c>
      <c r="AD222" s="586"/>
      <c r="AE222" s="587" t="str">
        <f t="shared" si="77"/>
        <v/>
      </c>
    </row>
    <row r="223" spans="2:31">
      <c r="B223" s="586" t="s">
        <v>454</v>
      </c>
      <c r="C223" s="587">
        <v>5.92</v>
      </c>
      <c r="D223" s="588" t="s">
        <v>957</v>
      </c>
      <c r="E223" s="587">
        <v>4.3</v>
      </c>
      <c r="F223" s="587">
        <f>C223*E223</f>
        <v>25.456</v>
      </c>
      <c r="G223" s="587">
        <f>(C223+E223)*2</f>
        <v>20.439999999999998</v>
      </c>
      <c r="H223" s="589" t="s">
        <v>957</v>
      </c>
      <c r="I223" s="587">
        <f t="shared" si="65"/>
        <v>25.456</v>
      </c>
      <c r="J223" s="589" t="s">
        <v>957</v>
      </c>
      <c r="K223" s="587">
        <f t="shared" si="75"/>
        <v>20.439999999999998</v>
      </c>
      <c r="L223" s="587"/>
      <c r="M223" s="587" t="str">
        <f t="shared" si="66"/>
        <v/>
      </c>
      <c r="N223" s="587"/>
      <c r="O223" s="587" t="str">
        <f t="shared" si="67"/>
        <v/>
      </c>
      <c r="P223" s="587"/>
      <c r="Q223" s="587" t="str">
        <f t="shared" si="76"/>
        <v/>
      </c>
      <c r="R223" s="587"/>
      <c r="S223" s="587" t="str">
        <f t="shared" si="68"/>
        <v/>
      </c>
      <c r="T223" s="587"/>
      <c r="U223" s="587" t="str">
        <f t="shared" si="69"/>
        <v/>
      </c>
      <c r="V223" s="587"/>
      <c r="W223" s="587" t="str">
        <f t="shared" si="70"/>
        <v/>
      </c>
      <c r="X223" s="587"/>
      <c r="Y223" s="587" t="str">
        <f t="shared" si="80"/>
        <v/>
      </c>
      <c r="Z223" s="587" t="s">
        <v>952</v>
      </c>
      <c r="AA223" s="587">
        <f t="shared" si="78"/>
        <v>25.456</v>
      </c>
      <c r="AB223" s="587"/>
      <c r="AC223" s="587" t="str">
        <f t="shared" si="79"/>
        <v/>
      </c>
      <c r="AD223" s="586"/>
      <c r="AE223" s="587" t="str">
        <f t="shared" si="77"/>
        <v/>
      </c>
    </row>
    <row r="224" spans="2:31">
      <c r="B224" s="586" t="s">
        <v>455</v>
      </c>
      <c r="C224" s="587">
        <v>3.74</v>
      </c>
      <c r="D224" s="588" t="s">
        <v>957</v>
      </c>
      <c r="E224" s="587">
        <v>4.3</v>
      </c>
      <c r="F224" s="587">
        <f>C224*E224</f>
        <v>16.082000000000001</v>
      </c>
      <c r="G224" s="587">
        <f>(C224+E224)*2</f>
        <v>16.079999999999998</v>
      </c>
      <c r="H224" s="589" t="s">
        <v>957</v>
      </c>
      <c r="I224" s="587">
        <f t="shared" si="65"/>
        <v>16.082000000000001</v>
      </c>
      <c r="J224" s="589" t="s">
        <v>957</v>
      </c>
      <c r="K224" s="587">
        <f t="shared" si="75"/>
        <v>16.079999999999998</v>
      </c>
      <c r="L224" s="587"/>
      <c r="M224" s="587" t="str">
        <f t="shared" si="66"/>
        <v/>
      </c>
      <c r="N224" s="587"/>
      <c r="O224" s="587" t="str">
        <f t="shared" si="67"/>
        <v/>
      </c>
      <c r="P224" s="587"/>
      <c r="Q224" s="587" t="str">
        <f t="shared" si="76"/>
        <v/>
      </c>
      <c r="R224" s="587"/>
      <c r="S224" s="587" t="str">
        <f t="shared" si="68"/>
        <v/>
      </c>
      <c r="T224" s="587"/>
      <c r="U224" s="587" t="str">
        <f t="shared" si="69"/>
        <v/>
      </c>
      <c r="V224" s="587"/>
      <c r="W224" s="587" t="str">
        <f t="shared" si="70"/>
        <v/>
      </c>
      <c r="X224" s="587"/>
      <c r="Y224" s="587" t="str">
        <f t="shared" si="80"/>
        <v/>
      </c>
      <c r="Z224" s="587" t="s">
        <v>952</v>
      </c>
      <c r="AA224" s="587">
        <f t="shared" si="78"/>
        <v>16.082000000000001</v>
      </c>
      <c r="AB224" s="587"/>
      <c r="AC224" s="587" t="str">
        <f t="shared" si="79"/>
        <v/>
      </c>
      <c r="AD224" s="586"/>
      <c r="AE224" s="587" t="str">
        <f t="shared" si="77"/>
        <v/>
      </c>
    </row>
    <row r="225" spans="2:31">
      <c r="B225" s="586" t="s">
        <v>456</v>
      </c>
      <c r="C225" s="587"/>
      <c r="D225" s="588"/>
      <c r="E225" s="587"/>
      <c r="F225" s="587">
        <v>24.76</v>
      </c>
      <c r="G225" s="587">
        <v>22.42</v>
      </c>
      <c r="H225" s="589" t="s">
        <v>957</v>
      </c>
      <c r="I225" s="587">
        <f t="shared" si="65"/>
        <v>24.76</v>
      </c>
      <c r="J225" s="589" t="s">
        <v>957</v>
      </c>
      <c r="K225" s="587">
        <f t="shared" si="75"/>
        <v>22.42</v>
      </c>
      <c r="L225" s="587"/>
      <c r="M225" s="587" t="str">
        <f t="shared" si="66"/>
        <v/>
      </c>
      <c r="N225" s="587"/>
      <c r="O225" s="587" t="str">
        <f t="shared" si="67"/>
        <v/>
      </c>
      <c r="P225" s="587"/>
      <c r="Q225" s="587" t="str">
        <f t="shared" si="76"/>
        <v/>
      </c>
      <c r="R225" s="587"/>
      <c r="S225" s="587" t="str">
        <f t="shared" si="68"/>
        <v/>
      </c>
      <c r="T225" s="587"/>
      <c r="U225" s="587" t="str">
        <f t="shared" si="69"/>
        <v/>
      </c>
      <c r="V225" s="587" t="s">
        <v>957</v>
      </c>
      <c r="W225" s="587">
        <f t="shared" si="70"/>
        <v>24.76</v>
      </c>
      <c r="X225" s="587"/>
      <c r="Y225" s="587" t="str">
        <f t="shared" si="80"/>
        <v/>
      </c>
      <c r="Z225" s="587"/>
      <c r="AA225" s="587" t="str">
        <f t="shared" si="78"/>
        <v/>
      </c>
      <c r="AB225" s="587"/>
      <c r="AC225" s="587" t="str">
        <f t="shared" si="79"/>
        <v/>
      </c>
      <c r="AD225" s="586"/>
      <c r="AE225" s="587" t="str">
        <f t="shared" si="77"/>
        <v/>
      </c>
    </row>
    <row r="226" spans="2:31">
      <c r="B226" s="586" t="s">
        <v>428</v>
      </c>
      <c r="C226" s="587">
        <v>3</v>
      </c>
      <c r="D226" s="588" t="s">
        <v>957</v>
      </c>
      <c r="E226" s="587">
        <v>1.6</v>
      </c>
      <c r="F226" s="587">
        <f t="shared" ref="F226:F231" si="81">C226*E226</f>
        <v>4.8000000000000007</v>
      </c>
      <c r="G226" s="587">
        <f t="shared" ref="G226:G231" si="82">(C226+E226)*2</f>
        <v>9.1999999999999993</v>
      </c>
      <c r="H226" s="589" t="s">
        <v>957</v>
      </c>
      <c r="I226" s="587">
        <f t="shared" si="65"/>
        <v>4.8000000000000007</v>
      </c>
      <c r="J226" s="589" t="s">
        <v>957</v>
      </c>
      <c r="K226" s="587">
        <f t="shared" si="75"/>
        <v>9.1999999999999993</v>
      </c>
      <c r="L226" s="587"/>
      <c r="M226" s="587" t="str">
        <f t="shared" si="66"/>
        <v/>
      </c>
      <c r="N226" s="587"/>
      <c r="O226" s="587" t="str">
        <f t="shared" si="67"/>
        <v/>
      </c>
      <c r="P226" s="587"/>
      <c r="Q226" s="587" t="str">
        <f t="shared" si="76"/>
        <v/>
      </c>
      <c r="R226" s="587"/>
      <c r="S226" s="587" t="str">
        <f t="shared" si="68"/>
        <v/>
      </c>
      <c r="T226" s="587"/>
      <c r="U226" s="587" t="str">
        <f t="shared" si="69"/>
        <v/>
      </c>
      <c r="V226" s="587" t="s">
        <v>957</v>
      </c>
      <c r="W226" s="587">
        <f t="shared" si="70"/>
        <v>4.8000000000000007</v>
      </c>
      <c r="X226" s="587"/>
      <c r="Y226" s="587" t="str">
        <f t="shared" si="80"/>
        <v/>
      </c>
      <c r="Z226" s="587"/>
      <c r="AA226" s="587" t="str">
        <f t="shared" si="78"/>
        <v/>
      </c>
      <c r="AB226" s="587"/>
      <c r="AC226" s="587" t="str">
        <f t="shared" si="79"/>
        <v/>
      </c>
      <c r="AD226" s="586"/>
      <c r="AE226" s="587" t="str">
        <f t="shared" si="77"/>
        <v/>
      </c>
    </row>
    <row r="227" spans="2:31">
      <c r="B227" s="586" t="s">
        <v>307</v>
      </c>
      <c r="C227" s="587">
        <v>2.25</v>
      </c>
      <c r="D227" s="588"/>
      <c r="E227" s="587">
        <v>3.65</v>
      </c>
      <c r="F227" s="587">
        <f t="shared" si="81"/>
        <v>8.2125000000000004</v>
      </c>
      <c r="G227" s="587">
        <f t="shared" si="82"/>
        <v>11.8</v>
      </c>
      <c r="H227" s="589"/>
      <c r="I227" s="587" t="str">
        <f t="shared" si="65"/>
        <v/>
      </c>
      <c r="J227" s="589"/>
      <c r="K227" s="587" t="str">
        <f t="shared" si="75"/>
        <v/>
      </c>
      <c r="L227" s="587" t="s">
        <v>952</v>
      </c>
      <c r="M227" s="587">
        <f t="shared" si="66"/>
        <v>8.2125000000000004</v>
      </c>
      <c r="N227" s="587"/>
      <c r="O227" s="587" t="str">
        <f t="shared" si="67"/>
        <v/>
      </c>
      <c r="P227" s="587"/>
      <c r="Q227" s="587" t="str">
        <f t="shared" si="76"/>
        <v/>
      </c>
      <c r="R227" s="587"/>
      <c r="S227" s="587" t="str">
        <f t="shared" si="68"/>
        <v/>
      </c>
      <c r="T227" s="587"/>
      <c r="U227" s="587" t="str">
        <f t="shared" si="69"/>
        <v/>
      </c>
      <c r="V227" s="587" t="s">
        <v>957</v>
      </c>
      <c r="W227" s="587">
        <f t="shared" si="70"/>
        <v>8.2125000000000004</v>
      </c>
      <c r="X227" s="587"/>
      <c r="Y227" s="587" t="str">
        <f t="shared" si="80"/>
        <v/>
      </c>
      <c r="Z227" s="587"/>
      <c r="AA227" s="587" t="str">
        <f t="shared" si="78"/>
        <v/>
      </c>
      <c r="AB227" s="587"/>
      <c r="AC227" s="587" t="str">
        <f t="shared" si="79"/>
        <v/>
      </c>
      <c r="AD227" s="586"/>
      <c r="AE227" s="587" t="str">
        <f t="shared" si="77"/>
        <v/>
      </c>
    </row>
    <row r="228" spans="2:31">
      <c r="B228" s="586" t="s">
        <v>315</v>
      </c>
      <c r="C228" s="587">
        <v>2.2000000000000002</v>
      </c>
      <c r="D228" s="588"/>
      <c r="E228" s="587">
        <v>4.7</v>
      </c>
      <c r="F228" s="587">
        <f t="shared" si="81"/>
        <v>10.340000000000002</v>
      </c>
      <c r="G228" s="587">
        <f t="shared" si="82"/>
        <v>13.8</v>
      </c>
      <c r="H228" s="589" t="s">
        <v>957</v>
      </c>
      <c r="I228" s="587">
        <f>IF(H228="x",F228,"")</f>
        <v>10.340000000000002</v>
      </c>
      <c r="J228" s="589" t="s">
        <v>957</v>
      </c>
      <c r="K228" s="587">
        <f t="shared" si="75"/>
        <v>13.8</v>
      </c>
      <c r="L228" s="587"/>
      <c r="M228" s="587" t="str">
        <f>IF(L228="x",$F228,"")</f>
        <v/>
      </c>
      <c r="N228" s="587"/>
      <c r="O228" s="587" t="str">
        <f>IF(N228="x",F228,"")</f>
        <v/>
      </c>
      <c r="P228" s="587"/>
      <c r="Q228" s="587" t="str">
        <f t="shared" si="76"/>
        <v/>
      </c>
      <c r="R228" s="587"/>
      <c r="S228" s="587" t="str">
        <f>IF(R228="x",F228,"")</f>
        <v/>
      </c>
      <c r="T228" s="587"/>
      <c r="U228" s="587" t="str">
        <f>IF(T228="x",F228,"")</f>
        <v/>
      </c>
      <c r="V228" s="587" t="s">
        <v>957</v>
      </c>
      <c r="W228" s="587">
        <f>IF(V228="x",F228,"")</f>
        <v>10.340000000000002</v>
      </c>
      <c r="X228" s="587"/>
      <c r="Y228" s="587" t="str">
        <f t="shared" si="80"/>
        <v/>
      </c>
      <c r="Z228" s="587"/>
      <c r="AA228" s="587" t="str">
        <f t="shared" si="78"/>
        <v/>
      </c>
      <c r="AB228" s="587"/>
      <c r="AC228" s="587" t="str">
        <f t="shared" si="79"/>
        <v/>
      </c>
      <c r="AD228" s="586"/>
      <c r="AE228" s="587" t="str">
        <f t="shared" si="77"/>
        <v/>
      </c>
    </row>
    <row r="229" spans="2:31">
      <c r="B229" s="590" t="s">
        <v>457</v>
      </c>
      <c r="C229" s="596">
        <v>3.5</v>
      </c>
      <c r="D229" s="597" t="s">
        <v>957</v>
      </c>
      <c r="E229" s="596">
        <v>6.62</v>
      </c>
      <c r="F229" s="596">
        <f t="shared" si="81"/>
        <v>23.17</v>
      </c>
      <c r="G229" s="596">
        <f t="shared" si="82"/>
        <v>20.240000000000002</v>
      </c>
      <c r="H229" s="589"/>
      <c r="I229" s="587" t="str">
        <f>IF(H229="x",$F229,"")</f>
        <v/>
      </c>
      <c r="J229" s="589"/>
      <c r="K229" s="587" t="str">
        <f t="shared" si="75"/>
        <v/>
      </c>
      <c r="L229" s="587" t="s">
        <v>952</v>
      </c>
      <c r="M229" s="587">
        <f>IF(L229="x",$F229,"")</f>
        <v>23.17</v>
      </c>
      <c r="N229" s="587"/>
      <c r="O229" s="587" t="str">
        <f>IF(N229="x",F229,"")</f>
        <v/>
      </c>
      <c r="P229" s="587"/>
      <c r="Q229" s="587" t="str">
        <f t="shared" si="76"/>
        <v/>
      </c>
      <c r="R229" s="587"/>
      <c r="S229" s="587" t="str">
        <f>IF(R229="x",F229,"")</f>
        <v/>
      </c>
      <c r="T229" s="587"/>
      <c r="U229" s="587" t="str">
        <f>IF(T229="x",F229,"")</f>
        <v/>
      </c>
      <c r="V229" s="587"/>
      <c r="W229" s="587" t="str">
        <f>IF(V229="x",F229,"")</f>
        <v/>
      </c>
      <c r="X229" s="587"/>
      <c r="Y229" s="587" t="str">
        <f t="shared" si="80"/>
        <v/>
      </c>
      <c r="Z229" s="587"/>
      <c r="AA229" s="587" t="str">
        <f t="shared" si="78"/>
        <v/>
      </c>
      <c r="AB229" s="587" t="s">
        <v>952</v>
      </c>
      <c r="AC229" s="587">
        <f t="shared" si="79"/>
        <v>23.17</v>
      </c>
      <c r="AD229" s="586"/>
      <c r="AE229" s="587" t="str">
        <f t="shared" si="77"/>
        <v/>
      </c>
    </row>
    <row r="230" spans="2:31">
      <c r="B230" s="590" t="s">
        <v>458</v>
      </c>
      <c r="C230" s="596">
        <v>3.5</v>
      </c>
      <c r="D230" s="597" t="s">
        <v>957</v>
      </c>
      <c r="E230" s="596">
        <v>6.62</v>
      </c>
      <c r="F230" s="596">
        <f t="shared" si="81"/>
        <v>23.17</v>
      </c>
      <c r="G230" s="596">
        <f t="shared" si="82"/>
        <v>20.240000000000002</v>
      </c>
      <c r="H230" s="589"/>
      <c r="I230" s="587" t="str">
        <f>IF(H230="x",F230,"")</f>
        <v/>
      </c>
      <c r="J230" s="589"/>
      <c r="K230" s="587" t="str">
        <f t="shared" si="75"/>
        <v/>
      </c>
      <c r="L230" s="587" t="s">
        <v>952</v>
      </c>
      <c r="M230" s="587">
        <f>IF(L230="x",$F230,"")</f>
        <v>23.17</v>
      </c>
      <c r="N230" s="587"/>
      <c r="O230" s="587" t="str">
        <f>IF(N230="x",F230,"")</f>
        <v/>
      </c>
      <c r="P230" s="587"/>
      <c r="Q230" s="587" t="str">
        <f t="shared" si="76"/>
        <v/>
      </c>
      <c r="R230" s="587"/>
      <c r="S230" s="587" t="str">
        <f>IF(R230="x",F230,"")</f>
        <v/>
      </c>
      <c r="T230" s="587"/>
      <c r="U230" s="587" t="str">
        <f>IF(T230="x",F230,"")</f>
        <v/>
      </c>
      <c r="V230" s="587"/>
      <c r="W230" s="587" t="str">
        <f>IF(V230="x",F230,"")</f>
        <v/>
      </c>
      <c r="X230" s="587"/>
      <c r="Y230" s="587" t="str">
        <f t="shared" si="80"/>
        <v/>
      </c>
      <c r="Z230" s="587"/>
      <c r="AA230" s="587" t="str">
        <f t="shared" si="78"/>
        <v/>
      </c>
      <c r="AB230" s="587" t="s">
        <v>952</v>
      </c>
      <c r="AC230" s="587">
        <f t="shared" si="79"/>
        <v>23.17</v>
      </c>
      <c r="AD230" s="586"/>
      <c r="AE230" s="587" t="str">
        <f t="shared" si="77"/>
        <v/>
      </c>
    </row>
    <row r="231" spans="2:31">
      <c r="B231" s="590" t="s">
        <v>459</v>
      </c>
      <c r="C231" s="596">
        <v>2.9</v>
      </c>
      <c r="D231" s="597" t="s">
        <v>957</v>
      </c>
      <c r="E231" s="596">
        <v>6.65</v>
      </c>
      <c r="F231" s="596">
        <f t="shared" si="81"/>
        <v>19.285</v>
      </c>
      <c r="G231" s="596">
        <f t="shared" si="82"/>
        <v>19.100000000000001</v>
      </c>
      <c r="H231" s="589"/>
      <c r="I231" s="587" t="str">
        <f>IF(H231="x",F231,"")</f>
        <v/>
      </c>
      <c r="J231" s="589"/>
      <c r="K231" s="587" t="str">
        <f t="shared" si="75"/>
        <v/>
      </c>
      <c r="L231" s="587" t="s">
        <v>952</v>
      </c>
      <c r="M231" s="587">
        <f>IF(L231="x",$F231,"")</f>
        <v>19.285</v>
      </c>
      <c r="N231" s="587"/>
      <c r="O231" s="587" t="str">
        <f>IF(N231="x",F231,"")</f>
        <v/>
      </c>
      <c r="P231" s="587"/>
      <c r="Q231" s="587" t="str">
        <f t="shared" si="76"/>
        <v/>
      </c>
      <c r="R231" s="587"/>
      <c r="S231" s="587" t="str">
        <f>IF(R231="x",F231,"")</f>
        <v/>
      </c>
      <c r="T231" s="587"/>
      <c r="U231" s="587" t="str">
        <f>IF(T231="x",F231,"")</f>
        <v/>
      </c>
      <c r="V231" s="587"/>
      <c r="W231" s="587" t="str">
        <f>IF(V231="x",F231,"")</f>
        <v/>
      </c>
      <c r="X231" s="587"/>
      <c r="Y231" s="587" t="str">
        <f t="shared" si="80"/>
        <v/>
      </c>
      <c r="Z231" s="587"/>
      <c r="AA231" s="587" t="str">
        <f t="shared" si="78"/>
        <v/>
      </c>
      <c r="AB231" s="587" t="s">
        <v>952</v>
      </c>
      <c r="AC231" s="587">
        <f t="shared" si="79"/>
        <v>19.285</v>
      </c>
      <c r="AD231" s="586"/>
      <c r="AE231" s="587" t="str">
        <f t="shared" si="77"/>
        <v/>
      </c>
    </row>
    <row r="232" spans="2:31">
      <c r="B232" s="590" t="s">
        <v>2307</v>
      </c>
      <c r="C232" s="596"/>
      <c r="D232" s="597"/>
      <c r="E232" s="596"/>
      <c r="F232" s="596">
        <v>1375.78</v>
      </c>
      <c r="G232" s="596"/>
      <c r="H232" s="589"/>
      <c r="I232" s="587"/>
      <c r="J232" s="589"/>
      <c r="K232" s="587" t="str">
        <f t="shared" si="75"/>
        <v/>
      </c>
      <c r="L232" s="587" t="s">
        <v>952</v>
      </c>
      <c r="M232" s="587">
        <f>IF(L232="x",$F232,"")</f>
        <v>1375.78</v>
      </c>
      <c r="N232" s="587"/>
      <c r="O232" s="587"/>
      <c r="P232" s="587"/>
      <c r="Q232" s="587" t="str">
        <f t="shared" si="76"/>
        <v/>
      </c>
      <c r="R232" s="587"/>
      <c r="S232" s="587"/>
      <c r="T232" s="587"/>
      <c r="U232" s="587"/>
      <c r="V232" s="587"/>
      <c r="W232" s="587"/>
      <c r="X232" s="587"/>
      <c r="Y232" s="587"/>
      <c r="Z232" s="587"/>
      <c r="AA232" s="587"/>
      <c r="AB232" s="587"/>
      <c r="AC232" s="587"/>
      <c r="AD232" s="586"/>
      <c r="AE232" s="587" t="str">
        <f t="shared" si="77"/>
        <v/>
      </c>
    </row>
    <row r="233" spans="2:31">
      <c r="B233" s="582" t="s">
        <v>965</v>
      </c>
      <c r="C233" s="583"/>
      <c r="D233" s="583"/>
      <c r="E233" s="583"/>
      <c r="F233" s="583"/>
      <c r="G233" s="583"/>
      <c r="H233" s="584"/>
      <c r="I233" s="583"/>
      <c r="J233" s="584"/>
      <c r="K233" s="587" t="str">
        <f t="shared" si="75"/>
        <v/>
      </c>
      <c r="L233" s="583"/>
      <c r="M233" s="583"/>
      <c r="N233" s="583"/>
      <c r="O233" s="583"/>
      <c r="P233" s="583"/>
      <c r="Q233" s="587" t="str">
        <f t="shared" si="76"/>
        <v/>
      </c>
      <c r="R233" s="583"/>
      <c r="S233" s="583"/>
      <c r="T233" s="583"/>
      <c r="U233" s="583"/>
      <c r="V233" s="583"/>
      <c r="W233" s="583"/>
      <c r="X233" s="583"/>
      <c r="Y233" s="587" t="str">
        <f t="shared" si="80"/>
        <v/>
      </c>
      <c r="Z233" s="583"/>
      <c r="AA233" s="587" t="str">
        <f t="shared" si="78"/>
        <v/>
      </c>
      <c r="AB233" s="583"/>
      <c r="AC233" s="587" t="str">
        <f t="shared" si="79"/>
        <v/>
      </c>
      <c r="AD233" s="586"/>
      <c r="AE233" s="587" t="str">
        <f t="shared" si="77"/>
        <v/>
      </c>
    </row>
    <row r="234" spans="2:31">
      <c r="B234" s="586" t="s">
        <v>295</v>
      </c>
      <c r="C234" s="587"/>
      <c r="D234" s="588"/>
      <c r="E234" s="587"/>
      <c r="F234" s="587">
        <f>2.5*(13.75*4+2.15*2)+5.15*2*3</f>
        <v>179.15</v>
      </c>
      <c r="G234" s="587"/>
      <c r="H234" s="589"/>
      <c r="I234" s="587" t="str">
        <f t="shared" ref="I234:I297" si="83">IF(H234="x",F234,"")</f>
        <v/>
      </c>
      <c r="J234" s="589"/>
      <c r="K234" s="587" t="str">
        <f t="shared" si="75"/>
        <v/>
      </c>
      <c r="L234" s="587" t="s">
        <v>952</v>
      </c>
      <c r="M234" s="587">
        <f t="shared" ref="M234:M245" si="84">IF(L234="x",$F234,"")</f>
        <v>179.15</v>
      </c>
      <c r="N234" s="587"/>
      <c r="O234" s="587" t="str">
        <f t="shared" ref="O234:O271" si="85">IF(N234="x",F234,"")</f>
        <v/>
      </c>
      <c r="P234" s="587"/>
      <c r="Q234" s="587" t="str">
        <f t="shared" si="76"/>
        <v/>
      </c>
      <c r="R234" s="587"/>
      <c r="S234" s="587" t="str">
        <f t="shared" ref="S234:S271" si="86">IF(R234="x",F234,"")</f>
        <v/>
      </c>
      <c r="T234" s="587"/>
      <c r="U234" s="587" t="str">
        <f t="shared" ref="U234:U297" si="87">IF(T234="x",F234,"")</f>
        <v/>
      </c>
      <c r="V234" s="587"/>
      <c r="W234" s="587" t="str">
        <f t="shared" ref="W234:W297" si="88">IF(V234="x",F234,"")</f>
        <v/>
      </c>
      <c r="X234" s="587"/>
      <c r="Y234" s="587" t="str">
        <f t="shared" si="80"/>
        <v/>
      </c>
      <c r="Z234" s="587"/>
      <c r="AA234" s="587" t="str">
        <f t="shared" si="78"/>
        <v/>
      </c>
      <c r="AB234" s="587" t="s">
        <v>952</v>
      </c>
      <c r="AC234" s="587">
        <f t="shared" si="79"/>
        <v>179.15</v>
      </c>
      <c r="AD234" s="586"/>
      <c r="AE234" s="587" t="str">
        <f t="shared" si="77"/>
        <v/>
      </c>
    </row>
    <row r="235" spans="2:31">
      <c r="B235" s="586" t="s">
        <v>408</v>
      </c>
      <c r="C235" s="587"/>
      <c r="D235" s="588"/>
      <c r="E235" s="587"/>
      <c r="F235" s="587">
        <v>34.520000000000003</v>
      </c>
      <c r="G235" s="587">
        <v>28.06</v>
      </c>
      <c r="H235" s="589" t="s">
        <v>957</v>
      </c>
      <c r="I235" s="587">
        <f t="shared" si="83"/>
        <v>34.520000000000003</v>
      </c>
      <c r="J235" s="589" t="s">
        <v>957</v>
      </c>
      <c r="K235" s="587">
        <f t="shared" si="75"/>
        <v>28.06</v>
      </c>
      <c r="L235" s="587"/>
      <c r="M235" s="587" t="str">
        <f t="shared" si="84"/>
        <v/>
      </c>
      <c r="N235" s="587"/>
      <c r="O235" s="587" t="str">
        <f t="shared" si="85"/>
        <v/>
      </c>
      <c r="P235" s="587"/>
      <c r="Q235" s="587" t="str">
        <f t="shared" si="76"/>
        <v/>
      </c>
      <c r="R235" s="587"/>
      <c r="S235" s="587" t="str">
        <f t="shared" si="86"/>
        <v/>
      </c>
      <c r="T235" s="587"/>
      <c r="U235" s="587" t="str">
        <f t="shared" si="87"/>
        <v/>
      </c>
      <c r="V235" s="587"/>
      <c r="W235" s="587" t="str">
        <f t="shared" si="88"/>
        <v/>
      </c>
      <c r="X235" s="587"/>
      <c r="Y235" s="587" t="str">
        <f t="shared" si="80"/>
        <v/>
      </c>
      <c r="Z235" s="587" t="s">
        <v>952</v>
      </c>
      <c r="AA235" s="587">
        <f t="shared" si="78"/>
        <v>34.520000000000003</v>
      </c>
      <c r="AB235" s="587"/>
      <c r="AC235" s="587" t="str">
        <f t="shared" si="79"/>
        <v/>
      </c>
      <c r="AD235" s="586"/>
      <c r="AE235" s="587" t="str">
        <f t="shared" si="77"/>
        <v/>
      </c>
    </row>
    <row r="236" spans="2:31">
      <c r="B236" s="586" t="s">
        <v>460</v>
      </c>
      <c r="C236" s="587">
        <v>1.7</v>
      </c>
      <c r="D236" s="588" t="s">
        <v>957</v>
      </c>
      <c r="E236" s="587">
        <v>1.68</v>
      </c>
      <c r="F236" s="587">
        <f>C236*E236</f>
        <v>2.8559999999999999</v>
      </c>
      <c r="G236" s="587">
        <f>(C236+E236)*2</f>
        <v>6.76</v>
      </c>
      <c r="H236" s="589" t="s">
        <v>957</v>
      </c>
      <c r="I236" s="587">
        <f t="shared" si="83"/>
        <v>2.8559999999999999</v>
      </c>
      <c r="J236" s="589" t="s">
        <v>957</v>
      </c>
      <c r="K236" s="587">
        <f t="shared" si="75"/>
        <v>6.76</v>
      </c>
      <c r="L236" s="587"/>
      <c r="M236" s="587" t="str">
        <f t="shared" si="84"/>
        <v/>
      </c>
      <c r="N236" s="587"/>
      <c r="O236" s="587" t="str">
        <f t="shared" si="85"/>
        <v/>
      </c>
      <c r="P236" s="587"/>
      <c r="Q236" s="587" t="str">
        <f t="shared" si="76"/>
        <v/>
      </c>
      <c r="R236" s="587"/>
      <c r="S236" s="587" t="str">
        <f t="shared" si="86"/>
        <v/>
      </c>
      <c r="T236" s="587"/>
      <c r="U236" s="587" t="str">
        <f t="shared" si="87"/>
        <v/>
      </c>
      <c r="V236" s="587" t="s">
        <v>957</v>
      </c>
      <c r="W236" s="587">
        <f t="shared" si="88"/>
        <v>2.8559999999999999</v>
      </c>
      <c r="X236" s="587"/>
      <c r="Y236" s="587" t="str">
        <f t="shared" si="80"/>
        <v/>
      </c>
      <c r="Z236" s="587"/>
      <c r="AA236" s="587" t="str">
        <f t="shared" si="78"/>
        <v/>
      </c>
      <c r="AB236" s="587"/>
      <c r="AC236" s="587" t="str">
        <f t="shared" si="79"/>
        <v/>
      </c>
      <c r="AD236" s="586"/>
      <c r="AE236" s="587" t="str">
        <f t="shared" si="77"/>
        <v/>
      </c>
    </row>
    <row r="237" spans="2:31">
      <c r="B237" s="586" t="s">
        <v>461</v>
      </c>
      <c r="C237" s="587">
        <v>1.7</v>
      </c>
      <c r="D237" s="588" t="s">
        <v>957</v>
      </c>
      <c r="E237" s="587">
        <v>1.68</v>
      </c>
      <c r="F237" s="587">
        <f>C237*E237</f>
        <v>2.8559999999999999</v>
      </c>
      <c r="G237" s="587">
        <f>(C237+E237)*2</f>
        <v>6.76</v>
      </c>
      <c r="H237" s="589" t="s">
        <v>957</v>
      </c>
      <c r="I237" s="587">
        <f t="shared" si="83"/>
        <v>2.8559999999999999</v>
      </c>
      <c r="J237" s="589" t="s">
        <v>957</v>
      </c>
      <c r="K237" s="587">
        <f t="shared" si="75"/>
        <v>6.76</v>
      </c>
      <c r="L237" s="587"/>
      <c r="M237" s="587" t="str">
        <f t="shared" si="84"/>
        <v/>
      </c>
      <c r="N237" s="587"/>
      <c r="O237" s="587" t="str">
        <f t="shared" si="85"/>
        <v/>
      </c>
      <c r="P237" s="587"/>
      <c r="Q237" s="587" t="str">
        <f t="shared" si="76"/>
        <v/>
      </c>
      <c r="R237" s="587"/>
      <c r="S237" s="587" t="str">
        <f t="shared" si="86"/>
        <v/>
      </c>
      <c r="T237" s="587"/>
      <c r="U237" s="587" t="str">
        <f t="shared" si="87"/>
        <v/>
      </c>
      <c r="V237" s="587" t="s">
        <v>957</v>
      </c>
      <c r="W237" s="587">
        <f t="shared" si="88"/>
        <v>2.8559999999999999</v>
      </c>
      <c r="X237" s="587"/>
      <c r="Y237" s="587" t="str">
        <f t="shared" si="80"/>
        <v/>
      </c>
      <c r="Z237" s="587"/>
      <c r="AA237" s="587" t="str">
        <f t="shared" si="78"/>
        <v/>
      </c>
      <c r="AB237" s="587"/>
      <c r="AC237" s="587" t="str">
        <f t="shared" si="79"/>
        <v/>
      </c>
      <c r="AD237" s="586"/>
      <c r="AE237" s="587" t="str">
        <f t="shared" si="77"/>
        <v/>
      </c>
    </row>
    <row r="238" spans="2:31">
      <c r="B238" s="586" t="s">
        <v>296</v>
      </c>
      <c r="C238" s="587"/>
      <c r="D238" s="588"/>
      <c r="E238" s="587"/>
      <c r="F238" s="587">
        <v>139.33000000000001</v>
      </c>
      <c r="G238" s="587">
        <v>64.38</v>
      </c>
      <c r="H238" s="589" t="s">
        <v>957</v>
      </c>
      <c r="I238" s="587">
        <f t="shared" si="83"/>
        <v>139.33000000000001</v>
      </c>
      <c r="J238" s="589" t="s">
        <v>957</v>
      </c>
      <c r="K238" s="587">
        <f t="shared" si="75"/>
        <v>64.38</v>
      </c>
      <c r="L238" s="587"/>
      <c r="M238" s="587" t="str">
        <f t="shared" si="84"/>
        <v/>
      </c>
      <c r="N238" s="587"/>
      <c r="O238" s="587" t="str">
        <f t="shared" si="85"/>
        <v/>
      </c>
      <c r="P238" s="587"/>
      <c r="Q238" s="587" t="str">
        <f t="shared" si="76"/>
        <v/>
      </c>
      <c r="R238" s="587"/>
      <c r="S238" s="587" t="str">
        <f t="shared" si="86"/>
        <v/>
      </c>
      <c r="T238" s="587"/>
      <c r="U238" s="587" t="str">
        <f t="shared" si="87"/>
        <v/>
      </c>
      <c r="V238" s="587"/>
      <c r="W238" s="587" t="str">
        <f t="shared" si="88"/>
        <v/>
      </c>
      <c r="X238" s="587" t="s">
        <v>957</v>
      </c>
      <c r="Y238" s="587">
        <f t="shared" si="80"/>
        <v>139.33000000000001</v>
      </c>
      <c r="Z238" s="587"/>
      <c r="AA238" s="587" t="str">
        <f t="shared" si="78"/>
        <v/>
      </c>
      <c r="AB238" s="587"/>
      <c r="AC238" s="587" t="str">
        <f t="shared" si="79"/>
        <v/>
      </c>
      <c r="AD238" s="586"/>
      <c r="AE238" s="587" t="str">
        <f t="shared" si="77"/>
        <v/>
      </c>
    </row>
    <row r="239" spans="2:31">
      <c r="B239" s="586" t="s">
        <v>408</v>
      </c>
      <c r="C239" s="587"/>
      <c r="D239" s="588"/>
      <c r="E239" s="587"/>
      <c r="F239" s="587">
        <v>53.02</v>
      </c>
      <c r="G239" s="587">
        <v>36.619999999999997</v>
      </c>
      <c r="H239" s="589" t="s">
        <v>957</v>
      </c>
      <c r="I239" s="587">
        <f t="shared" si="83"/>
        <v>53.02</v>
      </c>
      <c r="J239" s="589" t="s">
        <v>957</v>
      </c>
      <c r="K239" s="587">
        <f t="shared" si="75"/>
        <v>36.619999999999997</v>
      </c>
      <c r="L239" s="587"/>
      <c r="M239" s="587" t="str">
        <f t="shared" si="84"/>
        <v/>
      </c>
      <c r="N239" s="587"/>
      <c r="O239" s="587" t="str">
        <f t="shared" si="85"/>
        <v/>
      </c>
      <c r="P239" s="587"/>
      <c r="Q239" s="587" t="str">
        <f t="shared" si="76"/>
        <v/>
      </c>
      <c r="R239" s="587"/>
      <c r="S239" s="587" t="str">
        <f t="shared" si="86"/>
        <v/>
      </c>
      <c r="T239" s="587"/>
      <c r="U239" s="587" t="str">
        <f t="shared" si="87"/>
        <v/>
      </c>
      <c r="V239" s="587"/>
      <c r="W239" s="587" t="str">
        <f t="shared" si="88"/>
        <v/>
      </c>
      <c r="X239" s="587"/>
      <c r="Y239" s="587" t="str">
        <f t="shared" si="80"/>
        <v/>
      </c>
      <c r="Z239" s="587" t="s">
        <v>952</v>
      </c>
      <c r="AA239" s="587">
        <f t="shared" si="78"/>
        <v>53.02</v>
      </c>
      <c r="AB239" s="587"/>
      <c r="AC239" s="587" t="str">
        <f t="shared" si="79"/>
        <v/>
      </c>
      <c r="AD239" s="586"/>
      <c r="AE239" s="587" t="str">
        <f t="shared" si="77"/>
        <v/>
      </c>
    </row>
    <row r="240" spans="2:31">
      <c r="B240" s="586" t="s">
        <v>357</v>
      </c>
      <c r="C240" s="587">
        <v>1.95</v>
      </c>
      <c r="D240" s="588" t="s">
        <v>957</v>
      </c>
      <c r="E240" s="587">
        <v>1.6</v>
      </c>
      <c r="F240" s="587">
        <f>C240*E240</f>
        <v>3.12</v>
      </c>
      <c r="G240" s="587">
        <f>(C240+E240)*2</f>
        <v>7.1</v>
      </c>
      <c r="H240" s="589" t="s">
        <v>957</v>
      </c>
      <c r="I240" s="587">
        <f t="shared" si="83"/>
        <v>3.12</v>
      </c>
      <c r="J240" s="589" t="s">
        <v>957</v>
      </c>
      <c r="K240" s="587">
        <f t="shared" si="75"/>
        <v>7.1</v>
      </c>
      <c r="L240" s="587"/>
      <c r="M240" s="587" t="str">
        <f t="shared" si="84"/>
        <v/>
      </c>
      <c r="N240" s="587"/>
      <c r="O240" s="587" t="str">
        <f t="shared" si="85"/>
        <v/>
      </c>
      <c r="P240" s="587"/>
      <c r="Q240" s="587" t="str">
        <f t="shared" si="76"/>
        <v/>
      </c>
      <c r="R240" s="587"/>
      <c r="S240" s="587" t="str">
        <f t="shared" si="86"/>
        <v/>
      </c>
      <c r="T240" s="587"/>
      <c r="U240" s="587" t="str">
        <f t="shared" si="87"/>
        <v/>
      </c>
      <c r="V240" s="587" t="s">
        <v>957</v>
      </c>
      <c r="W240" s="587">
        <f t="shared" si="88"/>
        <v>3.12</v>
      </c>
      <c r="X240" s="587"/>
      <c r="Y240" s="587" t="str">
        <f t="shared" si="80"/>
        <v/>
      </c>
      <c r="Z240" s="587"/>
      <c r="AA240" s="587" t="str">
        <f t="shared" si="78"/>
        <v/>
      </c>
      <c r="AB240" s="587"/>
      <c r="AC240" s="587" t="str">
        <f t="shared" si="79"/>
        <v/>
      </c>
      <c r="AD240" s="586"/>
      <c r="AE240" s="587" t="str">
        <f t="shared" si="77"/>
        <v/>
      </c>
    </row>
    <row r="241" spans="2:31">
      <c r="B241" s="586" t="s">
        <v>356</v>
      </c>
      <c r="C241" s="587">
        <v>1.95</v>
      </c>
      <c r="D241" s="588" t="s">
        <v>957</v>
      </c>
      <c r="E241" s="587">
        <v>1.6</v>
      </c>
      <c r="F241" s="587">
        <f>C241*E241</f>
        <v>3.12</v>
      </c>
      <c r="G241" s="587">
        <f>(C241+E241)*2</f>
        <v>7.1</v>
      </c>
      <c r="H241" s="589" t="s">
        <v>957</v>
      </c>
      <c r="I241" s="587">
        <f t="shared" si="83"/>
        <v>3.12</v>
      </c>
      <c r="J241" s="589" t="s">
        <v>957</v>
      </c>
      <c r="K241" s="587">
        <f t="shared" si="75"/>
        <v>7.1</v>
      </c>
      <c r="L241" s="587"/>
      <c r="M241" s="587" t="str">
        <f t="shared" si="84"/>
        <v/>
      </c>
      <c r="N241" s="587"/>
      <c r="O241" s="587" t="str">
        <f t="shared" si="85"/>
        <v/>
      </c>
      <c r="P241" s="587"/>
      <c r="Q241" s="587" t="str">
        <f t="shared" si="76"/>
        <v/>
      </c>
      <c r="R241" s="587"/>
      <c r="S241" s="587" t="str">
        <f t="shared" si="86"/>
        <v/>
      </c>
      <c r="T241" s="587"/>
      <c r="U241" s="587" t="str">
        <f t="shared" si="87"/>
        <v/>
      </c>
      <c r="V241" s="587" t="s">
        <v>957</v>
      </c>
      <c r="W241" s="587">
        <f t="shared" si="88"/>
        <v>3.12</v>
      </c>
      <c r="X241" s="587"/>
      <c r="Y241" s="587" t="str">
        <f t="shared" si="80"/>
        <v/>
      </c>
      <c r="Z241" s="587"/>
      <c r="AA241" s="587" t="str">
        <f t="shared" si="78"/>
        <v/>
      </c>
      <c r="AB241" s="587"/>
      <c r="AC241" s="587" t="str">
        <f t="shared" si="79"/>
        <v/>
      </c>
      <c r="AD241" s="586"/>
      <c r="AE241" s="587" t="str">
        <f t="shared" si="77"/>
        <v/>
      </c>
    </row>
    <row r="242" spans="2:31">
      <c r="B242" s="586" t="s">
        <v>307</v>
      </c>
      <c r="C242" s="587">
        <v>2.25</v>
      </c>
      <c r="D242" s="588" t="s">
        <v>957</v>
      </c>
      <c r="E242" s="587">
        <v>3.65</v>
      </c>
      <c r="F242" s="587">
        <f>C242*E242</f>
        <v>8.2125000000000004</v>
      </c>
      <c r="G242" s="587">
        <f>(C242+E242)*2</f>
        <v>11.8</v>
      </c>
      <c r="H242" s="589"/>
      <c r="I242" s="587" t="str">
        <f t="shared" si="83"/>
        <v/>
      </c>
      <c r="J242" s="589"/>
      <c r="K242" s="587" t="str">
        <f t="shared" si="75"/>
        <v/>
      </c>
      <c r="L242" s="587" t="s">
        <v>952</v>
      </c>
      <c r="M242" s="587">
        <f t="shared" si="84"/>
        <v>8.2125000000000004</v>
      </c>
      <c r="N242" s="587"/>
      <c r="O242" s="587" t="str">
        <f t="shared" si="85"/>
        <v/>
      </c>
      <c r="P242" s="587"/>
      <c r="Q242" s="587" t="str">
        <f t="shared" si="76"/>
        <v/>
      </c>
      <c r="R242" s="587"/>
      <c r="S242" s="587" t="str">
        <f t="shared" si="86"/>
        <v/>
      </c>
      <c r="T242" s="587"/>
      <c r="U242" s="587" t="str">
        <f t="shared" si="87"/>
        <v/>
      </c>
      <c r="V242" s="587" t="s">
        <v>957</v>
      </c>
      <c r="W242" s="587">
        <f t="shared" si="88"/>
        <v>8.2125000000000004</v>
      </c>
      <c r="X242" s="587"/>
      <c r="Y242" s="587" t="str">
        <f t="shared" si="80"/>
        <v/>
      </c>
      <c r="Z242" s="587"/>
      <c r="AA242" s="587" t="str">
        <f t="shared" si="78"/>
        <v/>
      </c>
      <c r="AB242" s="587"/>
      <c r="AC242" s="587" t="str">
        <f t="shared" si="79"/>
        <v/>
      </c>
      <c r="AD242" s="586"/>
      <c r="AE242" s="587" t="str">
        <f t="shared" si="77"/>
        <v/>
      </c>
    </row>
    <row r="243" spans="2:31">
      <c r="B243" s="586" t="s">
        <v>462</v>
      </c>
      <c r="C243" s="587"/>
      <c r="D243" s="588"/>
      <c r="E243" s="587"/>
      <c r="F243" s="587">
        <v>162.69999999999999</v>
      </c>
      <c r="G243" s="587">
        <v>107.3</v>
      </c>
      <c r="H243" s="589" t="s">
        <v>957</v>
      </c>
      <c r="I243" s="587">
        <f t="shared" si="83"/>
        <v>162.69999999999999</v>
      </c>
      <c r="J243" s="589" t="s">
        <v>957</v>
      </c>
      <c r="K243" s="587">
        <f t="shared" si="75"/>
        <v>107.3</v>
      </c>
      <c r="L243" s="587"/>
      <c r="M243" s="587" t="str">
        <f t="shared" si="84"/>
        <v/>
      </c>
      <c r="N243" s="587"/>
      <c r="O243" s="587" t="str">
        <f t="shared" si="85"/>
        <v/>
      </c>
      <c r="P243" s="587"/>
      <c r="Q243" s="587" t="str">
        <f t="shared" si="76"/>
        <v/>
      </c>
      <c r="R243" s="587"/>
      <c r="S243" s="587" t="str">
        <f t="shared" si="86"/>
        <v/>
      </c>
      <c r="T243" s="587"/>
      <c r="U243" s="587" t="str">
        <f t="shared" si="87"/>
        <v/>
      </c>
      <c r="V243" s="587"/>
      <c r="W243" s="587" t="str">
        <f t="shared" si="88"/>
        <v/>
      </c>
      <c r="X243" s="587" t="s">
        <v>957</v>
      </c>
      <c r="Y243" s="587">
        <f t="shared" si="80"/>
        <v>162.69999999999999</v>
      </c>
      <c r="Z243" s="587"/>
      <c r="AA243" s="587" t="str">
        <f t="shared" si="78"/>
        <v/>
      </c>
      <c r="AB243" s="587"/>
      <c r="AC243" s="587" t="str">
        <f t="shared" si="79"/>
        <v/>
      </c>
      <c r="AD243" s="586"/>
      <c r="AE243" s="587" t="str">
        <f t="shared" si="77"/>
        <v/>
      </c>
    </row>
    <row r="244" spans="2:31">
      <c r="B244" s="586" t="s">
        <v>463</v>
      </c>
      <c r="C244" s="587">
        <v>2.72</v>
      </c>
      <c r="D244" s="588" t="s">
        <v>957</v>
      </c>
      <c r="E244" s="587">
        <v>6.2</v>
      </c>
      <c r="F244" s="587">
        <f t="shared" ref="F244:F252" si="89">C244*E244</f>
        <v>16.864000000000001</v>
      </c>
      <c r="G244" s="587">
        <f t="shared" ref="G244:G252" si="90">(C244+E244)*2</f>
        <v>17.84</v>
      </c>
      <c r="H244" s="589" t="s">
        <v>957</v>
      </c>
      <c r="I244" s="587">
        <f t="shared" si="83"/>
        <v>16.864000000000001</v>
      </c>
      <c r="J244" s="589" t="s">
        <v>957</v>
      </c>
      <c r="K244" s="587">
        <f t="shared" si="75"/>
        <v>17.84</v>
      </c>
      <c r="L244" s="587"/>
      <c r="M244" s="587" t="str">
        <f t="shared" si="84"/>
        <v/>
      </c>
      <c r="N244" s="587"/>
      <c r="O244" s="587" t="str">
        <f t="shared" si="85"/>
        <v/>
      </c>
      <c r="P244" s="587"/>
      <c r="Q244" s="587" t="str">
        <f t="shared" si="76"/>
        <v/>
      </c>
      <c r="R244" s="587"/>
      <c r="S244" s="587" t="str">
        <f t="shared" si="86"/>
        <v/>
      </c>
      <c r="T244" s="587"/>
      <c r="U244" s="587" t="str">
        <f t="shared" si="87"/>
        <v/>
      </c>
      <c r="V244" s="587" t="s">
        <v>957</v>
      </c>
      <c r="W244" s="587">
        <f t="shared" si="88"/>
        <v>16.864000000000001</v>
      </c>
      <c r="X244" s="587"/>
      <c r="Y244" s="587" t="str">
        <f t="shared" si="80"/>
        <v/>
      </c>
      <c r="Z244" s="587"/>
      <c r="AA244" s="587" t="str">
        <f t="shared" si="78"/>
        <v/>
      </c>
      <c r="AB244" s="587"/>
      <c r="AC244" s="587" t="str">
        <f t="shared" si="79"/>
        <v/>
      </c>
      <c r="AD244" s="586"/>
      <c r="AE244" s="587" t="str">
        <f t="shared" si="77"/>
        <v/>
      </c>
    </row>
    <row r="245" spans="2:31">
      <c r="B245" s="586" t="s">
        <v>464</v>
      </c>
      <c r="C245" s="587">
        <v>3.67</v>
      </c>
      <c r="D245" s="588" t="s">
        <v>957</v>
      </c>
      <c r="E245" s="587">
        <v>6.2</v>
      </c>
      <c r="F245" s="587">
        <f t="shared" si="89"/>
        <v>22.754000000000001</v>
      </c>
      <c r="G245" s="587">
        <f t="shared" si="90"/>
        <v>19.740000000000002</v>
      </c>
      <c r="H245" s="589" t="s">
        <v>957</v>
      </c>
      <c r="I245" s="587">
        <f t="shared" si="83"/>
        <v>22.754000000000001</v>
      </c>
      <c r="J245" s="589" t="s">
        <v>957</v>
      </c>
      <c r="K245" s="587">
        <f t="shared" si="75"/>
        <v>19.740000000000002</v>
      </c>
      <c r="L245" s="587"/>
      <c r="M245" s="587" t="str">
        <f t="shared" si="84"/>
        <v/>
      </c>
      <c r="N245" s="587"/>
      <c r="O245" s="587" t="str">
        <f t="shared" si="85"/>
        <v/>
      </c>
      <c r="P245" s="587"/>
      <c r="Q245" s="587" t="str">
        <f t="shared" si="76"/>
        <v/>
      </c>
      <c r="R245" s="587"/>
      <c r="S245" s="587" t="str">
        <f t="shared" si="86"/>
        <v/>
      </c>
      <c r="T245" s="587"/>
      <c r="U245" s="587" t="str">
        <f t="shared" si="87"/>
        <v/>
      </c>
      <c r="V245" s="587"/>
      <c r="W245" s="587" t="str">
        <f t="shared" si="88"/>
        <v/>
      </c>
      <c r="X245" s="587" t="s">
        <v>957</v>
      </c>
      <c r="Y245" s="587">
        <f t="shared" si="80"/>
        <v>22.754000000000001</v>
      </c>
      <c r="Z245" s="587"/>
      <c r="AA245" s="587" t="str">
        <f t="shared" si="78"/>
        <v/>
      </c>
      <c r="AB245" s="587"/>
      <c r="AC245" s="587" t="str">
        <f t="shared" si="79"/>
        <v/>
      </c>
      <c r="AD245" s="586"/>
      <c r="AE245" s="587" t="str">
        <f t="shared" si="77"/>
        <v/>
      </c>
    </row>
    <row r="246" spans="2:31">
      <c r="B246" s="586" t="s">
        <v>465</v>
      </c>
      <c r="C246" s="587">
        <v>10.8</v>
      </c>
      <c r="D246" s="588" t="s">
        <v>957</v>
      </c>
      <c r="E246" s="587">
        <v>3.1</v>
      </c>
      <c r="F246" s="587">
        <f t="shared" si="89"/>
        <v>33.480000000000004</v>
      </c>
      <c r="G246" s="587">
        <f t="shared" si="90"/>
        <v>27.8</v>
      </c>
      <c r="H246" s="589" t="s">
        <v>957</v>
      </c>
      <c r="I246" s="587">
        <f t="shared" si="83"/>
        <v>33.480000000000004</v>
      </c>
      <c r="J246" s="589" t="s">
        <v>957</v>
      </c>
      <c r="K246" s="587">
        <f t="shared" si="75"/>
        <v>27.8</v>
      </c>
      <c r="L246" s="587"/>
      <c r="M246" s="587" t="str">
        <f t="shared" ref="M246:M310" si="91">IF(L246="x",$F246,"")</f>
        <v/>
      </c>
      <c r="N246" s="587"/>
      <c r="O246" s="587" t="str">
        <f t="shared" si="85"/>
        <v/>
      </c>
      <c r="P246" s="587"/>
      <c r="Q246" s="587" t="str">
        <f t="shared" si="76"/>
        <v/>
      </c>
      <c r="R246" s="587"/>
      <c r="S246" s="587" t="str">
        <f t="shared" si="86"/>
        <v/>
      </c>
      <c r="T246" s="587"/>
      <c r="U246" s="587" t="str">
        <f t="shared" si="87"/>
        <v/>
      </c>
      <c r="V246" s="587" t="s">
        <v>957</v>
      </c>
      <c r="W246" s="587">
        <f t="shared" si="88"/>
        <v>33.480000000000004</v>
      </c>
      <c r="X246" s="587"/>
      <c r="Y246" s="587" t="str">
        <f t="shared" si="80"/>
        <v/>
      </c>
      <c r="Z246" s="587"/>
      <c r="AA246" s="587" t="str">
        <f t="shared" si="78"/>
        <v/>
      </c>
      <c r="AB246" s="587"/>
      <c r="AC246" s="587" t="str">
        <f t="shared" si="79"/>
        <v/>
      </c>
      <c r="AD246" s="586"/>
      <c r="AE246" s="587" t="str">
        <f t="shared" si="77"/>
        <v/>
      </c>
    </row>
    <row r="247" spans="2:31">
      <c r="B247" s="586" t="s">
        <v>466</v>
      </c>
      <c r="C247" s="587">
        <v>9.25</v>
      </c>
      <c r="D247" s="588" t="s">
        <v>957</v>
      </c>
      <c r="E247" s="587">
        <v>2.9</v>
      </c>
      <c r="F247" s="587">
        <f t="shared" si="89"/>
        <v>26.824999999999999</v>
      </c>
      <c r="G247" s="587">
        <f t="shared" si="90"/>
        <v>24.3</v>
      </c>
      <c r="H247" s="589" t="s">
        <v>957</v>
      </c>
      <c r="I247" s="587">
        <f t="shared" si="83"/>
        <v>26.824999999999999</v>
      </c>
      <c r="J247" s="589" t="s">
        <v>957</v>
      </c>
      <c r="K247" s="587">
        <f t="shared" si="75"/>
        <v>24.3</v>
      </c>
      <c r="L247" s="587"/>
      <c r="M247" s="587" t="str">
        <f t="shared" si="91"/>
        <v/>
      </c>
      <c r="N247" s="587"/>
      <c r="O247" s="587" t="str">
        <f t="shared" si="85"/>
        <v/>
      </c>
      <c r="P247" s="587"/>
      <c r="Q247" s="587" t="str">
        <f t="shared" si="76"/>
        <v/>
      </c>
      <c r="R247" s="587"/>
      <c r="S247" s="587" t="str">
        <f t="shared" si="86"/>
        <v/>
      </c>
      <c r="T247" s="587"/>
      <c r="U247" s="587" t="str">
        <f t="shared" si="87"/>
        <v/>
      </c>
      <c r="V247" s="587" t="s">
        <v>957</v>
      </c>
      <c r="W247" s="587">
        <f t="shared" si="88"/>
        <v>26.824999999999999</v>
      </c>
      <c r="X247" s="587"/>
      <c r="Y247" s="587" t="str">
        <f t="shared" si="80"/>
        <v/>
      </c>
      <c r="Z247" s="587"/>
      <c r="AA247" s="587" t="str">
        <f t="shared" si="78"/>
        <v/>
      </c>
      <c r="AB247" s="587"/>
      <c r="AC247" s="587" t="str">
        <f t="shared" si="79"/>
        <v/>
      </c>
      <c r="AD247" s="586"/>
      <c r="AE247" s="587" t="str">
        <f t="shared" si="77"/>
        <v/>
      </c>
    </row>
    <row r="248" spans="2:31">
      <c r="B248" s="586" t="s">
        <v>467</v>
      </c>
      <c r="C248" s="587">
        <v>4.8600000000000003</v>
      </c>
      <c r="D248" s="588" t="s">
        <v>957</v>
      </c>
      <c r="E248" s="587">
        <v>2.5</v>
      </c>
      <c r="F248" s="587">
        <f t="shared" si="89"/>
        <v>12.15</v>
      </c>
      <c r="G248" s="587">
        <f t="shared" si="90"/>
        <v>14.72</v>
      </c>
      <c r="H248" s="589"/>
      <c r="I248" s="587" t="str">
        <f t="shared" si="83"/>
        <v/>
      </c>
      <c r="J248" s="589"/>
      <c r="K248" s="587" t="str">
        <f t="shared" si="75"/>
        <v/>
      </c>
      <c r="L248" s="587"/>
      <c r="M248" s="587" t="str">
        <f t="shared" si="91"/>
        <v/>
      </c>
      <c r="N248" s="587" t="s">
        <v>957</v>
      </c>
      <c r="O248" s="587">
        <f t="shared" si="85"/>
        <v>12.15</v>
      </c>
      <c r="P248" s="587" t="s">
        <v>957</v>
      </c>
      <c r="Q248" s="587">
        <f t="shared" si="76"/>
        <v>14.72</v>
      </c>
      <c r="R248" s="587"/>
      <c r="S248" s="587" t="str">
        <f t="shared" si="86"/>
        <v/>
      </c>
      <c r="T248" s="587"/>
      <c r="U248" s="587" t="str">
        <f t="shared" si="87"/>
        <v/>
      </c>
      <c r="V248" s="587" t="s">
        <v>957</v>
      </c>
      <c r="W248" s="587">
        <f t="shared" si="88"/>
        <v>12.15</v>
      </c>
      <c r="X248" s="587"/>
      <c r="Y248" s="587" t="str">
        <f t="shared" si="80"/>
        <v/>
      </c>
      <c r="Z248" s="587"/>
      <c r="AA248" s="587" t="str">
        <f t="shared" si="78"/>
        <v/>
      </c>
      <c r="AB248" s="587"/>
      <c r="AC248" s="587" t="str">
        <f t="shared" si="79"/>
        <v/>
      </c>
      <c r="AD248" s="586"/>
      <c r="AE248" s="587" t="str">
        <f t="shared" si="77"/>
        <v/>
      </c>
    </row>
    <row r="249" spans="2:31">
      <c r="B249" s="586" t="s">
        <v>423</v>
      </c>
      <c r="C249" s="587">
        <v>4.24</v>
      </c>
      <c r="D249" s="588" t="s">
        <v>957</v>
      </c>
      <c r="E249" s="587">
        <v>3.85</v>
      </c>
      <c r="F249" s="587">
        <f t="shared" si="89"/>
        <v>16.324000000000002</v>
      </c>
      <c r="G249" s="587">
        <f t="shared" si="90"/>
        <v>16.18</v>
      </c>
      <c r="H249" s="589"/>
      <c r="I249" s="587" t="str">
        <f t="shared" si="83"/>
        <v/>
      </c>
      <c r="J249" s="589"/>
      <c r="K249" s="587" t="str">
        <f t="shared" si="75"/>
        <v/>
      </c>
      <c r="L249" s="587"/>
      <c r="M249" s="587" t="str">
        <f t="shared" si="91"/>
        <v/>
      </c>
      <c r="N249" s="587" t="s">
        <v>957</v>
      </c>
      <c r="O249" s="587">
        <f t="shared" si="85"/>
        <v>16.324000000000002</v>
      </c>
      <c r="P249" s="587" t="s">
        <v>957</v>
      </c>
      <c r="Q249" s="587">
        <f t="shared" si="76"/>
        <v>16.18</v>
      </c>
      <c r="R249" s="587"/>
      <c r="S249" s="587" t="str">
        <f t="shared" si="86"/>
        <v/>
      </c>
      <c r="T249" s="587"/>
      <c r="U249" s="587" t="str">
        <f t="shared" si="87"/>
        <v/>
      </c>
      <c r="V249" s="587" t="s">
        <v>957</v>
      </c>
      <c r="W249" s="587">
        <f t="shared" si="88"/>
        <v>16.324000000000002</v>
      </c>
      <c r="X249" s="587"/>
      <c r="Y249" s="587" t="str">
        <f t="shared" si="80"/>
        <v/>
      </c>
      <c r="Z249" s="587"/>
      <c r="AA249" s="587" t="str">
        <f t="shared" si="78"/>
        <v/>
      </c>
      <c r="AB249" s="587"/>
      <c r="AC249" s="587" t="str">
        <f t="shared" si="79"/>
        <v/>
      </c>
      <c r="AD249" s="586"/>
      <c r="AE249" s="587" t="str">
        <f t="shared" si="77"/>
        <v/>
      </c>
    </row>
    <row r="250" spans="2:31">
      <c r="B250" s="586" t="s">
        <v>315</v>
      </c>
      <c r="C250" s="587">
        <v>1.4</v>
      </c>
      <c r="D250" s="588" t="s">
        <v>957</v>
      </c>
      <c r="E250" s="587">
        <v>6.92</v>
      </c>
      <c r="F250" s="587">
        <f t="shared" si="89"/>
        <v>9.6879999999999988</v>
      </c>
      <c r="G250" s="587">
        <f t="shared" si="90"/>
        <v>16.64</v>
      </c>
      <c r="H250" s="589"/>
      <c r="I250" s="587" t="str">
        <f t="shared" si="83"/>
        <v/>
      </c>
      <c r="J250" s="589"/>
      <c r="K250" s="587" t="str">
        <f t="shared" si="75"/>
        <v/>
      </c>
      <c r="L250" s="587"/>
      <c r="M250" s="587" t="str">
        <f t="shared" si="91"/>
        <v/>
      </c>
      <c r="N250" s="587" t="s">
        <v>957</v>
      </c>
      <c r="O250" s="587">
        <f t="shared" si="85"/>
        <v>9.6879999999999988</v>
      </c>
      <c r="P250" s="587" t="s">
        <v>957</v>
      </c>
      <c r="Q250" s="587">
        <f t="shared" si="76"/>
        <v>16.64</v>
      </c>
      <c r="R250" s="587"/>
      <c r="S250" s="587" t="str">
        <f t="shared" si="86"/>
        <v/>
      </c>
      <c r="T250" s="587"/>
      <c r="U250" s="587" t="str">
        <f t="shared" si="87"/>
        <v/>
      </c>
      <c r="V250" s="587" t="s">
        <v>957</v>
      </c>
      <c r="W250" s="587">
        <f t="shared" si="88"/>
        <v>9.6879999999999988</v>
      </c>
      <c r="X250" s="587"/>
      <c r="Y250" s="587" t="str">
        <f t="shared" si="80"/>
        <v/>
      </c>
      <c r="Z250" s="587"/>
      <c r="AA250" s="587" t="str">
        <f t="shared" si="78"/>
        <v/>
      </c>
      <c r="AB250" s="587"/>
      <c r="AC250" s="587" t="str">
        <f t="shared" si="79"/>
        <v/>
      </c>
      <c r="AD250" s="586"/>
      <c r="AE250" s="587" t="str">
        <f t="shared" si="77"/>
        <v/>
      </c>
    </row>
    <row r="251" spans="2:31">
      <c r="B251" s="586" t="s">
        <v>468</v>
      </c>
      <c r="C251" s="587">
        <v>7.21</v>
      </c>
      <c r="D251" s="588" t="s">
        <v>957</v>
      </c>
      <c r="E251" s="587">
        <v>5.0999999999999996</v>
      </c>
      <c r="F251" s="587">
        <f t="shared" si="89"/>
        <v>36.771000000000001</v>
      </c>
      <c r="G251" s="587">
        <f t="shared" si="90"/>
        <v>24.619999999999997</v>
      </c>
      <c r="H251" s="589" t="s">
        <v>957</v>
      </c>
      <c r="I251" s="587">
        <f t="shared" si="83"/>
        <v>36.771000000000001</v>
      </c>
      <c r="J251" s="589" t="s">
        <v>957</v>
      </c>
      <c r="K251" s="587">
        <f t="shared" si="75"/>
        <v>24.619999999999997</v>
      </c>
      <c r="L251" s="587"/>
      <c r="M251" s="587" t="str">
        <f t="shared" si="91"/>
        <v/>
      </c>
      <c r="N251" s="587"/>
      <c r="O251" s="587" t="str">
        <f t="shared" si="85"/>
        <v/>
      </c>
      <c r="P251" s="587"/>
      <c r="Q251" s="587" t="str">
        <f t="shared" si="76"/>
        <v/>
      </c>
      <c r="R251" s="587"/>
      <c r="S251" s="587" t="str">
        <f t="shared" si="86"/>
        <v/>
      </c>
      <c r="T251" s="587"/>
      <c r="U251" s="587" t="str">
        <f t="shared" si="87"/>
        <v/>
      </c>
      <c r="V251" s="587" t="s">
        <v>957</v>
      </c>
      <c r="W251" s="587">
        <f t="shared" si="88"/>
        <v>36.771000000000001</v>
      </c>
      <c r="X251" s="587"/>
      <c r="Y251" s="587" t="str">
        <f t="shared" si="80"/>
        <v/>
      </c>
      <c r="Z251" s="587"/>
      <c r="AA251" s="587" t="str">
        <f t="shared" si="78"/>
        <v/>
      </c>
      <c r="AB251" s="587"/>
      <c r="AC251" s="587" t="str">
        <f t="shared" si="79"/>
        <v/>
      </c>
      <c r="AD251" s="586"/>
      <c r="AE251" s="587" t="str">
        <f t="shared" si="77"/>
        <v/>
      </c>
    </row>
    <row r="252" spans="2:31">
      <c r="B252" s="586" t="s">
        <v>468</v>
      </c>
      <c r="C252" s="587">
        <v>7.21</v>
      </c>
      <c r="D252" s="588" t="s">
        <v>957</v>
      </c>
      <c r="E252" s="587">
        <v>5.0999999999999996</v>
      </c>
      <c r="F252" s="587">
        <f t="shared" si="89"/>
        <v>36.771000000000001</v>
      </c>
      <c r="G252" s="587">
        <f t="shared" si="90"/>
        <v>24.619999999999997</v>
      </c>
      <c r="H252" s="589" t="s">
        <v>957</v>
      </c>
      <c r="I252" s="587">
        <f t="shared" si="83"/>
        <v>36.771000000000001</v>
      </c>
      <c r="J252" s="589" t="s">
        <v>957</v>
      </c>
      <c r="K252" s="587">
        <f t="shared" si="75"/>
        <v>24.619999999999997</v>
      </c>
      <c r="L252" s="587"/>
      <c r="M252" s="587" t="str">
        <f t="shared" si="91"/>
        <v/>
      </c>
      <c r="N252" s="587"/>
      <c r="O252" s="587" t="str">
        <f t="shared" si="85"/>
        <v/>
      </c>
      <c r="P252" s="587"/>
      <c r="Q252" s="587" t="str">
        <f t="shared" si="76"/>
        <v/>
      </c>
      <c r="R252" s="587"/>
      <c r="S252" s="587" t="str">
        <f t="shared" si="86"/>
        <v/>
      </c>
      <c r="T252" s="587"/>
      <c r="U252" s="587" t="str">
        <f t="shared" si="87"/>
        <v/>
      </c>
      <c r="V252" s="587" t="s">
        <v>957</v>
      </c>
      <c r="W252" s="587">
        <f t="shared" si="88"/>
        <v>36.771000000000001</v>
      </c>
      <c r="X252" s="587"/>
      <c r="Y252" s="587" t="str">
        <f t="shared" si="80"/>
        <v/>
      </c>
      <c r="Z252" s="587"/>
      <c r="AA252" s="587" t="str">
        <f t="shared" si="78"/>
        <v/>
      </c>
      <c r="AB252" s="587"/>
      <c r="AC252" s="587" t="str">
        <f t="shared" si="79"/>
        <v/>
      </c>
      <c r="AD252" s="586"/>
      <c r="AE252" s="587" t="str">
        <f t="shared" si="77"/>
        <v/>
      </c>
    </row>
    <row r="253" spans="2:31">
      <c r="B253" s="586" t="s">
        <v>469</v>
      </c>
      <c r="C253" s="587"/>
      <c r="D253" s="588"/>
      <c r="E253" s="587"/>
      <c r="F253" s="587">
        <v>43.18</v>
      </c>
      <c r="G253" s="587">
        <v>25.72</v>
      </c>
      <c r="H253" s="589"/>
      <c r="I253" s="587" t="str">
        <f t="shared" si="83"/>
        <v/>
      </c>
      <c r="J253" s="589"/>
      <c r="K253" s="587" t="str">
        <f t="shared" si="75"/>
        <v/>
      </c>
      <c r="L253" s="587"/>
      <c r="M253" s="587" t="str">
        <f t="shared" si="91"/>
        <v/>
      </c>
      <c r="N253" s="587" t="s">
        <v>957</v>
      </c>
      <c r="O253" s="587">
        <f t="shared" si="85"/>
        <v>43.18</v>
      </c>
      <c r="P253" s="587" t="s">
        <v>957</v>
      </c>
      <c r="Q253" s="587">
        <f t="shared" si="76"/>
        <v>25.72</v>
      </c>
      <c r="R253" s="587"/>
      <c r="S253" s="587" t="str">
        <f t="shared" si="86"/>
        <v/>
      </c>
      <c r="T253" s="587"/>
      <c r="U253" s="587" t="str">
        <f t="shared" si="87"/>
        <v/>
      </c>
      <c r="V253" s="587" t="s">
        <v>957</v>
      </c>
      <c r="W253" s="587">
        <f t="shared" si="88"/>
        <v>43.18</v>
      </c>
      <c r="X253" s="587"/>
      <c r="Y253" s="587" t="str">
        <f t="shared" si="80"/>
        <v/>
      </c>
      <c r="Z253" s="587"/>
      <c r="AA253" s="587" t="str">
        <f t="shared" si="78"/>
        <v/>
      </c>
      <c r="AB253" s="587"/>
      <c r="AC253" s="587" t="str">
        <f t="shared" si="79"/>
        <v/>
      </c>
      <c r="AD253" s="586"/>
      <c r="AE253" s="587" t="str">
        <f t="shared" si="77"/>
        <v/>
      </c>
    </row>
    <row r="254" spans="2:31">
      <c r="B254" s="586" t="s">
        <v>470</v>
      </c>
      <c r="C254" s="587">
        <v>4.8600000000000003</v>
      </c>
      <c r="D254" s="588" t="s">
        <v>957</v>
      </c>
      <c r="E254" s="587">
        <v>1.35</v>
      </c>
      <c r="F254" s="587">
        <f>C254*E254</f>
        <v>6.5610000000000008</v>
      </c>
      <c r="G254" s="587">
        <f>(C254+E254)*2</f>
        <v>12.420000000000002</v>
      </c>
      <c r="H254" s="589"/>
      <c r="I254" s="587" t="str">
        <f t="shared" si="83"/>
        <v/>
      </c>
      <c r="J254" s="589"/>
      <c r="K254" s="587" t="str">
        <f t="shared" si="75"/>
        <v/>
      </c>
      <c r="L254" s="587"/>
      <c r="M254" s="587" t="str">
        <f t="shared" si="91"/>
        <v/>
      </c>
      <c r="N254" s="587" t="s">
        <v>957</v>
      </c>
      <c r="O254" s="587">
        <f t="shared" si="85"/>
        <v>6.5610000000000008</v>
      </c>
      <c r="P254" s="587" t="s">
        <v>957</v>
      </c>
      <c r="Q254" s="587">
        <f t="shared" si="76"/>
        <v>12.420000000000002</v>
      </c>
      <c r="R254" s="587"/>
      <c r="S254" s="587" t="str">
        <f t="shared" si="86"/>
        <v/>
      </c>
      <c r="T254" s="587"/>
      <c r="U254" s="587" t="str">
        <f t="shared" si="87"/>
        <v/>
      </c>
      <c r="V254" s="587" t="s">
        <v>957</v>
      </c>
      <c r="W254" s="587">
        <f t="shared" si="88"/>
        <v>6.5610000000000008</v>
      </c>
      <c r="X254" s="587"/>
      <c r="Y254" s="587" t="str">
        <f t="shared" si="80"/>
        <v/>
      </c>
      <c r="Z254" s="587"/>
      <c r="AA254" s="587" t="str">
        <f t="shared" si="78"/>
        <v/>
      </c>
      <c r="AB254" s="587"/>
      <c r="AC254" s="587" t="str">
        <f t="shared" si="79"/>
        <v/>
      </c>
      <c r="AD254" s="586"/>
      <c r="AE254" s="587" t="str">
        <f t="shared" si="77"/>
        <v/>
      </c>
    </row>
    <row r="255" spans="2:31">
      <c r="B255" s="586" t="s">
        <v>407</v>
      </c>
      <c r="C255" s="587">
        <v>3.95</v>
      </c>
      <c r="D255" s="588" t="s">
        <v>957</v>
      </c>
      <c r="E255" s="587">
        <v>3.22</v>
      </c>
      <c r="F255" s="587">
        <f>C255*E255</f>
        <v>12.719000000000001</v>
      </c>
      <c r="G255" s="587">
        <f>(C255+E255)*2</f>
        <v>14.34</v>
      </c>
      <c r="H255" s="589" t="s">
        <v>957</v>
      </c>
      <c r="I255" s="587">
        <f t="shared" si="83"/>
        <v>12.719000000000001</v>
      </c>
      <c r="J255" s="589" t="s">
        <v>957</v>
      </c>
      <c r="K255" s="587">
        <f t="shared" si="75"/>
        <v>14.34</v>
      </c>
      <c r="L255" s="587"/>
      <c r="M255" s="587" t="str">
        <f t="shared" si="91"/>
        <v/>
      </c>
      <c r="N255" s="587"/>
      <c r="O255" s="587" t="str">
        <f t="shared" si="85"/>
        <v/>
      </c>
      <c r="P255" s="587"/>
      <c r="Q255" s="587" t="str">
        <f t="shared" si="76"/>
        <v/>
      </c>
      <c r="R255" s="587"/>
      <c r="S255" s="587" t="str">
        <f t="shared" si="86"/>
        <v/>
      </c>
      <c r="T255" s="587"/>
      <c r="U255" s="587" t="str">
        <f t="shared" si="87"/>
        <v/>
      </c>
      <c r="V255" s="587" t="s">
        <v>957</v>
      </c>
      <c r="W255" s="587">
        <f t="shared" si="88"/>
        <v>12.719000000000001</v>
      </c>
      <c r="X255" s="587"/>
      <c r="Y255" s="587" t="str">
        <f t="shared" si="80"/>
        <v/>
      </c>
      <c r="Z255" s="587"/>
      <c r="AA255" s="587" t="str">
        <f t="shared" si="78"/>
        <v/>
      </c>
      <c r="AB255" s="587"/>
      <c r="AC255" s="587" t="str">
        <f t="shared" si="79"/>
        <v/>
      </c>
      <c r="AD255" s="586"/>
      <c r="AE255" s="587" t="str">
        <f t="shared" si="77"/>
        <v/>
      </c>
    </row>
    <row r="256" spans="2:31">
      <c r="B256" s="586" t="s">
        <v>471</v>
      </c>
      <c r="C256" s="587">
        <v>3.95</v>
      </c>
      <c r="D256" s="588" t="s">
        <v>957</v>
      </c>
      <c r="E256" s="587">
        <v>3.22</v>
      </c>
      <c r="F256" s="587">
        <f>C256*E256</f>
        <v>12.719000000000001</v>
      </c>
      <c r="G256" s="587">
        <f>(C256+E256)*2</f>
        <v>14.34</v>
      </c>
      <c r="H256" s="589"/>
      <c r="I256" s="587" t="str">
        <f t="shared" si="83"/>
        <v/>
      </c>
      <c r="J256" s="589"/>
      <c r="K256" s="587" t="str">
        <f t="shared" si="75"/>
        <v/>
      </c>
      <c r="L256" s="587"/>
      <c r="M256" s="587" t="str">
        <f t="shared" si="91"/>
        <v/>
      </c>
      <c r="N256" s="587" t="s">
        <v>957</v>
      </c>
      <c r="O256" s="587">
        <f t="shared" si="85"/>
        <v>12.719000000000001</v>
      </c>
      <c r="P256" s="587" t="s">
        <v>957</v>
      </c>
      <c r="Q256" s="587">
        <f t="shared" si="76"/>
        <v>14.34</v>
      </c>
      <c r="R256" s="587"/>
      <c r="S256" s="587" t="str">
        <f t="shared" si="86"/>
        <v/>
      </c>
      <c r="T256" s="587"/>
      <c r="U256" s="587" t="str">
        <f t="shared" si="87"/>
        <v/>
      </c>
      <c r="V256" s="587" t="s">
        <v>957</v>
      </c>
      <c r="W256" s="587">
        <f t="shared" si="88"/>
        <v>12.719000000000001</v>
      </c>
      <c r="X256" s="587"/>
      <c r="Y256" s="587" t="str">
        <f t="shared" si="80"/>
        <v/>
      </c>
      <c r="Z256" s="587"/>
      <c r="AA256" s="587" t="str">
        <f t="shared" si="78"/>
        <v/>
      </c>
      <c r="AB256" s="587"/>
      <c r="AC256" s="587" t="str">
        <f t="shared" si="79"/>
        <v/>
      </c>
      <c r="AD256" s="586"/>
      <c r="AE256" s="587" t="str">
        <f t="shared" si="77"/>
        <v/>
      </c>
    </row>
    <row r="257" spans="2:31">
      <c r="B257" s="586" t="s">
        <v>462</v>
      </c>
      <c r="C257" s="587"/>
      <c r="D257" s="588"/>
      <c r="E257" s="587"/>
      <c r="F257" s="587">
        <v>73.599999999999994</v>
      </c>
      <c r="G257" s="587">
        <v>55.02</v>
      </c>
      <c r="H257" s="589"/>
      <c r="I257" s="587" t="str">
        <f t="shared" si="83"/>
        <v/>
      </c>
      <c r="J257" s="589"/>
      <c r="K257" s="587" t="str">
        <f t="shared" si="75"/>
        <v/>
      </c>
      <c r="L257" s="587"/>
      <c r="M257" s="587" t="str">
        <f t="shared" si="91"/>
        <v/>
      </c>
      <c r="N257" s="587" t="s">
        <v>957</v>
      </c>
      <c r="O257" s="587">
        <f t="shared" si="85"/>
        <v>73.599999999999994</v>
      </c>
      <c r="P257" s="587" t="s">
        <v>957</v>
      </c>
      <c r="Q257" s="587">
        <f t="shared" si="76"/>
        <v>55.02</v>
      </c>
      <c r="R257" s="587"/>
      <c r="S257" s="587" t="str">
        <f t="shared" si="86"/>
        <v/>
      </c>
      <c r="T257" s="587"/>
      <c r="U257" s="587" t="str">
        <f t="shared" si="87"/>
        <v/>
      </c>
      <c r="V257" s="587"/>
      <c r="W257" s="587" t="str">
        <f t="shared" si="88"/>
        <v/>
      </c>
      <c r="X257" s="587" t="s">
        <v>957</v>
      </c>
      <c r="Y257" s="587">
        <f t="shared" si="80"/>
        <v>73.599999999999994</v>
      </c>
      <c r="Z257" s="587"/>
      <c r="AA257" s="587" t="str">
        <f t="shared" si="78"/>
        <v/>
      </c>
      <c r="AB257" s="587"/>
      <c r="AC257" s="587" t="str">
        <f t="shared" si="79"/>
        <v/>
      </c>
      <c r="AD257" s="586"/>
      <c r="AE257" s="587" t="str">
        <f t="shared" si="77"/>
        <v/>
      </c>
    </row>
    <row r="258" spans="2:31">
      <c r="B258" s="586" t="s">
        <v>472</v>
      </c>
      <c r="C258" s="587">
        <v>4.3</v>
      </c>
      <c r="D258" s="588" t="s">
        <v>957</v>
      </c>
      <c r="E258" s="587">
        <v>3.45</v>
      </c>
      <c r="F258" s="587">
        <f>C258*E258</f>
        <v>14.835000000000001</v>
      </c>
      <c r="G258" s="587">
        <f>(C258+E258)*2</f>
        <v>15.5</v>
      </c>
      <c r="H258" s="589"/>
      <c r="I258" s="587" t="str">
        <f t="shared" si="83"/>
        <v/>
      </c>
      <c r="J258" s="589"/>
      <c r="K258" s="587" t="str">
        <f t="shared" si="75"/>
        <v/>
      </c>
      <c r="L258" s="587"/>
      <c r="M258" s="587" t="str">
        <f t="shared" si="91"/>
        <v/>
      </c>
      <c r="N258" s="587" t="s">
        <v>957</v>
      </c>
      <c r="O258" s="587">
        <f t="shared" si="85"/>
        <v>14.835000000000001</v>
      </c>
      <c r="P258" s="587" t="s">
        <v>957</v>
      </c>
      <c r="Q258" s="587">
        <f t="shared" si="76"/>
        <v>15.5</v>
      </c>
      <c r="R258" s="587"/>
      <c r="S258" s="587" t="str">
        <f t="shared" si="86"/>
        <v/>
      </c>
      <c r="T258" s="587"/>
      <c r="U258" s="587" t="str">
        <f t="shared" si="87"/>
        <v/>
      </c>
      <c r="V258" s="587" t="s">
        <v>957</v>
      </c>
      <c r="W258" s="587">
        <f t="shared" si="88"/>
        <v>14.835000000000001</v>
      </c>
      <c r="X258" s="587"/>
      <c r="Y258" s="587" t="str">
        <f t="shared" si="80"/>
        <v/>
      </c>
      <c r="Z258" s="587"/>
      <c r="AA258" s="587" t="str">
        <f t="shared" si="78"/>
        <v/>
      </c>
      <c r="AB258" s="587"/>
      <c r="AC258" s="587" t="str">
        <f t="shared" si="79"/>
        <v/>
      </c>
      <c r="AD258" s="586"/>
      <c r="AE258" s="587" t="str">
        <f t="shared" si="77"/>
        <v/>
      </c>
    </row>
    <row r="259" spans="2:31">
      <c r="B259" s="586" t="s">
        <v>473</v>
      </c>
      <c r="C259" s="587">
        <v>3.95</v>
      </c>
      <c r="D259" s="588" t="s">
        <v>957</v>
      </c>
      <c r="E259" s="587">
        <v>3.45</v>
      </c>
      <c r="F259" s="587">
        <f>C259*E259</f>
        <v>13.627500000000001</v>
      </c>
      <c r="G259" s="587">
        <f>(C259+E259)*2</f>
        <v>14.8</v>
      </c>
      <c r="H259" s="589"/>
      <c r="I259" s="587" t="str">
        <f t="shared" si="83"/>
        <v/>
      </c>
      <c r="J259" s="589"/>
      <c r="K259" s="587" t="str">
        <f t="shared" si="75"/>
        <v/>
      </c>
      <c r="L259" s="587"/>
      <c r="M259" s="587" t="str">
        <f t="shared" si="91"/>
        <v/>
      </c>
      <c r="N259" s="587" t="s">
        <v>957</v>
      </c>
      <c r="O259" s="587">
        <f t="shared" si="85"/>
        <v>13.627500000000001</v>
      </c>
      <c r="P259" s="587" t="s">
        <v>957</v>
      </c>
      <c r="Q259" s="587">
        <f t="shared" si="76"/>
        <v>14.8</v>
      </c>
      <c r="R259" s="587"/>
      <c r="S259" s="587" t="str">
        <f t="shared" si="86"/>
        <v/>
      </c>
      <c r="T259" s="587"/>
      <c r="U259" s="587" t="str">
        <f t="shared" si="87"/>
        <v/>
      </c>
      <c r="V259" s="587" t="s">
        <v>957</v>
      </c>
      <c r="W259" s="587">
        <f t="shared" si="88"/>
        <v>13.627500000000001</v>
      </c>
      <c r="X259" s="587"/>
      <c r="Y259" s="587" t="str">
        <f t="shared" si="80"/>
        <v/>
      </c>
      <c r="Z259" s="587"/>
      <c r="AA259" s="587" t="str">
        <f t="shared" si="78"/>
        <v/>
      </c>
      <c r="AB259" s="587"/>
      <c r="AC259" s="587" t="str">
        <f t="shared" si="79"/>
        <v/>
      </c>
      <c r="AD259" s="586"/>
      <c r="AE259" s="587" t="str">
        <f t="shared" si="77"/>
        <v/>
      </c>
    </row>
    <row r="260" spans="2:31">
      <c r="B260" s="586" t="s">
        <v>474</v>
      </c>
      <c r="C260" s="587"/>
      <c r="D260" s="588"/>
      <c r="E260" s="587"/>
      <c r="F260" s="587">
        <v>26.55</v>
      </c>
      <c r="G260" s="587">
        <v>24.09</v>
      </c>
      <c r="H260" s="589"/>
      <c r="I260" s="587" t="str">
        <f t="shared" si="83"/>
        <v/>
      </c>
      <c r="J260" s="589"/>
      <c r="K260" s="587" t="str">
        <f t="shared" si="75"/>
        <v/>
      </c>
      <c r="L260" s="587"/>
      <c r="M260" s="587" t="str">
        <f t="shared" si="91"/>
        <v/>
      </c>
      <c r="N260" s="587" t="s">
        <v>957</v>
      </c>
      <c r="O260" s="587">
        <f t="shared" si="85"/>
        <v>26.55</v>
      </c>
      <c r="P260" s="587" t="s">
        <v>957</v>
      </c>
      <c r="Q260" s="587">
        <f t="shared" si="76"/>
        <v>24.09</v>
      </c>
      <c r="R260" s="587"/>
      <c r="S260" s="587" t="str">
        <f t="shared" si="86"/>
        <v/>
      </c>
      <c r="T260" s="587"/>
      <c r="U260" s="587" t="str">
        <f t="shared" si="87"/>
        <v/>
      </c>
      <c r="V260" s="587" t="s">
        <v>957</v>
      </c>
      <c r="W260" s="587">
        <f t="shared" si="88"/>
        <v>26.55</v>
      </c>
      <c r="X260" s="587"/>
      <c r="Y260" s="587" t="str">
        <f t="shared" si="80"/>
        <v/>
      </c>
      <c r="Z260" s="587"/>
      <c r="AA260" s="587" t="str">
        <f t="shared" si="78"/>
        <v/>
      </c>
      <c r="AB260" s="587"/>
      <c r="AC260" s="587" t="str">
        <f t="shared" si="79"/>
        <v/>
      </c>
      <c r="AD260" s="586"/>
      <c r="AE260" s="587" t="str">
        <f t="shared" si="77"/>
        <v/>
      </c>
    </row>
    <row r="261" spans="2:31">
      <c r="B261" s="586" t="s">
        <v>475</v>
      </c>
      <c r="C261" s="587"/>
      <c r="D261" s="588"/>
      <c r="E261" s="587"/>
      <c r="F261" s="587">
        <v>2.41</v>
      </c>
      <c r="G261" s="587"/>
      <c r="H261" s="589"/>
      <c r="I261" s="587" t="str">
        <f t="shared" si="83"/>
        <v/>
      </c>
      <c r="J261" s="589"/>
      <c r="K261" s="587" t="str">
        <f t="shared" si="75"/>
        <v/>
      </c>
      <c r="L261" s="587"/>
      <c r="M261" s="587" t="str">
        <f t="shared" si="91"/>
        <v/>
      </c>
      <c r="N261" s="587" t="s">
        <v>957</v>
      </c>
      <c r="O261" s="587">
        <f t="shared" si="85"/>
        <v>2.41</v>
      </c>
      <c r="P261" s="587" t="s">
        <v>957</v>
      </c>
      <c r="Q261" s="587">
        <f t="shared" si="76"/>
        <v>0</v>
      </c>
      <c r="R261" s="587"/>
      <c r="S261" s="587" t="str">
        <f t="shared" si="86"/>
        <v/>
      </c>
      <c r="T261" s="587"/>
      <c r="U261" s="587" t="str">
        <f t="shared" si="87"/>
        <v/>
      </c>
      <c r="V261" s="587" t="s">
        <v>957</v>
      </c>
      <c r="W261" s="587">
        <f t="shared" si="88"/>
        <v>2.41</v>
      </c>
      <c r="X261" s="587"/>
      <c r="Y261" s="587" t="str">
        <f t="shared" si="80"/>
        <v/>
      </c>
      <c r="Z261" s="587"/>
      <c r="AA261" s="587" t="str">
        <f t="shared" si="78"/>
        <v/>
      </c>
      <c r="AB261" s="587"/>
      <c r="AC261" s="587" t="str">
        <f t="shared" si="79"/>
        <v/>
      </c>
      <c r="AD261" s="586"/>
      <c r="AE261" s="587" t="str">
        <f t="shared" si="77"/>
        <v/>
      </c>
    </row>
    <row r="262" spans="2:31">
      <c r="B262" s="586" t="s">
        <v>475</v>
      </c>
      <c r="C262" s="587"/>
      <c r="D262" s="588"/>
      <c r="E262" s="587"/>
      <c r="F262" s="587">
        <v>2.41</v>
      </c>
      <c r="G262" s="587"/>
      <c r="H262" s="589"/>
      <c r="I262" s="587" t="str">
        <f t="shared" si="83"/>
        <v/>
      </c>
      <c r="J262" s="589"/>
      <c r="K262" s="587" t="str">
        <f t="shared" ref="K262:K326" si="92">IF(J262="x",G262,"")</f>
        <v/>
      </c>
      <c r="L262" s="587"/>
      <c r="M262" s="587" t="str">
        <f t="shared" si="91"/>
        <v/>
      </c>
      <c r="N262" s="587" t="s">
        <v>957</v>
      </c>
      <c r="O262" s="587">
        <f t="shared" si="85"/>
        <v>2.41</v>
      </c>
      <c r="P262" s="587" t="s">
        <v>957</v>
      </c>
      <c r="Q262" s="587">
        <f t="shared" ref="Q262:Q326" si="93">IF(P262="x",G262,"")</f>
        <v>0</v>
      </c>
      <c r="R262" s="587"/>
      <c r="S262" s="587" t="str">
        <f t="shared" si="86"/>
        <v/>
      </c>
      <c r="T262" s="587"/>
      <c r="U262" s="587" t="str">
        <f t="shared" si="87"/>
        <v/>
      </c>
      <c r="V262" s="587" t="s">
        <v>957</v>
      </c>
      <c r="W262" s="587">
        <f t="shared" si="88"/>
        <v>2.41</v>
      </c>
      <c r="X262" s="587"/>
      <c r="Y262" s="587" t="str">
        <f t="shared" si="80"/>
        <v/>
      </c>
      <c r="Z262" s="587"/>
      <c r="AA262" s="587" t="str">
        <f t="shared" si="78"/>
        <v/>
      </c>
      <c r="AB262" s="587"/>
      <c r="AC262" s="587" t="str">
        <f t="shared" si="79"/>
        <v/>
      </c>
      <c r="AD262" s="586"/>
      <c r="AE262" s="587" t="str">
        <f t="shared" ref="AE262:AE326" si="94">IF(AD262="x",F262,"")</f>
        <v/>
      </c>
    </row>
    <row r="263" spans="2:31">
      <c r="B263" s="586" t="s">
        <v>476</v>
      </c>
      <c r="C263" s="587">
        <v>7.11</v>
      </c>
      <c r="D263" s="588" t="s">
        <v>957</v>
      </c>
      <c r="E263" s="587">
        <v>5</v>
      </c>
      <c r="F263" s="587">
        <f>C263*E263</f>
        <v>35.550000000000004</v>
      </c>
      <c r="G263" s="587">
        <f>(C263+E263)*2</f>
        <v>24.22</v>
      </c>
      <c r="H263" s="589"/>
      <c r="I263" s="587" t="str">
        <f t="shared" si="83"/>
        <v/>
      </c>
      <c r="J263" s="589"/>
      <c r="K263" s="587" t="str">
        <f t="shared" si="92"/>
        <v/>
      </c>
      <c r="L263" s="587"/>
      <c r="M263" s="587" t="str">
        <f t="shared" si="91"/>
        <v/>
      </c>
      <c r="N263" s="587" t="s">
        <v>957</v>
      </c>
      <c r="O263" s="587">
        <f t="shared" si="85"/>
        <v>35.550000000000004</v>
      </c>
      <c r="P263" s="587" t="s">
        <v>957</v>
      </c>
      <c r="Q263" s="587">
        <f t="shared" si="93"/>
        <v>24.22</v>
      </c>
      <c r="R263" s="587"/>
      <c r="S263" s="587" t="str">
        <f t="shared" si="86"/>
        <v/>
      </c>
      <c r="T263" s="587"/>
      <c r="U263" s="587" t="str">
        <f t="shared" si="87"/>
        <v/>
      </c>
      <c r="V263" s="587" t="s">
        <v>957</v>
      </c>
      <c r="W263" s="587">
        <f t="shared" si="88"/>
        <v>35.550000000000004</v>
      </c>
      <c r="X263" s="587"/>
      <c r="Y263" s="587" t="str">
        <f t="shared" si="80"/>
        <v/>
      </c>
      <c r="Z263" s="587"/>
      <c r="AA263" s="587" t="str">
        <f t="shared" si="78"/>
        <v/>
      </c>
      <c r="AB263" s="587"/>
      <c r="AC263" s="587" t="str">
        <f t="shared" si="79"/>
        <v/>
      </c>
      <c r="AD263" s="586"/>
      <c r="AE263" s="587" t="str">
        <f t="shared" si="94"/>
        <v/>
      </c>
    </row>
    <row r="264" spans="2:31">
      <c r="B264" s="586" t="s">
        <v>477</v>
      </c>
      <c r="C264" s="587"/>
      <c r="D264" s="588"/>
      <c r="E264" s="587"/>
      <c r="F264" s="587">
        <v>24</v>
      </c>
      <c r="G264" s="587">
        <v>21.78</v>
      </c>
      <c r="H264" s="589"/>
      <c r="I264" s="587" t="str">
        <f t="shared" si="83"/>
        <v/>
      </c>
      <c r="J264" s="589"/>
      <c r="K264" s="587" t="str">
        <f t="shared" si="92"/>
        <v/>
      </c>
      <c r="L264" s="587"/>
      <c r="M264" s="587" t="str">
        <f t="shared" si="91"/>
        <v/>
      </c>
      <c r="N264" s="587" t="s">
        <v>957</v>
      </c>
      <c r="O264" s="587">
        <f t="shared" si="85"/>
        <v>24</v>
      </c>
      <c r="P264" s="587" t="s">
        <v>957</v>
      </c>
      <c r="Q264" s="587">
        <f t="shared" si="93"/>
        <v>21.78</v>
      </c>
      <c r="R264" s="587"/>
      <c r="S264" s="587" t="str">
        <f t="shared" si="86"/>
        <v/>
      </c>
      <c r="T264" s="587"/>
      <c r="U264" s="587" t="str">
        <f t="shared" si="87"/>
        <v/>
      </c>
      <c r="V264" s="587" t="s">
        <v>957</v>
      </c>
      <c r="W264" s="587">
        <f t="shared" si="88"/>
        <v>24</v>
      </c>
      <c r="X264" s="587"/>
      <c r="Y264" s="587" t="str">
        <f t="shared" si="80"/>
        <v/>
      </c>
      <c r="Z264" s="587"/>
      <c r="AA264" s="587" t="str">
        <f t="shared" si="78"/>
        <v/>
      </c>
      <c r="AB264" s="587"/>
      <c r="AC264" s="587" t="str">
        <f t="shared" si="79"/>
        <v/>
      </c>
      <c r="AD264" s="586"/>
      <c r="AE264" s="587" t="str">
        <f t="shared" si="94"/>
        <v/>
      </c>
    </row>
    <row r="265" spans="2:31">
      <c r="B265" s="586" t="s">
        <v>428</v>
      </c>
      <c r="C265" s="587"/>
      <c r="D265" s="588"/>
      <c r="E265" s="587"/>
      <c r="F265" s="587">
        <v>4.6500000000000004</v>
      </c>
      <c r="G265" s="587">
        <v>9.1999999999999993</v>
      </c>
      <c r="H265" s="589" t="s">
        <v>957</v>
      </c>
      <c r="I265" s="587">
        <f t="shared" si="83"/>
        <v>4.6500000000000004</v>
      </c>
      <c r="J265" s="589" t="s">
        <v>957</v>
      </c>
      <c r="K265" s="587">
        <f t="shared" si="92"/>
        <v>9.1999999999999993</v>
      </c>
      <c r="L265" s="587"/>
      <c r="M265" s="587" t="str">
        <f t="shared" si="91"/>
        <v/>
      </c>
      <c r="N265" s="587"/>
      <c r="O265" s="587" t="str">
        <f t="shared" si="85"/>
        <v/>
      </c>
      <c r="P265" s="587"/>
      <c r="Q265" s="587" t="str">
        <f t="shared" si="93"/>
        <v/>
      </c>
      <c r="R265" s="587"/>
      <c r="S265" s="587" t="str">
        <f t="shared" si="86"/>
        <v/>
      </c>
      <c r="T265" s="587"/>
      <c r="U265" s="587" t="str">
        <f t="shared" si="87"/>
        <v/>
      </c>
      <c r="V265" s="587" t="s">
        <v>957</v>
      </c>
      <c r="W265" s="587">
        <f t="shared" si="88"/>
        <v>4.6500000000000004</v>
      </c>
      <c r="X265" s="587"/>
      <c r="Y265" s="587" t="str">
        <f t="shared" si="80"/>
        <v/>
      </c>
      <c r="Z265" s="587"/>
      <c r="AA265" s="587" t="str">
        <f t="shared" si="78"/>
        <v/>
      </c>
      <c r="AB265" s="587"/>
      <c r="AC265" s="587" t="str">
        <f t="shared" si="79"/>
        <v/>
      </c>
      <c r="AD265" s="586"/>
      <c r="AE265" s="587" t="str">
        <f t="shared" si="94"/>
        <v/>
      </c>
    </row>
    <row r="266" spans="2:31">
      <c r="B266" s="586" t="s">
        <v>478</v>
      </c>
      <c r="C266" s="587"/>
      <c r="D266" s="588"/>
      <c r="E266" s="587"/>
      <c r="F266" s="587">
        <v>24</v>
      </c>
      <c r="G266" s="587">
        <v>21.78</v>
      </c>
      <c r="H266" s="589"/>
      <c r="I266" s="587" t="str">
        <f t="shared" si="83"/>
        <v/>
      </c>
      <c r="J266" s="589"/>
      <c r="K266" s="587" t="str">
        <f t="shared" si="92"/>
        <v/>
      </c>
      <c r="L266" s="587"/>
      <c r="M266" s="587" t="str">
        <f t="shared" si="91"/>
        <v/>
      </c>
      <c r="N266" s="587" t="s">
        <v>957</v>
      </c>
      <c r="O266" s="587">
        <f t="shared" si="85"/>
        <v>24</v>
      </c>
      <c r="P266" s="587" t="s">
        <v>957</v>
      </c>
      <c r="Q266" s="587">
        <f t="shared" si="93"/>
        <v>21.78</v>
      </c>
      <c r="R266" s="587"/>
      <c r="S266" s="587" t="str">
        <f t="shared" si="86"/>
        <v/>
      </c>
      <c r="T266" s="587"/>
      <c r="U266" s="587" t="str">
        <f t="shared" si="87"/>
        <v/>
      </c>
      <c r="V266" s="587" t="s">
        <v>957</v>
      </c>
      <c r="W266" s="587">
        <f t="shared" si="88"/>
        <v>24</v>
      </c>
      <c r="X266" s="587"/>
      <c r="Y266" s="587" t="str">
        <f t="shared" si="80"/>
        <v/>
      </c>
      <c r="Z266" s="587"/>
      <c r="AA266" s="587" t="str">
        <f t="shared" si="78"/>
        <v/>
      </c>
      <c r="AB266" s="587"/>
      <c r="AC266" s="587" t="str">
        <f t="shared" si="79"/>
        <v/>
      </c>
      <c r="AD266" s="586"/>
      <c r="AE266" s="587" t="str">
        <f t="shared" si="94"/>
        <v/>
      </c>
    </row>
    <row r="267" spans="2:31">
      <c r="B267" s="586" t="s">
        <v>428</v>
      </c>
      <c r="C267" s="587"/>
      <c r="D267" s="588"/>
      <c r="E267" s="587"/>
      <c r="F267" s="587">
        <v>4.6500000000000004</v>
      </c>
      <c r="G267" s="587">
        <v>9.1999999999999993</v>
      </c>
      <c r="H267" s="589" t="s">
        <v>957</v>
      </c>
      <c r="I267" s="587">
        <f t="shared" si="83"/>
        <v>4.6500000000000004</v>
      </c>
      <c r="J267" s="589" t="s">
        <v>957</v>
      </c>
      <c r="K267" s="587">
        <f t="shared" si="92"/>
        <v>9.1999999999999993</v>
      </c>
      <c r="L267" s="587"/>
      <c r="M267" s="587" t="str">
        <f t="shared" si="91"/>
        <v/>
      </c>
      <c r="N267" s="587"/>
      <c r="O267" s="587" t="str">
        <f t="shared" si="85"/>
        <v/>
      </c>
      <c r="P267" s="587"/>
      <c r="Q267" s="587" t="str">
        <f t="shared" si="93"/>
        <v/>
      </c>
      <c r="R267" s="587"/>
      <c r="S267" s="587" t="str">
        <f t="shared" si="86"/>
        <v/>
      </c>
      <c r="T267" s="587"/>
      <c r="U267" s="587" t="str">
        <f t="shared" si="87"/>
        <v/>
      </c>
      <c r="V267" s="587" t="s">
        <v>957</v>
      </c>
      <c r="W267" s="587">
        <f t="shared" si="88"/>
        <v>4.6500000000000004</v>
      </c>
      <c r="X267" s="587"/>
      <c r="Y267" s="587" t="str">
        <f t="shared" si="80"/>
        <v/>
      </c>
      <c r="Z267" s="587"/>
      <c r="AA267" s="587" t="str">
        <f t="shared" si="78"/>
        <v/>
      </c>
      <c r="AB267" s="587"/>
      <c r="AC267" s="587" t="str">
        <f t="shared" si="79"/>
        <v/>
      </c>
      <c r="AD267" s="586"/>
      <c r="AE267" s="587" t="str">
        <f t="shared" si="94"/>
        <v/>
      </c>
    </row>
    <row r="268" spans="2:31">
      <c r="B268" s="586" t="s">
        <v>479</v>
      </c>
      <c r="C268" s="587"/>
      <c r="D268" s="588"/>
      <c r="E268" s="587"/>
      <c r="F268" s="587">
        <v>24</v>
      </c>
      <c r="G268" s="587">
        <v>21.78</v>
      </c>
      <c r="H268" s="589"/>
      <c r="I268" s="587" t="str">
        <f t="shared" si="83"/>
        <v/>
      </c>
      <c r="J268" s="589"/>
      <c r="K268" s="587" t="str">
        <f t="shared" si="92"/>
        <v/>
      </c>
      <c r="L268" s="587"/>
      <c r="M268" s="587" t="str">
        <f t="shared" si="91"/>
        <v/>
      </c>
      <c r="N268" s="587" t="s">
        <v>957</v>
      </c>
      <c r="O268" s="587">
        <f t="shared" si="85"/>
        <v>24</v>
      </c>
      <c r="P268" s="587" t="s">
        <v>957</v>
      </c>
      <c r="Q268" s="587">
        <f t="shared" si="93"/>
        <v>21.78</v>
      </c>
      <c r="R268" s="587"/>
      <c r="S268" s="587" t="str">
        <f t="shared" si="86"/>
        <v/>
      </c>
      <c r="T268" s="587"/>
      <c r="U268" s="587" t="str">
        <f t="shared" si="87"/>
        <v/>
      </c>
      <c r="V268" s="587" t="s">
        <v>957</v>
      </c>
      <c r="W268" s="587">
        <f t="shared" si="88"/>
        <v>24</v>
      </c>
      <c r="X268" s="587"/>
      <c r="Y268" s="587" t="str">
        <f t="shared" si="80"/>
        <v/>
      </c>
      <c r="Z268" s="587"/>
      <c r="AA268" s="587" t="str">
        <f t="shared" ref="AA268:AA333" si="95">IF(Z268="x",F268,"")</f>
        <v/>
      </c>
      <c r="AB268" s="587"/>
      <c r="AC268" s="587" t="str">
        <f t="shared" ref="AC268:AC333" si="96">IF(AB268="x",F268,"")</f>
        <v/>
      </c>
      <c r="AD268" s="586"/>
      <c r="AE268" s="587" t="str">
        <f t="shared" si="94"/>
        <v/>
      </c>
    </row>
    <row r="269" spans="2:31">
      <c r="B269" s="586" t="s">
        <v>428</v>
      </c>
      <c r="C269" s="587"/>
      <c r="D269" s="588"/>
      <c r="E269" s="587"/>
      <c r="F269" s="587">
        <v>4.6500000000000004</v>
      </c>
      <c r="G269" s="587">
        <v>9.1999999999999993</v>
      </c>
      <c r="H269" s="589" t="s">
        <v>957</v>
      </c>
      <c r="I269" s="587">
        <f t="shared" si="83"/>
        <v>4.6500000000000004</v>
      </c>
      <c r="J269" s="589" t="s">
        <v>957</v>
      </c>
      <c r="K269" s="587">
        <f t="shared" si="92"/>
        <v>9.1999999999999993</v>
      </c>
      <c r="L269" s="587"/>
      <c r="M269" s="587" t="str">
        <f t="shared" si="91"/>
        <v/>
      </c>
      <c r="N269" s="587"/>
      <c r="O269" s="587" t="str">
        <f t="shared" si="85"/>
        <v/>
      </c>
      <c r="P269" s="587"/>
      <c r="Q269" s="587" t="str">
        <f t="shared" si="93"/>
        <v/>
      </c>
      <c r="R269" s="587"/>
      <c r="S269" s="587" t="str">
        <f t="shared" si="86"/>
        <v/>
      </c>
      <c r="T269" s="587"/>
      <c r="U269" s="587" t="str">
        <f t="shared" si="87"/>
        <v/>
      </c>
      <c r="V269" s="587" t="s">
        <v>957</v>
      </c>
      <c r="W269" s="587">
        <f t="shared" si="88"/>
        <v>4.6500000000000004</v>
      </c>
      <c r="X269" s="587"/>
      <c r="Y269" s="587" t="str">
        <f t="shared" si="80"/>
        <v/>
      </c>
      <c r="Z269" s="587"/>
      <c r="AA269" s="587" t="str">
        <f t="shared" si="95"/>
        <v/>
      </c>
      <c r="AB269" s="587"/>
      <c r="AC269" s="587" t="str">
        <f t="shared" si="96"/>
        <v/>
      </c>
      <c r="AD269" s="586"/>
      <c r="AE269" s="587" t="str">
        <f t="shared" si="94"/>
        <v/>
      </c>
    </row>
    <row r="270" spans="2:31">
      <c r="B270" s="586" t="s">
        <v>480</v>
      </c>
      <c r="C270" s="587"/>
      <c r="D270" s="588"/>
      <c r="E270" s="587"/>
      <c r="F270" s="587">
        <v>24</v>
      </c>
      <c r="G270" s="587">
        <v>21.78</v>
      </c>
      <c r="H270" s="589"/>
      <c r="I270" s="587" t="str">
        <f t="shared" si="83"/>
        <v/>
      </c>
      <c r="J270" s="589"/>
      <c r="K270" s="587" t="str">
        <f t="shared" si="92"/>
        <v/>
      </c>
      <c r="L270" s="587"/>
      <c r="M270" s="587" t="str">
        <f t="shared" si="91"/>
        <v/>
      </c>
      <c r="N270" s="587" t="s">
        <v>957</v>
      </c>
      <c r="O270" s="587">
        <f t="shared" si="85"/>
        <v>24</v>
      </c>
      <c r="P270" s="587" t="s">
        <v>957</v>
      </c>
      <c r="Q270" s="587">
        <f t="shared" si="93"/>
        <v>21.78</v>
      </c>
      <c r="R270" s="587"/>
      <c r="S270" s="587" t="str">
        <f t="shared" si="86"/>
        <v/>
      </c>
      <c r="T270" s="587"/>
      <c r="U270" s="587" t="str">
        <f t="shared" si="87"/>
        <v/>
      </c>
      <c r="V270" s="587" t="s">
        <v>957</v>
      </c>
      <c r="W270" s="587">
        <f t="shared" si="88"/>
        <v>24</v>
      </c>
      <c r="X270" s="587"/>
      <c r="Y270" s="587" t="str">
        <f t="shared" si="80"/>
        <v/>
      </c>
      <c r="Z270" s="587"/>
      <c r="AA270" s="587" t="str">
        <f t="shared" si="95"/>
        <v/>
      </c>
      <c r="AB270" s="587"/>
      <c r="AC270" s="587" t="str">
        <f t="shared" si="96"/>
        <v/>
      </c>
      <c r="AD270" s="586"/>
      <c r="AE270" s="587" t="str">
        <f t="shared" si="94"/>
        <v/>
      </c>
    </row>
    <row r="271" spans="2:31">
      <c r="B271" s="586" t="s">
        <v>428</v>
      </c>
      <c r="C271" s="587"/>
      <c r="D271" s="588"/>
      <c r="E271" s="587"/>
      <c r="F271" s="587">
        <v>4.6500000000000004</v>
      </c>
      <c r="G271" s="587">
        <v>9.1999999999999993</v>
      </c>
      <c r="H271" s="589" t="s">
        <v>957</v>
      </c>
      <c r="I271" s="587">
        <f t="shared" si="83"/>
        <v>4.6500000000000004</v>
      </c>
      <c r="J271" s="589" t="s">
        <v>957</v>
      </c>
      <c r="K271" s="587">
        <f t="shared" si="92"/>
        <v>9.1999999999999993</v>
      </c>
      <c r="L271" s="587"/>
      <c r="M271" s="587" t="str">
        <f t="shared" si="91"/>
        <v/>
      </c>
      <c r="N271" s="587"/>
      <c r="O271" s="587" t="str">
        <f t="shared" si="85"/>
        <v/>
      </c>
      <c r="P271" s="587"/>
      <c r="Q271" s="587" t="str">
        <f t="shared" si="93"/>
        <v/>
      </c>
      <c r="R271" s="587"/>
      <c r="S271" s="587" t="str">
        <f t="shared" si="86"/>
        <v/>
      </c>
      <c r="T271" s="587"/>
      <c r="U271" s="587" t="str">
        <f t="shared" si="87"/>
        <v/>
      </c>
      <c r="V271" s="587" t="s">
        <v>957</v>
      </c>
      <c r="W271" s="587">
        <f t="shared" si="88"/>
        <v>4.6500000000000004</v>
      </c>
      <c r="X271" s="587"/>
      <c r="Y271" s="587" t="str">
        <f t="shared" si="80"/>
        <v/>
      </c>
      <c r="Z271" s="587"/>
      <c r="AA271" s="587" t="str">
        <f t="shared" si="95"/>
        <v/>
      </c>
      <c r="AB271" s="587"/>
      <c r="AC271" s="587" t="str">
        <f t="shared" si="96"/>
        <v/>
      </c>
      <c r="AD271" s="586"/>
      <c r="AE271" s="587" t="str">
        <f t="shared" si="94"/>
        <v/>
      </c>
    </row>
    <row r="272" spans="2:31">
      <c r="B272" s="586" t="s">
        <v>481</v>
      </c>
      <c r="C272" s="587"/>
      <c r="D272" s="588"/>
      <c r="E272" s="587"/>
      <c r="F272" s="587">
        <v>21.59</v>
      </c>
      <c r="G272" s="587">
        <v>18.239999999999998</v>
      </c>
      <c r="H272" s="589"/>
      <c r="I272" s="587" t="str">
        <f>IF(H272="x",F272,"")</f>
        <v/>
      </c>
      <c r="J272" s="589"/>
      <c r="K272" s="587" t="str">
        <f t="shared" si="92"/>
        <v/>
      </c>
      <c r="L272" s="587"/>
      <c r="M272" s="587" t="str">
        <f t="shared" si="91"/>
        <v/>
      </c>
      <c r="N272" s="587"/>
      <c r="O272" s="587" t="str">
        <f>IF(N272="x",F272,"")</f>
        <v/>
      </c>
      <c r="P272" s="587"/>
      <c r="Q272" s="587" t="str">
        <f t="shared" si="93"/>
        <v/>
      </c>
      <c r="R272" s="587" t="s">
        <v>957</v>
      </c>
      <c r="S272" s="587">
        <f>IF(R272="x",F272,"")</f>
        <v>21.59</v>
      </c>
      <c r="T272" s="587"/>
      <c r="U272" s="587" t="str">
        <f t="shared" si="87"/>
        <v/>
      </c>
      <c r="V272" s="587" t="s">
        <v>957</v>
      </c>
      <c r="W272" s="587">
        <f t="shared" si="88"/>
        <v>21.59</v>
      </c>
      <c r="X272" s="587"/>
      <c r="Y272" s="587" t="str">
        <f t="shared" si="80"/>
        <v/>
      </c>
      <c r="Z272" s="587"/>
      <c r="AA272" s="587" t="str">
        <f t="shared" si="95"/>
        <v/>
      </c>
      <c r="AB272" s="587"/>
      <c r="AC272" s="587" t="str">
        <f t="shared" si="96"/>
        <v/>
      </c>
      <c r="AD272" s="586"/>
      <c r="AE272" s="587" t="str">
        <f t="shared" si="94"/>
        <v/>
      </c>
    </row>
    <row r="273" spans="2:31">
      <c r="B273" s="586" t="s">
        <v>482</v>
      </c>
      <c r="C273" s="587"/>
      <c r="D273" s="588"/>
      <c r="E273" s="587"/>
      <c r="F273" s="587">
        <v>21.59</v>
      </c>
      <c r="G273" s="587">
        <v>18.239999999999998</v>
      </c>
      <c r="H273" s="589"/>
      <c r="I273" s="587" t="str">
        <f t="shared" si="83"/>
        <v/>
      </c>
      <c r="J273" s="589"/>
      <c r="K273" s="587" t="str">
        <f t="shared" si="92"/>
        <v/>
      </c>
      <c r="L273" s="587"/>
      <c r="M273" s="587" t="str">
        <f t="shared" si="91"/>
        <v/>
      </c>
      <c r="N273" s="587"/>
      <c r="O273" s="587" t="str">
        <f t="shared" ref="O273:O297" si="97">IF(N273="x",F273,"")</f>
        <v/>
      </c>
      <c r="P273" s="587"/>
      <c r="Q273" s="587" t="str">
        <f t="shared" si="93"/>
        <v/>
      </c>
      <c r="R273" s="587" t="s">
        <v>957</v>
      </c>
      <c r="S273" s="587">
        <f t="shared" ref="S273:S297" si="98">IF(R273="x",F273,"")</f>
        <v>21.59</v>
      </c>
      <c r="T273" s="587"/>
      <c r="U273" s="587" t="str">
        <f t="shared" si="87"/>
        <v/>
      </c>
      <c r="V273" s="587" t="s">
        <v>957</v>
      </c>
      <c r="W273" s="587">
        <f t="shared" si="88"/>
        <v>21.59</v>
      </c>
      <c r="X273" s="587"/>
      <c r="Y273" s="587" t="str">
        <f t="shared" ref="Y273:Y338" si="99">IF(X273="x",F273,"")</f>
        <v/>
      </c>
      <c r="Z273" s="587"/>
      <c r="AA273" s="587" t="str">
        <f t="shared" si="95"/>
        <v/>
      </c>
      <c r="AB273" s="587"/>
      <c r="AC273" s="587" t="str">
        <f t="shared" si="96"/>
        <v/>
      </c>
      <c r="AD273" s="586"/>
      <c r="AE273" s="587" t="str">
        <f t="shared" si="94"/>
        <v/>
      </c>
    </row>
    <row r="274" spans="2:31">
      <c r="B274" s="586" t="s">
        <v>483</v>
      </c>
      <c r="C274" s="587"/>
      <c r="D274" s="588"/>
      <c r="E274" s="587"/>
      <c r="F274" s="587">
        <v>20.93</v>
      </c>
      <c r="G274" s="587">
        <v>17.91</v>
      </c>
      <c r="H274" s="589"/>
      <c r="I274" s="587" t="str">
        <f t="shared" si="83"/>
        <v/>
      </c>
      <c r="J274" s="589"/>
      <c r="K274" s="587" t="str">
        <f t="shared" si="92"/>
        <v/>
      </c>
      <c r="L274" s="587"/>
      <c r="M274" s="587" t="str">
        <f t="shared" si="91"/>
        <v/>
      </c>
      <c r="N274" s="587"/>
      <c r="O274" s="587" t="str">
        <f t="shared" si="97"/>
        <v/>
      </c>
      <c r="P274" s="587"/>
      <c r="Q274" s="587" t="str">
        <f t="shared" si="93"/>
        <v/>
      </c>
      <c r="R274" s="587" t="s">
        <v>957</v>
      </c>
      <c r="S274" s="587">
        <f t="shared" si="98"/>
        <v>20.93</v>
      </c>
      <c r="T274" s="587"/>
      <c r="U274" s="587" t="str">
        <f t="shared" si="87"/>
        <v/>
      </c>
      <c r="V274" s="587" t="s">
        <v>957</v>
      </c>
      <c r="W274" s="587">
        <f t="shared" si="88"/>
        <v>20.93</v>
      </c>
      <c r="X274" s="587"/>
      <c r="Y274" s="587" t="str">
        <f t="shared" si="99"/>
        <v/>
      </c>
      <c r="Z274" s="587"/>
      <c r="AA274" s="587" t="str">
        <f t="shared" si="95"/>
        <v/>
      </c>
      <c r="AB274" s="587"/>
      <c r="AC274" s="587" t="str">
        <f t="shared" si="96"/>
        <v/>
      </c>
      <c r="AD274" s="586"/>
      <c r="AE274" s="587" t="str">
        <f t="shared" si="94"/>
        <v/>
      </c>
    </row>
    <row r="275" spans="2:31">
      <c r="B275" s="586" t="s">
        <v>484</v>
      </c>
      <c r="C275" s="587"/>
      <c r="D275" s="588"/>
      <c r="E275" s="587"/>
      <c r="F275" s="587">
        <v>20.93</v>
      </c>
      <c r="G275" s="587">
        <v>17.91</v>
      </c>
      <c r="H275" s="589"/>
      <c r="I275" s="587" t="str">
        <f t="shared" si="83"/>
        <v/>
      </c>
      <c r="J275" s="589"/>
      <c r="K275" s="587" t="str">
        <f t="shared" si="92"/>
        <v/>
      </c>
      <c r="L275" s="587"/>
      <c r="M275" s="587" t="str">
        <f t="shared" si="91"/>
        <v/>
      </c>
      <c r="N275" s="587"/>
      <c r="O275" s="587" t="str">
        <f t="shared" si="97"/>
        <v/>
      </c>
      <c r="P275" s="587"/>
      <c r="Q275" s="587" t="str">
        <f t="shared" si="93"/>
        <v/>
      </c>
      <c r="R275" s="587" t="s">
        <v>957</v>
      </c>
      <c r="S275" s="587">
        <f t="shared" si="98"/>
        <v>20.93</v>
      </c>
      <c r="T275" s="587"/>
      <c r="U275" s="587" t="str">
        <f t="shared" si="87"/>
        <v/>
      </c>
      <c r="V275" s="587" t="s">
        <v>957</v>
      </c>
      <c r="W275" s="587">
        <f t="shared" si="88"/>
        <v>20.93</v>
      </c>
      <c r="X275" s="587"/>
      <c r="Y275" s="587" t="str">
        <f t="shared" si="99"/>
        <v/>
      </c>
      <c r="Z275" s="587"/>
      <c r="AA275" s="587" t="str">
        <f t="shared" si="95"/>
        <v/>
      </c>
      <c r="AB275" s="587"/>
      <c r="AC275" s="587" t="str">
        <f t="shared" si="96"/>
        <v/>
      </c>
      <c r="AD275" s="586"/>
      <c r="AE275" s="587" t="str">
        <f t="shared" si="94"/>
        <v/>
      </c>
    </row>
    <row r="276" spans="2:31">
      <c r="B276" s="586" t="s">
        <v>485</v>
      </c>
      <c r="C276" s="587"/>
      <c r="D276" s="588"/>
      <c r="E276" s="587"/>
      <c r="F276" s="587">
        <v>20.93</v>
      </c>
      <c r="G276" s="587">
        <v>17.91</v>
      </c>
      <c r="H276" s="589"/>
      <c r="I276" s="587" t="str">
        <f t="shared" si="83"/>
        <v/>
      </c>
      <c r="J276" s="589"/>
      <c r="K276" s="587" t="str">
        <f t="shared" si="92"/>
        <v/>
      </c>
      <c r="L276" s="587"/>
      <c r="M276" s="587" t="str">
        <f t="shared" si="91"/>
        <v/>
      </c>
      <c r="N276" s="587"/>
      <c r="O276" s="587" t="str">
        <f t="shared" si="97"/>
        <v/>
      </c>
      <c r="P276" s="587"/>
      <c r="Q276" s="587" t="str">
        <f t="shared" si="93"/>
        <v/>
      </c>
      <c r="R276" s="587" t="s">
        <v>957</v>
      </c>
      <c r="S276" s="587">
        <f t="shared" si="98"/>
        <v>20.93</v>
      </c>
      <c r="T276" s="587"/>
      <c r="U276" s="587" t="str">
        <f t="shared" si="87"/>
        <v/>
      </c>
      <c r="V276" s="587" t="s">
        <v>957</v>
      </c>
      <c r="W276" s="587">
        <f t="shared" si="88"/>
        <v>20.93</v>
      </c>
      <c r="X276" s="587"/>
      <c r="Y276" s="587" t="str">
        <f t="shared" si="99"/>
        <v/>
      </c>
      <c r="Z276" s="587"/>
      <c r="AA276" s="587" t="str">
        <f t="shared" si="95"/>
        <v/>
      </c>
      <c r="AB276" s="587"/>
      <c r="AC276" s="587" t="str">
        <f t="shared" si="96"/>
        <v/>
      </c>
      <c r="AD276" s="586"/>
      <c r="AE276" s="587" t="str">
        <f t="shared" si="94"/>
        <v/>
      </c>
    </row>
    <row r="277" spans="2:31">
      <c r="B277" s="586" t="s">
        <v>486</v>
      </c>
      <c r="C277" s="587"/>
      <c r="D277" s="588"/>
      <c r="E277" s="587"/>
      <c r="F277" s="587">
        <v>20.93</v>
      </c>
      <c r="G277" s="587">
        <v>17.91</v>
      </c>
      <c r="H277" s="589"/>
      <c r="I277" s="587" t="str">
        <f t="shared" si="83"/>
        <v/>
      </c>
      <c r="J277" s="589"/>
      <c r="K277" s="587" t="str">
        <f t="shared" si="92"/>
        <v/>
      </c>
      <c r="L277" s="587"/>
      <c r="M277" s="587" t="str">
        <f t="shared" si="91"/>
        <v/>
      </c>
      <c r="N277" s="587"/>
      <c r="O277" s="587" t="str">
        <f t="shared" si="97"/>
        <v/>
      </c>
      <c r="P277" s="587"/>
      <c r="Q277" s="587" t="str">
        <f t="shared" si="93"/>
        <v/>
      </c>
      <c r="R277" s="587" t="s">
        <v>957</v>
      </c>
      <c r="S277" s="587">
        <f t="shared" si="98"/>
        <v>20.93</v>
      </c>
      <c r="T277" s="587"/>
      <c r="U277" s="587" t="str">
        <f t="shared" si="87"/>
        <v/>
      </c>
      <c r="V277" s="587" t="s">
        <v>957</v>
      </c>
      <c r="W277" s="587">
        <f t="shared" si="88"/>
        <v>20.93</v>
      </c>
      <c r="X277" s="587"/>
      <c r="Y277" s="587" t="str">
        <f t="shared" si="99"/>
        <v/>
      </c>
      <c r="Z277" s="587"/>
      <c r="AA277" s="587" t="str">
        <f t="shared" si="95"/>
        <v/>
      </c>
      <c r="AB277" s="587"/>
      <c r="AC277" s="587" t="str">
        <f t="shared" si="96"/>
        <v/>
      </c>
      <c r="AD277" s="586"/>
      <c r="AE277" s="587" t="str">
        <f t="shared" si="94"/>
        <v/>
      </c>
    </row>
    <row r="278" spans="2:31">
      <c r="B278" s="586" t="s">
        <v>462</v>
      </c>
      <c r="C278" s="587">
        <v>2.8</v>
      </c>
      <c r="D278" s="588" t="s">
        <v>957</v>
      </c>
      <c r="E278" s="587">
        <v>24.6</v>
      </c>
      <c r="F278" s="587">
        <f>C278*E278</f>
        <v>68.88</v>
      </c>
      <c r="G278" s="587">
        <f>(C278+E278)*2</f>
        <v>54.800000000000004</v>
      </c>
      <c r="H278" s="589"/>
      <c r="I278" s="587" t="str">
        <f t="shared" si="83"/>
        <v/>
      </c>
      <c r="J278" s="589"/>
      <c r="K278" s="587" t="str">
        <f t="shared" si="92"/>
        <v/>
      </c>
      <c r="L278" s="587"/>
      <c r="M278" s="587" t="str">
        <f t="shared" si="91"/>
        <v/>
      </c>
      <c r="N278" s="587" t="s">
        <v>957</v>
      </c>
      <c r="O278" s="587">
        <f t="shared" si="97"/>
        <v>68.88</v>
      </c>
      <c r="P278" s="587" t="s">
        <v>957</v>
      </c>
      <c r="Q278" s="587">
        <f t="shared" si="93"/>
        <v>54.800000000000004</v>
      </c>
      <c r="R278" s="587"/>
      <c r="S278" s="587" t="str">
        <f t="shared" si="98"/>
        <v/>
      </c>
      <c r="T278" s="587"/>
      <c r="U278" s="587" t="str">
        <f t="shared" si="87"/>
        <v/>
      </c>
      <c r="V278" s="587"/>
      <c r="W278" s="587" t="str">
        <f t="shared" si="88"/>
        <v/>
      </c>
      <c r="X278" s="587" t="s">
        <v>957</v>
      </c>
      <c r="Y278" s="587">
        <f t="shared" si="99"/>
        <v>68.88</v>
      </c>
      <c r="Z278" s="587"/>
      <c r="AA278" s="587" t="str">
        <f t="shared" si="95"/>
        <v/>
      </c>
      <c r="AB278" s="587"/>
      <c r="AC278" s="587" t="str">
        <f t="shared" si="96"/>
        <v/>
      </c>
      <c r="AD278" s="586"/>
      <c r="AE278" s="587" t="str">
        <f t="shared" si="94"/>
        <v/>
      </c>
    </row>
    <row r="279" spans="2:31">
      <c r="B279" s="586" t="s">
        <v>487</v>
      </c>
      <c r="C279" s="587">
        <v>20.68</v>
      </c>
      <c r="D279" s="588" t="s">
        <v>957</v>
      </c>
      <c r="E279" s="587">
        <v>5</v>
      </c>
      <c r="F279" s="587">
        <f>C279*E279</f>
        <v>103.4</v>
      </c>
      <c r="G279" s="587">
        <f>(C279+E279)*2</f>
        <v>51.36</v>
      </c>
      <c r="H279" s="589"/>
      <c r="I279" s="587" t="str">
        <f t="shared" si="83"/>
        <v/>
      </c>
      <c r="J279" s="589"/>
      <c r="K279" s="587" t="str">
        <f t="shared" si="92"/>
        <v/>
      </c>
      <c r="L279" s="587"/>
      <c r="M279" s="587" t="str">
        <f t="shared" si="91"/>
        <v/>
      </c>
      <c r="N279" s="587" t="s">
        <v>957</v>
      </c>
      <c r="O279" s="587">
        <f t="shared" si="97"/>
        <v>103.4</v>
      </c>
      <c r="P279" s="587" t="s">
        <v>957</v>
      </c>
      <c r="Q279" s="587">
        <f t="shared" si="93"/>
        <v>51.36</v>
      </c>
      <c r="R279" s="587"/>
      <c r="S279" s="587" t="str">
        <f t="shared" si="98"/>
        <v/>
      </c>
      <c r="T279" s="587"/>
      <c r="U279" s="587" t="str">
        <f t="shared" si="87"/>
        <v/>
      </c>
      <c r="V279" s="587" t="s">
        <v>957</v>
      </c>
      <c r="W279" s="587">
        <f t="shared" si="88"/>
        <v>103.4</v>
      </c>
      <c r="X279" s="587"/>
      <c r="Y279" s="587" t="str">
        <f t="shared" si="99"/>
        <v/>
      </c>
      <c r="Z279" s="587"/>
      <c r="AA279" s="587" t="str">
        <f t="shared" si="95"/>
        <v/>
      </c>
      <c r="AB279" s="587"/>
      <c r="AC279" s="587" t="str">
        <f t="shared" si="96"/>
        <v/>
      </c>
      <c r="AD279" s="586"/>
      <c r="AE279" s="587" t="str">
        <f t="shared" si="94"/>
        <v/>
      </c>
    </row>
    <row r="280" spans="2:31">
      <c r="B280" s="586" t="s">
        <v>474</v>
      </c>
      <c r="C280" s="587">
        <v>4.0199999999999996</v>
      </c>
      <c r="D280" s="588" t="s">
        <v>957</v>
      </c>
      <c r="E280" s="587">
        <v>5</v>
      </c>
      <c r="F280" s="587">
        <f>C280*E280</f>
        <v>20.099999999999998</v>
      </c>
      <c r="G280" s="587">
        <f>(C280+E280)*2</f>
        <v>18.04</v>
      </c>
      <c r="H280" s="589"/>
      <c r="I280" s="587" t="str">
        <f t="shared" si="83"/>
        <v/>
      </c>
      <c r="J280" s="589"/>
      <c r="K280" s="587" t="str">
        <f t="shared" si="92"/>
        <v/>
      </c>
      <c r="L280" s="587"/>
      <c r="M280" s="587" t="str">
        <f t="shared" si="91"/>
        <v/>
      </c>
      <c r="N280" s="587" t="s">
        <v>957</v>
      </c>
      <c r="O280" s="587">
        <f t="shared" si="97"/>
        <v>20.099999999999998</v>
      </c>
      <c r="P280" s="587" t="s">
        <v>957</v>
      </c>
      <c r="Q280" s="587">
        <f t="shared" si="93"/>
        <v>18.04</v>
      </c>
      <c r="R280" s="587"/>
      <c r="S280" s="587" t="str">
        <f t="shared" si="98"/>
        <v/>
      </c>
      <c r="T280" s="587"/>
      <c r="U280" s="587" t="str">
        <f t="shared" si="87"/>
        <v/>
      </c>
      <c r="V280" s="587" t="s">
        <v>957</v>
      </c>
      <c r="W280" s="587">
        <f t="shared" si="88"/>
        <v>20.099999999999998</v>
      </c>
      <c r="X280" s="587"/>
      <c r="Y280" s="587" t="str">
        <f t="shared" si="99"/>
        <v/>
      </c>
      <c r="Z280" s="587"/>
      <c r="AA280" s="587" t="str">
        <f t="shared" si="95"/>
        <v/>
      </c>
      <c r="AB280" s="587"/>
      <c r="AC280" s="587" t="str">
        <f t="shared" si="96"/>
        <v/>
      </c>
      <c r="AD280" s="586"/>
      <c r="AE280" s="587" t="str">
        <f t="shared" si="94"/>
        <v/>
      </c>
    </row>
    <row r="281" spans="2:31">
      <c r="B281" s="586" t="s">
        <v>488</v>
      </c>
      <c r="C281" s="587"/>
      <c r="D281" s="588"/>
      <c r="E281" s="587"/>
      <c r="F281" s="587">
        <v>24</v>
      </c>
      <c r="G281" s="587">
        <v>21.78</v>
      </c>
      <c r="H281" s="589"/>
      <c r="I281" s="587" t="str">
        <f t="shared" si="83"/>
        <v/>
      </c>
      <c r="J281" s="589"/>
      <c r="K281" s="587" t="str">
        <f t="shared" si="92"/>
        <v/>
      </c>
      <c r="L281" s="587"/>
      <c r="M281" s="587" t="str">
        <f t="shared" si="91"/>
        <v/>
      </c>
      <c r="N281" s="587" t="s">
        <v>957</v>
      </c>
      <c r="O281" s="587">
        <f t="shared" si="97"/>
        <v>24</v>
      </c>
      <c r="P281" s="587" t="s">
        <v>957</v>
      </c>
      <c r="Q281" s="587">
        <f t="shared" si="93"/>
        <v>21.78</v>
      </c>
      <c r="R281" s="587"/>
      <c r="S281" s="587" t="str">
        <f t="shared" si="98"/>
        <v/>
      </c>
      <c r="T281" s="587"/>
      <c r="U281" s="587" t="str">
        <f t="shared" si="87"/>
        <v/>
      </c>
      <c r="V281" s="587" t="s">
        <v>957</v>
      </c>
      <c r="W281" s="587">
        <f t="shared" si="88"/>
        <v>24</v>
      </c>
      <c r="X281" s="587"/>
      <c r="Y281" s="587" t="str">
        <f t="shared" si="99"/>
        <v/>
      </c>
      <c r="Z281" s="587"/>
      <c r="AA281" s="587" t="str">
        <f t="shared" si="95"/>
        <v/>
      </c>
      <c r="AB281" s="587"/>
      <c r="AC281" s="587" t="str">
        <f t="shared" si="96"/>
        <v/>
      </c>
      <c r="AD281" s="586"/>
      <c r="AE281" s="587" t="str">
        <f t="shared" si="94"/>
        <v/>
      </c>
    </row>
    <row r="282" spans="2:31">
      <c r="B282" s="586" t="s">
        <v>428</v>
      </c>
      <c r="C282" s="587"/>
      <c r="D282" s="588"/>
      <c r="E282" s="587"/>
      <c r="F282" s="587">
        <v>4.6500000000000004</v>
      </c>
      <c r="G282" s="587">
        <v>9.1999999999999993</v>
      </c>
      <c r="H282" s="589" t="s">
        <v>957</v>
      </c>
      <c r="I282" s="587">
        <f t="shared" si="83"/>
        <v>4.6500000000000004</v>
      </c>
      <c r="J282" s="589" t="s">
        <v>957</v>
      </c>
      <c r="K282" s="587">
        <f t="shared" si="92"/>
        <v>9.1999999999999993</v>
      </c>
      <c r="L282" s="587"/>
      <c r="M282" s="587" t="str">
        <f t="shared" si="91"/>
        <v/>
      </c>
      <c r="N282" s="587"/>
      <c r="O282" s="587" t="str">
        <f t="shared" si="97"/>
        <v/>
      </c>
      <c r="P282" s="587"/>
      <c r="Q282" s="587" t="str">
        <f t="shared" si="93"/>
        <v/>
      </c>
      <c r="R282" s="587"/>
      <c r="S282" s="587" t="str">
        <f t="shared" si="98"/>
        <v/>
      </c>
      <c r="T282" s="587"/>
      <c r="U282" s="587" t="str">
        <f t="shared" si="87"/>
        <v/>
      </c>
      <c r="V282" s="587" t="s">
        <v>957</v>
      </c>
      <c r="W282" s="587">
        <f t="shared" si="88"/>
        <v>4.6500000000000004</v>
      </c>
      <c r="X282" s="587"/>
      <c r="Y282" s="587" t="str">
        <f t="shared" si="99"/>
        <v/>
      </c>
      <c r="Z282" s="587"/>
      <c r="AA282" s="587" t="str">
        <f t="shared" si="95"/>
        <v/>
      </c>
      <c r="AB282" s="587"/>
      <c r="AC282" s="587" t="str">
        <f t="shared" si="96"/>
        <v/>
      </c>
      <c r="AD282" s="586"/>
      <c r="AE282" s="587" t="str">
        <f t="shared" si="94"/>
        <v/>
      </c>
    </row>
    <row r="283" spans="2:31">
      <c r="B283" s="586" t="s">
        <v>489</v>
      </c>
      <c r="C283" s="587"/>
      <c r="D283" s="588"/>
      <c r="E283" s="587"/>
      <c r="F283" s="587">
        <v>24</v>
      </c>
      <c r="G283" s="587">
        <v>21.78</v>
      </c>
      <c r="H283" s="589"/>
      <c r="I283" s="587" t="str">
        <f t="shared" si="83"/>
        <v/>
      </c>
      <c r="J283" s="589"/>
      <c r="K283" s="587" t="str">
        <f t="shared" si="92"/>
        <v/>
      </c>
      <c r="L283" s="587"/>
      <c r="M283" s="587" t="str">
        <f t="shared" si="91"/>
        <v/>
      </c>
      <c r="N283" s="587" t="s">
        <v>957</v>
      </c>
      <c r="O283" s="587">
        <f t="shared" si="97"/>
        <v>24</v>
      </c>
      <c r="P283" s="587" t="s">
        <v>957</v>
      </c>
      <c r="Q283" s="587">
        <f t="shared" si="93"/>
        <v>21.78</v>
      </c>
      <c r="R283" s="587"/>
      <c r="S283" s="587" t="str">
        <f t="shared" si="98"/>
        <v/>
      </c>
      <c r="T283" s="587"/>
      <c r="U283" s="587" t="str">
        <f t="shared" si="87"/>
        <v/>
      </c>
      <c r="V283" s="587" t="s">
        <v>957</v>
      </c>
      <c r="W283" s="587">
        <f t="shared" si="88"/>
        <v>24</v>
      </c>
      <c r="X283" s="587"/>
      <c r="Y283" s="587" t="str">
        <f t="shared" si="99"/>
        <v/>
      </c>
      <c r="Z283" s="587"/>
      <c r="AA283" s="587" t="str">
        <f t="shared" si="95"/>
        <v/>
      </c>
      <c r="AB283" s="587"/>
      <c r="AC283" s="587" t="str">
        <f t="shared" si="96"/>
        <v/>
      </c>
      <c r="AD283" s="586"/>
      <c r="AE283" s="587" t="str">
        <f t="shared" si="94"/>
        <v/>
      </c>
    </row>
    <row r="284" spans="2:31">
      <c r="B284" s="586" t="s">
        <v>428</v>
      </c>
      <c r="C284" s="587"/>
      <c r="D284" s="588"/>
      <c r="E284" s="587"/>
      <c r="F284" s="587">
        <v>4.6500000000000004</v>
      </c>
      <c r="G284" s="587">
        <v>9.1999999999999993</v>
      </c>
      <c r="H284" s="589" t="s">
        <v>957</v>
      </c>
      <c r="I284" s="587">
        <f t="shared" si="83"/>
        <v>4.6500000000000004</v>
      </c>
      <c r="J284" s="589" t="s">
        <v>957</v>
      </c>
      <c r="K284" s="587">
        <f t="shared" si="92"/>
        <v>9.1999999999999993</v>
      </c>
      <c r="L284" s="587"/>
      <c r="M284" s="587" t="str">
        <f t="shared" si="91"/>
        <v/>
      </c>
      <c r="N284" s="587"/>
      <c r="O284" s="587" t="str">
        <f t="shared" si="97"/>
        <v/>
      </c>
      <c r="P284" s="587"/>
      <c r="Q284" s="587" t="str">
        <f t="shared" si="93"/>
        <v/>
      </c>
      <c r="R284" s="587"/>
      <c r="S284" s="587" t="str">
        <f t="shared" si="98"/>
        <v/>
      </c>
      <c r="T284" s="587"/>
      <c r="U284" s="587" t="str">
        <f t="shared" si="87"/>
        <v/>
      </c>
      <c r="V284" s="587" t="s">
        <v>957</v>
      </c>
      <c r="W284" s="587">
        <f t="shared" si="88"/>
        <v>4.6500000000000004</v>
      </c>
      <c r="X284" s="587"/>
      <c r="Y284" s="587" t="str">
        <f t="shared" si="99"/>
        <v/>
      </c>
      <c r="Z284" s="587"/>
      <c r="AA284" s="587" t="str">
        <f t="shared" si="95"/>
        <v/>
      </c>
      <c r="AB284" s="587"/>
      <c r="AC284" s="587" t="str">
        <f t="shared" si="96"/>
        <v/>
      </c>
      <c r="AD284" s="586"/>
      <c r="AE284" s="587" t="str">
        <f t="shared" si="94"/>
        <v/>
      </c>
    </row>
    <row r="285" spans="2:31">
      <c r="B285" s="586" t="s">
        <v>490</v>
      </c>
      <c r="C285" s="587"/>
      <c r="D285" s="588"/>
      <c r="E285" s="587"/>
      <c r="F285" s="587">
        <v>24</v>
      </c>
      <c r="G285" s="587">
        <v>21.78</v>
      </c>
      <c r="H285" s="589"/>
      <c r="I285" s="587" t="str">
        <f t="shared" si="83"/>
        <v/>
      </c>
      <c r="J285" s="589"/>
      <c r="K285" s="587" t="str">
        <f t="shared" si="92"/>
        <v/>
      </c>
      <c r="L285" s="587"/>
      <c r="M285" s="587" t="str">
        <f t="shared" si="91"/>
        <v/>
      </c>
      <c r="N285" s="587" t="s">
        <v>957</v>
      </c>
      <c r="O285" s="587">
        <f t="shared" si="97"/>
        <v>24</v>
      </c>
      <c r="P285" s="587" t="s">
        <v>957</v>
      </c>
      <c r="Q285" s="587">
        <f t="shared" si="93"/>
        <v>21.78</v>
      </c>
      <c r="R285" s="587"/>
      <c r="S285" s="587" t="str">
        <f t="shared" si="98"/>
        <v/>
      </c>
      <c r="T285" s="587"/>
      <c r="U285" s="587" t="str">
        <f t="shared" si="87"/>
        <v/>
      </c>
      <c r="V285" s="587" t="s">
        <v>957</v>
      </c>
      <c r="W285" s="587">
        <f t="shared" si="88"/>
        <v>24</v>
      </c>
      <c r="X285" s="587"/>
      <c r="Y285" s="587" t="str">
        <f t="shared" si="99"/>
        <v/>
      </c>
      <c r="Z285" s="587"/>
      <c r="AA285" s="587" t="str">
        <f t="shared" si="95"/>
        <v/>
      </c>
      <c r="AB285" s="587"/>
      <c r="AC285" s="587" t="str">
        <f t="shared" si="96"/>
        <v/>
      </c>
      <c r="AD285" s="586"/>
      <c r="AE285" s="587" t="str">
        <f t="shared" si="94"/>
        <v/>
      </c>
    </row>
    <row r="286" spans="2:31">
      <c r="B286" s="586" t="s">
        <v>428</v>
      </c>
      <c r="C286" s="587"/>
      <c r="D286" s="588"/>
      <c r="E286" s="587"/>
      <c r="F286" s="587">
        <v>4.6500000000000004</v>
      </c>
      <c r="G286" s="587">
        <v>9.1999999999999993</v>
      </c>
      <c r="H286" s="589" t="s">
        <v>957</v>
      </c>
      <c r="I286" s="587">
        <f t="shared" si="83"/>
        <v>4.6500000000000004</v>
      </c>
      <c r="J286" s="589" t="s">
        <v>957</v>
      </c>
      <c r="K286" s="587">
        <f t="shared" si="92"/>
        <v>9.1999999999999993</v>
      </c>
      <c r="L286" s="587"/>
      <c r="M286" s="587" t="str">
        <f t="shared" si="91"/>
        <v/>
      </c>
      <c r="N286" s="587"/>
      <c r="O286" s="587" t="str">
        <f t="shared" si="97"/>
        <v/>
      </c>
      <c r="P286" s="587"/>
      <c r="Q286" s="587" t="str">
        <f t="shared" si="93"/>
        <v/>
      </c>
      <c r="R286" s="587"/>
      <c r="S286" s="587" t="str">
        <f t="shared" si="98"/>
        <v/>
      </c>
      <c r="T286" s="587"/>
      <c r="U286" s="587" t="str">
        <f t="shared" si="87"/>
        <v/>
      </c>
      <c r="V286" s="587" t="s">
        <v>957</v>
      </c>
      <c r="W286" s="587">
        <f t="shared" si="88"/>
        <v>4.6500000000000004</v>
      </c>
      <c r="X286" s="587"/>
      <c r="Y286" s="587" t="str">
        <f t="shared" si="99"/>
        <v/>
      </c>
      <c r="Z286" s="587"/>
      <c r="AA286" s="587" t="str">
        <f t="shared" si="95"/>
        <v/>
      </c>
      <c r="AB286" s="587"/>
      <c r="AC286" s="587" t="str">
        <f t="shared" si="96"/>
        <v/>
      </c>
      <c r="AD286" s="586"/>
      <c r="AE286" s="587" t="str">
        <f t="shared" si="94"/>
        <v/>
      </c>
    </row>
    <row r="287" spans="2:31">
      <c r="B287" s="586" t="s">
        <v>491</v>
      </c>
      <c r="C287" s="587"/>
      <c r="D287" s="588"/>
      <c r="E287" s="587"/>
      <c r="F287" s="587">
        <v>24</v>
      </c>
      <c r="G287" s="587">
        <v>21.78</v>
      </c>
      <c r="H287" s="589"/>
      <c r="I287" s="587" t="str">
        <f t="shared" si="83"/>
        <v/>
      </c>
      <c r="J287" s="589"/>
      <c r="K287" s="587" t="str">
        <f t="shared" si="92"/>
        <v/>
      </c>
      <c r="L287" s="587"/>
      <c r="M287" s="587" t="str">
        <f t="shared" si="91"/>
        <v/>
      </c>
      <c r="N287" s="587" t="s">
        <v>957</v>
      </c>
      <c r="O287" s="587">
        <f t="shared" si="97"/>
        <v>24</v>
      </c>
      <c r="P287" s="587" t="s">
        <v>957</v>
      </c>
      <c r="Q287" s="587">
        <f t="shared" si="93"/>
        <v>21.78</v>
      </c>
      <c r="R287" s="587"/>
      <c r="S287" s="587" t="str">
        <f t="shared" si="98"/>
        <v/>
      </c>
      <c r="T287" s="587"/>
      <c r="U287" s="587" t="str">
        <f t="shared" si="87"/>
        <v/>
      </c>
      <c r="V287" s="587" t="s">
        <v>957</v>
      </c>
      <c r="W287" s="587">
        <f t="shared" si="88"/>
        <v>24</v>
      </c>
      <c r="X287" s="587"/>
      <c r="Y287" s="587" t="str">
        <f t="shared" si="99"/>
        <v/>
      </c>
      <c r="Z287" s="587"/>
      <c r="AA287" s="587" t="str">
        <f t="shared" si="95"/>
        <v/>
      </c>
      <c r="AB287" s="587"/>
      <c r="AC287" s="587" t="str">
        <f t="shared" si="96"/>
        <v/>
      </c>
      <c r="AD287" s="586"/>
      <c r="AE287" s="587" t="str">
        <f t="shared" si="94"/>
        <v/>
      </c>
    </row>
    <row r="288" spans="2:31">
      <c r="B288" s="586" t="s">
        <v>428</v>
      </c>
      <c r="C288" s="587"/>
      <c r="D288" s="588"/>
      <c r="E288" s="587"/>
      <c r="F288" s="587">
        <v>4.6500000000000004</v>
      </c>
      <c r="G288" s="587">
        <v>9.1999999999999993</v>
      </c>
      <c r="H288" s="589" t="s">
        <v>957</v>
      </c>
      <c r="I288" s="587">
        <f t="shared" si="83"/>
        <v>4.6500000000000004</v>
      </c>
      <c r="J288" s="589" t="s">
        <v>957</v>
      </c>
      <c r="K288" s="587">
        <f t="shared" si="92"/>
        <v>9.1999999999999993</v>
      </c>
      <c r="L288" s="587"/>
      <c r="M288" s="587" t="str">
        <f t="shared" si="91"/>
        <v/>
      </c>
      <c r="N288" s="587"/>
      <c r="O288" s="587" t="str">
        <f t="shared" si="97"/>
        <v/>
      </c>
      <c r="P288" s="587"/>
      <c r="Q288" s="587" t="str">
        <f t="shared" si="93"/>
        <v/>
      </c>
      <c r="R288" s="587"/>
      <c r="S288" s="587" t="str">
        <f t="shared" si="98"/>
        <v/>
      </c>
      <c r="T288" s="587"/>
      <c r="U288" s="587" t="str">
        <f t="shared" si="87"/>
        <v/>
      </c>
      <c r="V288" s="587" t="s">
        <v>957</v>
      </c>
      <c r="W288" s="587">
        <f t="shared" si="88"/>
        <v>4.6500000000000004</v>
      </c>
      <c r="X288" s="587"/>
      <c r="Y288" s="587" t="str">
        <f t="shared" si="99"/>
        <v/>
      </c>
      <c r="Z288" s="587"/>
      <c r="AA288" s="587" t="str">
        <f t="shared" si="95"/>
        <v/>
      </c>
      <c r="AB288" s="587"/>
      <c r="AC288" s="587" t="str">
        <f t="shared" si="96"/>
        <v/>
      </c>
      <c r="AD288" s="586"/>
      <c r="AE288" s="587" t="str">
        <f t="shared" si="94"/>
        <v/>
      </c>
    </row>
    <row r="289" spans="2:31">
      <c r="B289" s="586" t="s">
        <v>473</v>
      </c>
      <c r="C289" s="587">
        <v>4.0199999999999996</v>
      </c>
      <c r="D289" s="588" t="s">
        <v>957</v>
      </c>
      <c r="E289" s="587">
        <v>3.17</v>
      </c>
      <c r="F289" s="587">
        <f>C289*E289</f>
        <v>12.743399999999998</v>
      </c>
      <c r="G289" s="587">
        <f>(C289+E289)*2</f>
        <v>14.379999999999999</v>
      </c>
      <c r="H289" s="589"/>
      <c r="I289" s="587" t="str">
        <f t="shared" si="83"/>
        <v/>
      </c>
      <c r="J289" s="589"/>
      <c r="K289" s="587" t="str">
        <f t="shared" si="92"/>
        <v/>
      </c>
      <c r="L289" s="587"/>
      <c r="M289" s="587" t="str">
        <f t="shared" si="91"/>
        <v/>
      </c>
      <c r="N289" s="587" t="s">
        <v>957</v>
      </c>
      <c r="O289" s="587">
        <f t="shared" si="97"/>
        <v>12.743399999999998</v>
      </c>
      <c r="P289" s="587" t="s">
        <v>957</v>
      </c>
      <c r="Q289" s="587">
        <f t="shared" si="93"/>
        <v>14.379999999999999</v>
      </c>
      <c r="R289" s="587"/>
      <c r="S289" s="587" t="str">
        <f t="shared" si="98"/>
        <v/>
      </c>
      <c r="T289" s="587"/>
      <c r="U289" s="587" t="str">
        <f t="shared" si="87"/>
        <v/>
      </c>
      <c r="V289" s="587" t="s">
        <v>957</v>
      </c>
      <c r="W289" s="587">
        <f t="shared" si="88"/>
        <v>12.743399999999998</v>
      </c>
      <c r="X289" s="587"/>
      <c r="Y289" s="587" t="str">
        <f t="shared" si="99"/>
        <v/>
      </c>
      <c r="Z289" s="587"/>
      <c r="AA289" s="587" t="str">
        <f t="shared" si="95"/>
        <v/>
      </c>
      <c r="AB289" s="587"/>
      <c r="AC289" s="587" t="str">
        <f t="shared" si="96"/>
        <v/>
      </c>
      <c r="AD289" s="586"/>
      <c r="AE289" s="587" t="str">
        <f t="shared" si="94"/>
        <v/>
      </c>
    </row>
    <row r="290" spans="2:31">
      <c r="B290" s="586" t="s">
        <v>423</v>
      </c>
      <c r="C290" s="587">
        <v>4.0199999999999996</v>
      </c>
      <c r="D290" s="588" t="s">
        <v>957</v>
      </c>
      <c r="E290" s="587">
        <v>2.5</v>
      </c>
      <c r="F290" s="587">
        <f>C290*E290</f>
        <v>10.049999999999999</v>
      </c>
      <c r="G290" s="587">
        <f>(C290+E290)*2</f>
        <v>13.04</v>
      </c>
      <c r="H290" s="589"/>
      <c r="I290" s="587" t="str">
        <f t="shared" si="83"/>
        <v/>
      </c>
      <c r="J290" s="589"/>
      <c r="K290" s="587" t="str">
        <f t="shared" si="92"/>
        <v/>
      </c>
      <c r="L290" s="587"/>
      <c r="M290" s="587" t="str">
        <f t="shared" si="91"/>
        <v/>
      </c>
      <c r="N290" s="587" t="s">
        <v>957</v>
      </c>
      <c r="O290" s="587">
        <f t="shared" si="97"/>
        <v>10.049999999999999</v>
      </c>
      <c r="P290" s="587" t="s">
        <v>957</v>
      </c>
      <c r="Q290" s="587">
        <f t="shared" si="93"/>
        <v>13.04</v>
      </c>
      <c r="R290" s="587"/>
      <c r="S290" s="587" t="str">
        <f t="shared" si="98"/>
        <v/>
      </c>
      <c r="T290" s="587"/>
      <c r="U290" s="587" t="str">
        <f t="shared" si="87"/>
        <v/>
      </c>
      <c r="V290" s="587" t="s">
        <v>957</v>
      </c>
      <c r="W290" s="587">
        <f t="shared" si="88"/>
        <v>10.049999999999999</v>
      </c>
      <c r="X290" s="587"/>
      <c r="Y290" s="587" t="str">
        <f t="shared" si="99"/>
        <v/>
      </c>
      <c r="Z290" s="587"/>
      <c r="AA290" s="587" t="str">
        <f t="shared" si="95"/>
        <v/>
      </c>
      <c r="AB290" s="587"/>
      <c r="AC290" s="587" t="str">
        <f t="shared" si="96"/>
        <v/>
      </c>
      <c r="AD290" s="586"/>
      <c r="AE290" s="587" t="str">
        <f t="shared" si="94"/>
        <v/>
      </c>
    </row>
    <row r="291" spans="2:31">
      <c r="B291" s="586" t="s">
        <v>474</v>
      </c>
      <c r="C291" s="587">
        <v>4.0199999999999996</v>
      </c>
      <c r="D291" s="588" t="s">
        <v>957</v>
      </c>
      <c r="E291" s="587">
        <v>3</v>
      </c>
      <c r="F291" s="587">
        <f>C291*E291</f>
        <v>12.059999999999999</v>
      </c>
      <c r="G291" s="587">
        <f>(C291+E291)*2</f>
        <v>14.04</v>
      </c>
      <c r="H291" s="589"/>
      <c r="I291" s="587" t="str">
        <f t="shared" si="83"/>
        <v/>
      </c>
      <c r="J291" s="589"/>
      <c r="K291" s="587" t="str">
        <f t="shared" si="92"/>
        <v/>
      </c>
      <c r="L291" s="587"/>
      <c r="M291" s="587" t="str">
        <f t="shared" si="91"/>
        <v/>
      </c>
      <c r="N291" s="587" t="s">
        <v>957</v>
      </c>
      <c r="O291" s="587">
        <f t="shared" si="97"/>
        <v>12.059999999999999</v>
      </c>
      <c r="P291" s="587" t="s">
        <v>957</v>
      </c>
      <c r="Q291" s="587">
        <f t="shared" si="93"/>
        <v>14.04</v>
      </c>
      <c r="R291" s="587"/>
      <c r="S291" s="587" t="str">
        <f t="shared" si="98"/>
        <v/>
      </c>
      <c r="T291" s="587"/>
      <c r="U291" s="587" t="str">
        <f t="shared" si="87"/>
        <v/>
      </c>
      <c r="V291" s="587" t="s">
        <v>957</v>
      </c>
      <c r="W291" s="587">
        <f t="shared" si="88"/>
        <v>12.059999999999999</v>
      </c>
      <c r="X291" s="587"/>
      <c r="Y291" s="587" t="str">
        <f t="shared" si="99"/>
        <v/>
      </c>
      <c r="Z291" s="587"/>
      <c r="AA291" s="587" t="str">
        <f t="shared" si="95"/>
        <v/>
      </c>
      <c r="AB291" s="587"/>
      <c r="AC291" s="587" t="str">
        <f t="shared" si="96"/>
        <v/>
      </c>
      <c r="AD291" s="586"/>
      <c r="AE291" s="587" t="str">
        <f t="shared" si="94"/>
        <v/>
      </c>
    </row>
    <row r="292" spans="2:31">
      <c r="B292" s="586" t="s">
        <v>492</v>
      </c>
      <c r="C292" s="587"/>
      <c r="D292" s="588"/>
      <c r="E292" s="587"/>
      <c r="F292" s="587">
        <v>54.71</v>
      </c>
      <c r="G292" s="587">
        <v>29.02</v>
      </c>
      <c r="H292" s="589"/>
      <c r="I292" s="587" t="str">
        <f t="shared" si="83"/>
        <v/>
      </c>
      <c r="J292" s="589"/>
      <c r="K292" s="587" t="str">
        <f t="shared" si="92"/>
        <v/>
      </c>
      <c r="L292" s="587"/>
      <c r="M292" s="587" t="str">
        <f t="shared" si="91"/>
        <v/>
      </c>
      <c r="N292" s="587" t="s">
        <v>957</v>
      </c>
      <c r="O292" s="587">
        <f t="shared" si="97"/>
        <v>54.71</v>
      </c>
      <c r="P292" s="587" t="s">
        <v>957</v>
      </c>
      <c r="Q292" s="587">
        <f t="shared" si="93"/>
        <v>29.02</v>
      </c>
      <c r="R292" s="587"/>
      <c r="S292" s="587" t="str">
        <f t="shared" si="98"/>
        <v/>
      </c>
      <c r="T292" s="587"/>
      <c r="U292" s="587" t="str">
        <f t="shared" si="87"/>
        <v/>
      </c>
      <c r="V292" s="587" t="s">
        <v>957</v>
      </c>
      <c r="W292" s="587">
        <f t="shared" si="88"/>
        <v>54.71</v>
      </c>
      <c r="X292" s="587"/>
      <c r="Y292" s="587" t="str">
        <f t="shared" si="99"/>
        <v/>
      </c>
      <c r="Z292" s="587"/>
      <c r="AA292" s="587" t="str">
        <f t="shared" si="95"/>
        <v/>
      </c>
      <c r="AB292" s="587"/>
      <c r="AC292" s="587" t="str">
        <f t="shared" si="96"/>
        <v/>
      </c>
      <c r="AD292" s="586"/>
      <c r="AE292" s="587" t="str">
        <f t="shared" si="94"/>
        <v/>
      </c>
    </row>
    <row r="293" spans="2:31">
      <c r="B293" s="586" t="s">
        <v>437</v>
      </c>
      <c r="C293" s="587">
        <v>8.17</v>
      </c>
      <c r="D293" s="588"/>
      <c r="E293" s="587">
        <v>6.8</v>
      </c>
      <c r="F293" s="587">
        <f>C293*E293</f>
        <v>55.555999999999997</v>
      </c>
      <c r="G293" s="587">
        <f>(C293+E293)*2</f>
        <v>29.939999999999998</v>
      </c>
      <c r="H293" s="589"/>
      <c r="I293" s="587" t="str">
        <f t="shared" si="83"/>
        <v/>
      </c>
      <c r="J293" s="589"/>
      <c r="K293" s="587" t="str">
        <f t="shared" si="92"/>
        <v/>
      </c>
      <c r="L293" s="587"/>
      <c r="M293" s="587" t="str">
        <f t="shared" si="91"/>
        <v/>
      </c>
      <c r="N293" s="587"/>
      <c r="O293" s="587" t="str">
        <f t="shared" si="97"/>
        <v/>
      </c>
      <c r="P293" s="587"/>
      <c r="Q293" s="587" t="str">
        <f t="shared" si="93"/>
        <v/>
      </c>
      <c r="R293" s="587"/>
      <c r="S293" s="587" t="str">
        <f t="shared" si="98"/>
        <v/>
      </c>
      <c r="T293" s="587" t="s">
        <v>952</v>
      </c>
      <c r="U293" s="587">
        <f t="shared" si="87"/>
        <v>55.555999999999997</v>
      </c>
      <c r="V293" s="587"/>
      <c r="W293" s="587" t="str">
        <f t="shared" si="88"/>
        <v/>
      </c>
      <c r="X293" s="587"/>
      <c r="Y293" s="587" t="str">
        <f t="shared" si="99"/>
        <v/>
      </c>
      <c r="Z293" s="587"/>
      <c r="AA293" s="587" t="str">
        <f t="shared" si="95"/>
        <v/>
      </c>
      <c r="AB293" s="587"/>
      <c r="AC293" s="587" t="str">
        <f t="shared" si="96"/>
        <v/>
      </c>
      <c r="AD293" s="586"/>
      <c r="AE293" s="587" t="str">
        <f t="shared" si="94"/>
        <v/>
      </c>
    </row>
    <row r="294" spans="2:31">
      <c r="B294" s="590" t="s">
        <v>457</v>
      </c>
      <c r="C294" s="596">
        <v>3.5</v>
      </c>
      <c r="D294" s="597" t="s">
        <v>957</v>
      </c>
      <c r="E294" s="596">
        <v>6.62</v>
      </c>
      <c r="F294" s="596">
        <f>C294*E294</f>
        <v>23.17</v>
      </c>
      <c r="G294" s="596">
        <f>(C294+E294)*2</f>
        <v>20.240000000000002</v>
      </c>
      <c r="H294" s="589" t="s">
        <v>957</v>
      </c>
      <c r="I294" s="587">
        <f t="shared" si="83"/>
        <v>23.17</v>
      </c>
      <c r="J294" s="589" t="s">
        <v>957</v>
      </c>
      <c r="K294" s="587">
        <f t="shared" si="92"/>
        <v>20.240000000000002</v>
      </c>
      <c r="L294" s="587"/>
      <c r="M294" s="587" t="str">
        <f t="shared" si="91"/>
        <v/>
      </c>
      <c r="N294" s="587"/>
      <c r="O294" s="587" t="str">
        <f t="shared" si="97"/>
        <v/>
      </c>
      <c r="P294" s="587"/>
      <c r="Q294" s="587" t="str">
        <f t="shared" si="93"/>
        <v/>
      </c>
      <c r="R294" s="587"/>
      <c r="S294" s="587" t="str">
        <f t="shared" si="98"/>
        <v/>
      </c>
      <c r="T294" s="587"/>
      <c r="U294" s="587" t="str">
        <f t="shared" si="87"/>
        <v/>
      </c>
      <c r="V294" s="587"/>
      <c r="W294" s="587" t="str">
        <f t="shared" si="88"/>
        <v/>
      </c>
      <c r="X294" s="587"/>
      <c r="Y294" s="587" t="str">
        <f t="shared" si="99"/>
        <v/>
      </c>
      <c r="Z294" s="587"/>
      <c r="AA294" s="587" t="str">
        <f t="shared" si="95"/>
        <v/>
      </c>
      <c r="AB294" s="587" t="s">
        <v>952</v>
      </c>
      <c r="AC294" s="587">
        <f t="shared" si="96"/>
        <v>23.17</v>
      </c>
      <c r="AD294" s="586"/>
      <c r="AE294" s="587" t="str">
        <f t="shared" si="94"/>
        <v/>
      </c>
    </row>
    <row r="295" spans="2:31">
      <c r="B295" s="590" t="s">
        <v>307</v>
      </c>
      <c r="C295" s="596">
        <v>2.25</v>
      </c>
      <c r="D295" s="597"/>
      <c r="E295" s="596">
        <v>3.65</v>
      </c>
      <c r="F295" s="596">
        <f>C295*E295</f>
        <v>8.2125000000000004</v>
      </c>
      <c r="G295" s="596">
        <f>(C295+E295)*2</f>
        <v>11.8</v>
      </c>
      <c r="H295" s="589"/>
      <c r="I295" s="587"/>
      <c r="J295" s="589"/>
      <c r="K295" s="587" t="str">
        <f t="shared" si="92"/>
        <v/>
      </c>
      <c r="L295" s="587" t="s">
        <v>952</v>
      </c>
      <c r="M295" s="587">
        <f t="shared" si="91"/>
        <v>8.2125000000000004</v>
      </c>
      <c r="N295" s="587"/>
      <c r="O295" s="587" t="str">
        <f t="shared" si="97"/>
        <v/>
      </c>
      <c r="P295" s="587"/>
      <c r="Q295" s="587" t="str">
        <f t="shared" si="93"/>
        <v/>
      </c>
      <c r="R295" s="587"/>
      <c r="S295" s="587" t="str">
        <f t="shared" si="98"/>
        <v/>
      </c>
      <c r="T295" s="587"/>
      <c r="U295" s="587" t="str">
        <f t="shared" si="87"/>
        <v/>
      </c>
      <c r="V295" s="587"/>
      <c r="W295" s="587" t="str">
        <f t="shared" si="88"/>
        <v/>
      </c>
      <c r="X295" s="587"/>
      <c r="Y295" s="587" t="str">
        <f t="shared" si="99"/>
        <v/>
      </c>
      <c r="Z295" s="587"/>
      <c r="AA295" s="587" t="str">
        <f t="shared" si="95"/>
        <v/>
      </c>
      <c r="AB295" s="587"/>
      <c r="AC295" s="587"/>
      <c r="AD295" s="586"/>
      <c r="AE295" s="587" t="str">
        <f t="shared" si="94"/>
        <v/>
      </c>
    </row>
    <row r="296" spans="2:31">
      <c r="B296" s="590" t="s">
        <v>458</v>
      </c>
      <c r="C296" s="596">
        <v>3.5</v>
      </c>
      <c r="D296" s="597" t="s">
        <v>957</v>
      </c>
      <c r="E296" s="596">
        <v>6.62</v>
      </c>
      <c r="F296" s="596">
        <f>C296*E296</f>
        <v>23.17</v>
      </c>
      <c r="G296" s="596">
        <f>(C296+E296)*2</f>
        <v>20.240000000000002</v>
      </c>
      <c r="H296" s="589"/>
      <c r="I296" s="587" t="str">
        <f t="shared" si="83"/>
        <v/>
      </c>
      <c r="J296" s="589"/>
      <c r="K296" s="587" t="str">
        <f t="shared" si="92"/>
        <v/>
      </c>
      <c r="L296" s="587" t="s">
        <v>952</v>
      </c>
      <c r="M296" s="587">
        <f t="shared" si="91"/>
        <v>23.17</v>
      </c>
      <c r="N296" s="587"/>
      <c r="O296" s="587" t="str">
        <f t="shared" si="97"/>
        <v/>
      </c>
      <c r="P296" s="587"/>
      <c r="Q296" s="587" t="str">
        <f t="shared" si="93"/>
        <v/>
      </c>
      <c r="R296" s="587"/>
      <c r="S296" s="587" t="str">
        <f t="shared" si="98"/>
        <v/>
      </c>
      <c r="T296" s="587"/>
      <c r="U296" s="587" t="str">
        <f t="shared" si="87"/>
        <v/>
      </c>
      <c r="V296" s="587"/>
      <c r="W296" s="587" t="str">
        <f t="shared" si="88"/>
        <v/>
      </c>
      <c r="X296" s="587"/>
      <c r="Y296" s="587" t="str">
        <f t="shared" si="99"/>
        <v/>
      </c>
      <c r="Z296" s="587"/>
      <c r="AA296" s="587" t="str">
        <f t="shared" si="95"/>
        <v/>
      </c>
      <c r="AB296" s="587" t="s">
        <v>952</v>
      </c>
      <c r="AC296" s="587">
        <f t="shared" si="96"/>
        <v>23.17</v>
      </c>
      <c r="AD296" s="586"/>
      <c r="AE296" s="587" t="str">
        <f t="shared" si="94"/>
        <v/>
      </c>
    </row>
    <row r="297" spans="2:31">
      <c r="B297" s="590" t="s">
        <v>459</v>
      </c>
      <c r="C297" s="596">
        <v>2.9</v>
      </c>
      <c r="D297" s="597" t="s">
        <v>957</v>
      </c>
      <c r="E297" s="596">
        <v>6.65</v>
      </c>
      <c r="F297" s="596">
        <f>C297*E297</f>
        <v>19.285</v>
      </c>
      <c r="G297" s="596">
        <f>(C297+E297)*2</f>
        <v>19.100000000000001</v>
      </c>
      <c r="H297" s="589"/>
      <c r="I297" s="587" t="str">
        <f t="shared" si="83"/>
        <v/>
      </c>
      <c r="J297" s="589"/>
      <c r="K297" s="587" t="str">
        <f t="shared" si="92"/>
        <v/>
      </c>
      <c r="L297" s="587" t="s">
        <v>952</v>
      </c>
      <c r="M297" s="587">
        <f t="shared" si="91"/>
        <v>19.285</v>
      </c>
      <c r="N297" s="587"/>
      <c r="O297" s="587" t="str">
        <f t="shared" si="97"/>
        <v/>
      </c>
      <c r="P297" s="587"/>
      <c r="Q297" s="587" t="str">
        <f t="shared" si="93"/>
        <v/>
      </c>
      <c r="R297" s="587"/>
      <c r="S297" s="587" t="str">
        <f t="shared" si="98"/>
        <v/>
      </c>
      <c r="T297" s="587"/>
      <c r="U297" s="587" t="str">
        <f t="shared" si="87"/>
        <v/>
      </c>
      <c r="V297" s="587"/>
      <c r="W297" s="587" t="str">
        <f t="shared" si="88"/>
        <v/>
      </c>
      <c r="X297" s="587"/>
      <c r="Y297" s="587" t="str">
        <f t="shared" si="99"/>
        <v/>
      </c>
      <c r="Z297" s="587"/>
      <c r="AA297" s="587" t="str">
        <f t="shared" si="95"/>
        <v/>
      </c>
      <c r="AB297" s="587" t="s">
        <v>952</v>
      </c>
      <c r="AC297" s="587">
        <f t="shared" si="96"/>
        <v>19.285</v>
      </c>
      <c r="AD297" s="586"/>
      <c r="AE297" s="587" t="str">
        <f t="shared" si="94"/>
        <v/>
      </c>
    </row>
    <row r="298" spans="2:31">
      <c r="B298" s="495" t="s">
        <v>951</v>
      </c>
      <c r="C298" s="496" t="s">
        <v>952</v>
      </c>
      <c r="D298" s="495"/>
      <c r="E298" s="496" t="s">
        <v>953</v>
      </c>
      <c r="F298" s="495" t="s">
        <v>584</v>
      </c>
      <c r="G298" s="495" t="s">
        <v>954</v>
      </c>
      <c r="H298" s="999" t="s">
        <v>955</v>
      </c>
      <c r="I298" s="1000"/>
      <c r="J298" s="1092" t="s">
        <v>2489</v>
      </c>
      <c r="K298" s="1093"/>
      <c r="L298" s="994" t="s">
        <v>2305</v>
      </c>
      <c r="M298" s="995"/>
      <c r="N298" s="994" t="s">
        <v>1564</v>
      </c>
      <c r="O298" s="995"/>
      <c r="P298" s="994" t="s">
        <v>2482</v>
      </c>
      <c r="Q298" s="995"/>
      <c r="R298" s="994" t="s">
        <v>1565</v>
      </c>
      <c r="S298" s="995"/>
      <c r="T298" s="643" t="s">
        <v>1518</v>
      </c>
      <c r="U298" s="644"/>
      <c r="V298" s="999" t="s">
        <v>1059</v>
      </c>
      <c r="W298" s="1000"/>
      <c r="X298" s="994" t="s">
        <v>2107</v>
      </c>
      <c r="Y298" s="995"/>
      <c r="Z298" s="994" t="s">
        <v>2108</v>
      </c>
      <c r="AA298" s="995"/>
      <c r="AB298" s="994" t="s">
        <v>2109</v>
      </c>
      <c r="AC298" s="995"/>
      <c r="AD298" s="994" t="s">
        <v>2664</v>
      </c>
      <c r="AE298" s="995"/>
    </row>
    <row r="299" spans="2:31">
      <c r="B299" s="582" t="s">
        <v>966</v>
      </c>
      <c r="C299" s="583"/>
      <c r="D299" s="583"/>
      <c r="E299" s="583"/>
      <c r="F299" s="583"/>
      <c r="G299" s="583"/>
      <c r="H299" s="584"/>
      <c r="I299" s="583"/>
      <c r="J299" s="584"/>
      <c r="K299" s="587" t="str">
        <f>IF(J299="x",G299,"")</f>
        <v/>
      </c>
      <c r="L299" s="583"/>
      <c r="M299" s="583"/>
      <c r="N299" s="583"/>
      <c r="O299" s="583"/>
      <c r="P299" s="583"/>
      <c r="Q299" s="587" t="str">
        <f>IF(P299="x",G299,"")</f>
        <v/>
      </c>
      <c r="R299" s="583"/>
      <c r="S299" s="583"/>
      <c r="T299" s="583"/>
      <c r="U299" s="583"/>
      <c r="V299" s="583"/>
      <c r="W299" s="583"/>
      <c r="X299" s="583"/>
      <c r="Y299" s="587" t="str">
        <f>IF(X299="x",F299,"")</f>
        <v/>
      </c>
      <c r="Z299" s="583"/>
      <c r="AA299" s="587" t="str">
        <f>IF(Z299="x",F299,"")</f>
        <v/>
      </c>
      <c r="AB299" s="583"/>
      <c r="AC299" s="587" t="str">
        <f>IF(AB299="x",F299,"")</f>
        <v/>
      </c>
      <c r="AD299" s="586"/>
      <c r="AE299" s="587" t="str">
        <f>IF(AD299="x",F299,"")</f>
        <v/>
      </c>
    </row>
    <row r="300" spans="2:31">
      <c r="B300" s="586" t="s">
        <v>295</v>
      </c>
      <c r="C300" s="587"/>
      <c r="D300" s="588" t="s">
        <v>957</v>
      </c>
      <c r="E300" s="587"/>
      <c r="F300" s="587">
        <f>2.5*(13.75*4+2.15*2)+5.15*2*3</f>
        <v>179.15</v>
      </c>
      <c r="G300" s="587"/>
      <c r="H300" s="589"/>
      <c r="I300" s="587" t="str">
        <f t="shared" ref="I300:I346" si="100">IF(H300="x",F300,"")</f>
        <v/>
      </c>
      <c r="J300" s="589"/>
      <c r="K300" s="587" t="str">
        <f t="shared" si="92"/>
        <v/>
      </c>
      <c r="L300" s="587" t="s">
        <v>952</v>
      </c>
      <c r="M300" s="587">
        <f t="shared" si="91"/>
        <v>179.15</v>
      </c>
      <c r="N300" s="587"/>
      <c r="O300" s="587" t="str">
        <f t="shared" ref="O300:O346" si="101">IF(N300="x",F300,"")</f>
        <v/>
      </c>
      <c r="P300" s="587"/>
      <c r="Q300" s="587" t="str">
        <f t="shared" si="93"/>
        <v/>
      </c>
      <c r="R300" s="587"/>
      <c r="S300" s="587" t="str">
        <f t="shared" ref="S300:S346" si="102">IF(R300="x",F300,"")</f>
        <v/>
      </c>
      <c r="T300" s="587"/>
      <c r="U300" s="587" t="str">
        <f t="shared" ref="U300:U346" si="103">IF(T300="x",F300,"")</f>
        <v/>
      </c>
      <c r="V300" s="587"/>
      <c r="W300" s="587" t="str">
        <f t="shared" ref="W300:W346" si="104">IF(V300="x",F300,"")</f>
        <v/>
      </c>
      <c r="X300" s="587"/>
      <c r="Y300" s="587" t="str">
        <f t="shared" si="99"/>
        <v/>
      </c>
      <c r="Z300" s="587"/>
      <c r="AA300" s="587" t="str">
        <f t="shared" si="95"/>
        <v/>
      </c>
      <c r="AB300" s="587" t="s">
        <v>952</v>
      </c>
      <c r="AC300" s="587">
        <f t="shared" si="96"/>
        <v>179.15</v>
      </c>
      <c r="AD300" s="586"/>
      <c r="AE300" s="587" t="str">
        <f t="shared" si="94"/>
        <v/>
      </c>
    </row>
    <row r="301" spans="2:31">
      <c r="B301" s="586" t="s">
        <v>493</v>
      </c>
      <c r="C301" s="587">
        <v>4.2119999999999997</v>
      </c>
      <c r="D301" s="588" t="s">
        <v>957</v>
      </c>
      <c r="E301" s="587">
        <v>9.82</v>
      </c>
      <c r="F301" s="587">
        <f>C301*E301</f>
        <v>41.361840000000001</v>
      </c>
      <c r="G301" s="587">
        <f>(C301+E301)*2</f>
        <v>28.064</v>
      </c>
      <c r="H301" s="589" t="s">
        <v>957</v>
      </c>
      <c r="I301" s="587">
        <f t="shared" si="100"/>
        <v>41.361840000000001</v>
      </c>
      <c r="J301" s="589" t="s">
        <v>957</v>
      </c>
      <c r="K301" s="587">
        <f t="shared" si="92"/>
        <v>28.064</v>
      </c>
      <c r="L301" s="587"/>
      <c r="M301" s="587" t="str">
        <f t="shared" si="91"/>
        <v/>
      </c>
      <c r="N301" s="587"/>
      <c r="O301" s="587" t="str">
        <f t="shared" si="101"/>
        <v/>
      </c>
      <c r="P301" s="587"/>
      <c r="Q301" s="587" t="str">
        <f t="shared" si="93"/>
        <v/>
      </c>
      <c r="R301" s="587"/>
      <c r="S301" s="587" t="str">
        <f t="shared" si="102"/>
        <v/>
      </c>
      <c r="T301" s="587"/>
      <c r="U301" s="587" t="str">
        <f t="shared" si="103"/>
        <v/>
      </c>
      <c r="V301" s="587" t="s">
        <v>957</v>
      </c>
      <c r="W301" s="587">
        <f t="shared" si="104"/>
        <v>41.361840000000001</v>
      </c>
      <c r="X301" s="587"/>
      <c r="Y301" s="587" t="str">
        <f t="shared" si="99"/>
        <v/>
      </c>
      <c r="Z301" s="587"/>
      <c r="AA301" s="587" t="str">
        <f t="shared" si="95"/>
        <v/>
      </c>
      <c r="AB301" s="587"/>
      <c r="AC301" s="587" t="str">
        <f t="shared" si="96"/>
        <v/>
      </c>
      <c r="AD301" s="586"/>
      <c r="AE301" s="587" t="str">
        <f t="shared" si="94"/>
        <v/>
      </c>
    </row>
    <row r="302" spans="2:31">
      <c r="B302" s="586" t="s">
        <v>408</v>
      </c>
      <c r="C302" s="587"/>
      <c r="D302" s="588"/>
      <c r="E302" s="587"/>
      <c r="F302" s="587">
        <v>53.02</v>
      </c>
      <c r="G302" s="587">
        <v>36.619999999999997</v>
      </c>
      <c r="H302" s="589" t="s">
        <v>957</v>
      </c>
      <c r="I302" s="587">
        <f t="shared" si="100"/>
        <v>53.02</v>
      </c>
      <c r="J302" s="589" t="s">
        <v>957</v>
      </c>
      <c r="K302" s="587">
        <f t="shared" si="92"/>
        <v>36.619999999999997</v>
      </c>
      <c r="L302" s="587"/>
      <c r="M302" s="587" t="str">
        <f t="shared" si="91"/>
        <v/>
      </c>
      <c r="N302" s="587"/>
      <c r="O302" s="587" t="str">
        <f t="shared" si="101"/>
        <v/>
      </c>
      <c r="P302" s="587"/>
      <c r="Q302" s="587" t="str">
        <f t="shared" si="93"/>
        <v/>
      </c>
      <c r="R302" s="587"/>
      <c r="S302" s="587" t="str">
        <f t="shared" si="102"/>
        <v/>
      </c>
      <c r="T302" s="587"/>
      <c r="U302" s="587" t="str">
        <f t="shared" si="103"/>
        <v/>
      </c>
      <c r="V302" s="587"/>
      <c r="W302" s="587" t="str">
        <f t="shared" si="104"/>
        <v/>
      </c>
      <c r="X302" s="587" t="s">
        <v>957</v>
      </c>
      <c r="Y302" s="587">
        <f t="shared" si="99"/>
        <v>53.02</v>
      </c>
      <c r="Z302" s="587"/>
      <c r="AA302" s="587" t="str">
        <f t="shared" si="95"/>
        <v/>
      </c>
      <c r="AB302" s="587"/>
      <c r="AC302" s="587" t="str">
        <f t="shared" si="96"/>
        <v/>
      </c>
      <c r="AD302" s="586"/>
      <c r="AE302" s="587" t="str">
        <f t="shared" si="94"/>
        <v/>
      </c>
    </row>
    <row r="303" spans="2:31">
      <c r="B303" s="586" t="s">
        <v>357</v>
      </c>
      <c r="C303" s="587">
        <v>1.95</v>
      </c>
      <c r="D303" s="588" t="s">
        <v>957</v>
      </c>
      <c r="E303" s="587">
        <v>1.6</v>
      </c>
      <c r="F303" s="587">
        <f>C303*E303</f>
        <v>3.12</v>
      </c>
      <c r="G303" s="587">
        <f>(C303+E303)*2</f>
        <v>7.1</v>
      </c>
      <c r="H303" s="589" t="s">
        <v>957</v>
      </c>
      <c r="I303" s="587">
        <f t="shared" si="100"/>
        <v>3.12</v>
      </c>
      <c r="J303" s="589" t="s">
        <v>957</v>
      </c>
      <c r="K303" s="587">
        <f t="shared" si="92"/>
        <v>7.1</v>
      </c>
      <c r="L303" s="587"/>
      <c r="M303" s="587" t="str">
        <f t="shared" si="91"/>
        <v/>
      </c>
      <c r="N303" s="587"/>
      <c r="O303" s="587" t="str">
        <f t="shared" si="101"/>
        <v/>
      </c>
      <c r="P303" s="587"/>
      <c r="Q303" s="587" t="str">
        <f t="shared" si="93"/>
        <v/>
      </c>
      <c r="R303" s="587"/>
      <c r="S303" s="587" t="str">
        <f t="shared" si="102"/>
        <v/>
      </c>
      <c r="T303" s="587"/>
      <c r="U303" s="587" t="str">
        <f t="shared" si="103"/>
        <v/>
      </c>
      <c r="V303" s="587" t="s">
        <v>957</v>
      </c>
      <c r="W303" s="587">
        <f t="shared" si="104"/>
        <v>3.12</v>
      </c>
      <c r="X303" s="587"/>
      <c r="Y303" s="587" t="str">
        <f t="shared" si="99"/>
        <v/>
      </c>
      <c r="Z303" s="587"/>
      <c r="AA303" s="587" t="str">
        <f t="shared" si="95"/>
        <v/>
      </c>
      <c r="AB303" s="587"/>
      <c r="AC303" s="587" t="str">
        <f t="shared" si="96"/>
        <v/>
      </c>
      <c r="AD303" s="586"/>
      <c r="AE303" s="587" t="str">
        <f t="shared" si="94"/>
        <v/>
      </c>
    </row>
    <row r="304" spans="2:31">
      <c r="B304" s="586" t="s">
        <v>356</v>
      </c>
      <c r="C304" s="587">
        <v>1.95</v>
      </c>
      <c r="D304" s="588" t="s">
        <v>957</v>
      </c>
      <c r="E304" s="587">
        <v>1.6</v>
      </c>
      <c r="F304" s="587">
        <f>C304*E304</f>
        <v>3.12</v>
      </c>
      <c r="G304" s="587">
        <f>(C304+E304)*2</f>
        <v>7.1</v>
      </c>
      <c r="H304" s="589" t="s">
        <v>957</v>
      </c>
      <c r="I304" s="587">
        <f t="shared" si="100"/>
        <v>3.12</v>
      </c>
      <c r="J304" s="589" t="s">
        <v>957</v>
      </c>
      <c r="K304" s="587">
        <f t="shared" si="92"/>
        <v>7.1</v>
      </c>
      <c r="L304" s="587"/>
      <c r="M304" s="587" t="str">
        <f t="shared" si="91"/>
        <v/>
      </c>
      <c r="N304" s="587"/>
      <c r="O304" s="587" t="str">
        <f t="shared" si="101"/>
        <v/>
      </c>
      <c r="P304" s="587"/>
      <c r="Q304" s="587" t="str">
        <f t="shared" si="93"/>
        <v/>
      </c>
      <c r="R304" s="587"/>
      <c r="S304" s="587" t="str">
        <f t="shared" si="102"/>
        <v/>
      </c>
      <c r="T304" s="587"/>
      <c r="U304" s="587" t="str">
        <f t="shared" si="103"/>
        <v/>
      </c>
      <c r="V304" s="587" t="s">
        <v>957</v>
      </c>
      <c r="W304" s="587">
        <f t="shared" si="104"/>
        <v>3.12</v>
      </c>
      <c r="X304" s="587"/>
      <c r="Y304" s="587" t="str">
        <f t="shared" si="99"/>
        <v/>
      </c>
      <c r="Z304" s="587"/>
      <c r="AA304" s="587" t="str">
        <f t="shared" si="95"/>
        <v/>
      </c>
      <c r="AB304" s="587"/>
      <c r="AC304" s="587" t="str">
        <f t="shared" si="96"/>
        <v/>
      </c>
      <c r="AD304" s="586"/>
      <c r="AE304" s="587" t="str">
        <f t="shared" si="94"/>
        <v/>
      </c>
    </row>
    <row r="305" spans="2:31">
      <c r="B305" s="586" t="s">
        <v>296</v>
      </c>
      <c r="C305" s="587"/>
      <c r="D305" s="588"/>
      <c r="E305" s="587"/>
      <c r="F305" s="587">
        <v>139.33000000000001</v>
      </c>
      <c r="G305" s="587">
        <v>64.38</v>
      </c>
      <c r="H305" s="589" t="s">
        <v>957</v>
      </c>
      <c r="I305" s="587">
        <f t="shared" si="100"/>
        <v>139.33000000000001</v>
      </c>
      <c r="J305" s="589" t="s">
        <v>957</v>
      </c>
      <c r="K305" s="587">
        <f t="shared" si="92"/>
        <v>64.38</v>
      </c>
      <c r="L305" s="587"/>
      <c r="M305" s="587" t="str">
        <f t="shared" si="91"/>
        <v/>
      </c>
      <c r="N305" s="587"/>
      <c r="O305" s="587" t="str">
        <f t="shared" si="101"/>
        <v/>
      </c>
      <c r="P305" s="587"/>
      <c r="Q305" s="587" t="str">
        <f t="shared" si="93"/>
        <v/>
      </c>
      <c r="R305" s="587"/>
      <c r="S305" s="587" t="str">
        <f t="shared" si="102"/>
        <v/>
      </c>
      <c r="T305" s="587"/>
      <c r="U305" s="587" t="str">
        <f t="shared" si="103"/>
        <v/>
      </c>
      <c r="V305" s="587"/>
      <c r="W305" s="587" t="str">
        <f t="shared" si="104"/>
        <v/>
      </c>
      <c r="X305" s="587" t="s">
        <v>957</v>
      </c>
      <c r="Y305" s="587">
        <f t="shared" si="99"/>
        <v>139.33000000000001</v>
      </c>
      <c r="Z305" s="587"/>
      <c r="AA305" s="587" t="str">
        <f t="shared" si="95"/>
        <v/>
      </c>
      <c r="AB305" s="587"/>
      <c r="AC305" s="587" t="str">
        <f t="shared" si="96"/>
        <v/>
      </c>
      <c r="AD305" s="586"/>
      <c r="AE305" s="587" t="str">
        <f t="shared" si="94"/>
        <v/>
      </c>
    </row>
    <row r="306" spans="2:31">
      <c r="B306" s="586" t="s">
        <v>297</v>
      </c>
      <c r="C306" s="587">
        <v>3</v>
      </c>
      <c r="D306" s="588" t="s">
        <v>957</v>
      </c>
      <c r="E306" s="587">
        <v>4.1500000000000004</v>
      </c>
      <c r="F306" s="587">
        <f>C306*E306</f>
        <v>12.450000000000001</v>
      </c>
      <c r="G306" s="587">
        <f>(C306+E306)*2</f>
        <v>14.3</v>
      </c>
      <c r="H306" s="589" t="s">
        <v>957</v>
      </c>
      <c r="I306" s="587">
        <f t="shared" si="100"/>
        <v>12.450000000000001</v>
      </c>
      <c r="J306" s="589" t="s">
        <v>957</v>
      </c>
      <c r="K306" s="587">
        <f t="shared" si="92"/>
        <v>14.3</v>
      </c>
      <c r="L306" s="587"/>
      <c r="M306" s="587" t="str">
        <f t="shared" si="91"/>
        <v/>
      </c>
      <c r="N306" s="587"/>
      <c r="O306" s="587" t="str">
        <f t="shared" si="101"/>
        <v/>
      </c>
      <c r="P306" s="587"/>
      <c r="Q306" s="587" t="str">
        <f t="shared" si="93"/>
        <v/>
      </c>
      <c r="R306" s="587"/>
      <c r="S306" s="587" t="str">
        <f t="shared" si="102"/>
        <v/>
      </c>
      <c r="T306" s="587"/>
      <c r="U306" s="587" t="str">
        <f t="shared" si="103"/>
        <v/>
      </c>
      <c r="V306" s="587"/>
      <c r="W306" s="587" t="str">
        <f t="shared" si="104"/>
        <v/>
      </c>
      <c r="X306" s="587" t="s">
        <v>957</v>
      </c>
      <c r="Y306" s="587">
        <f t="shared" si="99"/>
        <v>12.450000000000001</v>
      </c>
      <c r="Z306" s="587"/>
      <c r="AA306" s="587" t="str">
        <f t="shared" si="95"/>
        <v/>
      </c>
      <c r="AB306" s="587"/>
      <c r="AC306" s="587" t="str">
        <f t="shared" si="96"/>
        <v/>
      </c>
      <c r="AD306" s="586"/>
      <c r="AE306" s="587" t="str">
        <f t="shared" si="94"/>
        <v/>
      </c>
    </row>
    <row r="307" spans="2:31">
      <c r="B307" s="586" t="s">
        <v>494</v>
      </c>
      <c r="C307" s="587">
        <v>3</v>
      </c>
      <c r="D307" s="588" t="s">
        <v>957</v>
      </c>
      <c r="E307" s="587">
        <v>1.88</v>
      </c>
      <c r="F307" s="587">
        <f>C307*E307</f>
        <v>5.64</v>
      </c>
      <c r="G307" s="587">
        <f>(C307+E307)*2</f>
        <v>9.76</v>
      </c>
      <c r="H307" s="589" t="s">
        <v>957</v>
      </c>
      <c r="I307" s="587">
        <f t="shared" si="100"/>
        <v>5.64</v>
      </c>
      <c r="J307" s="589" t="s">
        <v>957</v>
      </c>
      <c r="K307" s="587">
        <f t="shared" si="92"/>
        <v>9.76</v>
      </c>
      <c r="L307" s="587"/>
      <c r="M307" s="587" t="str">
        <f t="shared" si="91"/>
        <v/>
      </c>
      <c r="N307" s="587"/>
      <c r="O307" s="587" t="str">
        <f t="shared" si="101"/>
        <v/>
      </c>
      <c r="P307" s="587"/>
      <c r="Q307" s="587" t="str">
        <f t="shared" si="93"/>
        <v/>
      </c>
      <c r="R307" s="587"/>
      <c r="S307" s="587" t="str">
        <f t="shared" si="102"/>
        <v/>
      </c>
      <c r="T307" s="587"/>
      <c r="U307" s="587" t="str">
        <f t="shared" si="103"/>
        <v/>
      </c>
      <c r="V307" s="587" t="s">
        <v>957</v>
      </c>
      <c r="W307" s="587">
        <f t="shared" si="104"/>
        <v>5.64</v>
      </c>
      <c r="X307" s="587"/>
      <c r="Y307" s="587" t="str">
        <f t="shared" si="99"/>
        <v/>
      </c>
      <c r="Z307" s="587"/>
      <c r="AA307" s="587" t="str">
        <f t="shared" si="95"/>
        <v/>
      </c>
      <c r="AB307" s="587"/>
      <c r="AC307" s="587" t="str">
        <f t="shared" si="96"/>
        <v/>
      </c>
      <c r="AD307" s="586"/>
      <c r="AE307" s="587" t="str">
        <f t="shared" si="94"/>
        <v/>
      </c>
    </row>
    <row r="308" spans="2:31">
      <c r="B308" s="586" t="s">
        <v>307</v>
      </c>
      <c r="C308" s="587">
        <v>2.25</v>
      </c>
      <c r="D308" s="588" t="s">
        <v>957</v>
      </c>
      <c r="E308" s="587">
        <v>3.65</v>
      </c>
      <c r="F308" s="587">
        <f>C308*E308</f>
        <v>8.2125000000000004</v>
      </c>
      <c r="G308" s="587">
        <f>(C308+E308)*2</f>
        <v>11.8</v>
      </c>
      <c r="H308" s="589"/>
      <c r="I308" s="587" t="str">
        <f t="shared" si="100"/>
        <v/>
      </c>
      <c r="J308" s="589"/>
      <c r="K308" s="587" t="str">
        <f t="shared" si="92"/>
        <v/>
      </c>
      <c r="L308" s="587" t="s">
        <v>952</v>
      </c>
      <c r="M308" s="587">
        <f t="shared" si="91"/>
        <v>8.2125000000000004</v>
      </c>
      <c r="N308" s="587"/>
      <c r="O308" s="587" t="str">
        <f t="shared" si="101"/>
        <v/>
      </c>
      <c r="P308" s="587"/>
      <c r="Q308" s="587" t="str">
        <f t="shared" si="93"/>
        <v/>
      </c>
      <c r="R308" s="587"/>
      <c r="S308" s="587" t="str">
        <f t="shared" si="102"/>
        <v/>
      </c>
      <c r="T308" s="587"/>
      <c r="U308" s="587" t="str">
        <f t="shared" si="103"/>
        <v/>
      </c>
      <c r="V308" s="587" t="s">
        <v>957</v>
      </c>
      <c r="W308" s="587">
        <f t="shared" si="104"/>
        <v>8.2125000000000004</v>
      </c>
      <c r="X308" s="587"/>
      <c r="Y308" s="587" t="str">
        <f t="shared" si="99"/>
        <v/>
      </c>
      <c r="Z308" s="587"/>
      <c r="AA308" s="587" t="str">
        <f t="shared" si="95"/>
        <v/>
      </c>
      <c r="AB308" s="587"/>
      <c r="AC308" s="587" t="str">
        <f t="shared" si="96"/>
        <v/>
      </c>
      <c r="AD308" s="586"/>
      <c r="AE308" s="587" t="str">
        <f t="shared" si="94"/>
        <v/>
      </c>
    </row>
    <row r="309" spans="2:31">
      <c r="B309" s="586" t="s">
        <v>396</v>
      </c>
      <c r="C309" s="587">
        <v>4.29</v>
      </c>
      <c r="D309" s="588" t="s">
        <v>957</v>
      </c>
      <c r="E309" s="587">
        <v>3.37</v>
      </c>
      <c r="F309" s="587">
        <f>C309*E309</f>
        <v>14.4573</v>
      </c>
      <c r="G309" s="587">
        <f>(C309+E309)*2</f>
        <v>15.32</v>
      </c>
      <c r="H309" s="589" t="s">
        <v>957</v>
      </c>
      <c r="I309" s="587">
        <f t="shared" si="100"/>
        <v>14.4573</v>
      </c>
      <c r="J309" s="589" t="s">
        <v>957</v>
      </c>
      <c r="K309" s="587">
        <f t="shared" si="92"/>
        <v>15.32</v>
      </c>
      <c r="L309" s="587"/>
      <c r="M309" s="587" t="str">
        <f t="shared" si="91"/>
        <v/>
      </c>
      <c r="N309" s="587"/>
      <c r="O309" s="587" t="str">
        <f t="shared" si="101"/>
        <v/>
      </c>
      <c r="P309" s="587"/>
      <c r="Q309" s="587" t="str">
        <f t="shared" si="93"/>
        <v/>
      </c>
      <c r="R309" s="587"/>
      <c r="S309" s="587" t="str">
        <f t="shared" si="102"/>
        <v/>
      </c>
      <c r="T309" s="587"/>
      <c r="U309" s="587" t="str">
        <f t="shared" si="103"/>
        <v/>
      </c>
      <c r="V309" s="587" t="s">
        <v>957</v>
      </c>
      <c r="W309" s="587">
        <f t="shared" si="104"/>
        <v>14.4573</v>
      </c>
      <c r="X309" s="587"/>
      <c r="Y309" s="587" t="str">
        <f t="shared" si="99"/>
        <v/>
      </c>
      <c r="Z309" s="587"/>
      <c r="AA309" s="587" t="str">
        <f t="shared" si="95"/>
        <v/>
      </c>
      <c r="AB309" s="587"/>
      <c r="AC309" s="587" t="str">
        <f t="shared" si="96"/>
        <v/>
      </c>
      <c r="AD309" s="586"/>
      <c r="AE309" s="587" t="str">
        <f t="shared" si="94"/>
        <v/>
      </c>
    </row>
    <row r="310" spans="2:31">
      <c r="B310" s="586" t="s">
        <v>428</v>
      </c>
      <c r="C310" s="587"/>
      <c r="D310" s="588"/>
      <c r="E310" s="587"/>
      <c r="F310" s="587">
        <v>4.57</v>
      </c>
      <c r="G310" s="587">
        <v>9.5399999999999991</v>
      </c>
      <c r="H310" s="589" t="s">
        <v>957</v>
      </c>
      <c r="I310" s="587">
        <f t="shared" si="100"/>
        <v>4.57</v>
      </c>
      <c r="J310" s="589" t="s">
        <v>957</v>
      </c>
      <c r="K310" s="587">
        <f t="shared" si="92"/>
        <v>9.5399999999999991</v>
      </c>
      <c r="L310" s="587"/>
      <c r="M310" s="587" t="str">
        <f t="shared" si="91"/>
        <v/>
      </c>
      <c r="N310" s="587"/>
      <c r="O310" s="587" t="str">
        <f t="shared" si="101"/>
        <v/>
      </c>
      <c r="P310" s="587"/>
      <c r="Q310" s="587" t="str">
        <f t="shared" si="93"/>
        <v/>
      </c>
      <c r="R310" s="587"/>
      <c r="S310" s="587" t="str">
        <f t="shared" si="102"/>
        <v/>
      </c>
      <c r="T310" s="587"/>
      <c r="U310" s="587" t="str">
        <f t="shared" si="103"/>
        <v/>
      </c>
      <c r="V310" s="587" t="s">
        <v>957</v>
      </c>
      <c r="W310" s="587">
        <f t="shared" si="104"/>
        <v>4.57</v>
      </c>
      <c r="X310" s="587"/>
      <c r="Y310" s="587" t="str">
        <f t="shared" si="99"/>
        <v/>
      </c>
      <c r="Z310" s="587"/>
      <c r="AA310" s="587" t="str">
        <f t="shared" si="95"/>
        <v/>
      </c>
      <c r="AB310" s="587"/>
      <c r="AC310" s="587" t="str">
        <f t="shared" si="96"/>
        <v/>
      </c>
      <c r="AD310" s="586"/>
      <c r="AE310" s="587" t="str">
        <f t="shared" si="94"/>
        <v/>
      </c>
    </row>
    <row r="311" spans="2:31">
      <c r="B311" s="586" t="s">
        <v>428</v>
      </c>
      <c r="C311" s="587"/>
      <c r="D311" s="588"/>
      <c r="E311" s="587"/>
      <c r="F311" s="587">
        <v>4.57</v>
      </c>
      <c r="G311" s="587">
        <v>9.5399999999999991</v>
      </c>
      <c r="H311" s="589" t="s">
        <v>957</v>
      </c>
      <c r="I311" s="587">
        <f t="shared" si="100"/>
        <v>4.57</v>
      </c>
      <c r="J311" s="589" t="s">
        <v>957</v>
      </c>
      <c r="K311" s="587">
        <f t="shared" si="92"/>
        <v>9.5399999999999991</v>
      </c>
      <c r="L311" s="587"/>
      <c r="M311" s="587" t="str">
        <f t="shared" ref="M311:M374" si="105">IF(L311="x",$F311,"")</f>
        <v/>
      </c>
      <c r="N311" s="587"/>
      <c r="O311" s="587" t="str">
        <f t="shared" si="101"/>
        <v/>
      </c>
      <c r="P311" s="587"/>
      <c r="Q311" s="587" t="str">
        <f t="shared" si="93"/>
        <v/>
      </c>
      <c r="R311" s="587"/>
      <c r="S311" s="587" t="str">
        <f t="shared" si="102"/>
        <v/>
      </c>
      <c r="T311" s="587"/>
      <c r="U311" s="587" t="str">
        <f t="shared" si="103"/>
        <v/>
      </c>
      <c r="V311" s="587" t="s">
        <v>957</v>
      </c>
      <c r="W311" s="587">
        <f t="shared" si="104"/>
        <v>4.57</v>
      </c>
      <c r="X311" s="587"/>
      <c r="Y311" s="587" t="str">
        <f t="shared" si="99"/>
        <v/>
      </c>
      <c r="Z311" s="587"/>
      <c r="AA311" s="587" t="str">
        <f t="shared" si="95"/>
        <v/>
      </c>
      <c r="AB311" s="587"/>
      <c r="AC311" s="587" t="str">
        <f t="shared" si="96"/>
        <v/>
      </c>
      <c r="AD311" s="586"/>
      <c r="AE311" s="587" t="str">
        <f t="shared" si="94"/>
        <v/>
      </c>
    </row>
    <row r="312" spans="2:31">
      <c r="B312" s="586" t="s">
        <v>476</v>
      </c>
      <c r="C312" s="587">
        <v>1.52</v>
      </c>
      <c r="D312" s="588" t="s">
        <v>957</v>
      </c>
      <c r="E312" s="587">
        <v>3.37</v>
      </c>
      <c r="F312" s="587">
        <f>C312*E312</f>
        <v>5.1223999999999998</v>
      </c>
      <c r="G312" s="587">
        <f>(C312+E312)*2</f>
        <v>9.7800000000000011</v>
      </c>
      <c r="H312" s="589"/>
      <c r="I312" s="587" t="str">
        <f t="shared" si="100"/>
        <v/>
      </c>
      <c r="J312" s="589"/>
      <c r="K312" s="587" t="str">
        <f t="shared" si="92"/>
        <v/>
      </c>
      <c r="L312" s="587"/>
      <c r="M312" s="587" t="str">
        <f t="shared" si="105"/>
        <v/>
      </c>
      <c r="N312" s="587" t="s">
        <v>957</v>
      </c>
      <c r="O312" s="587">
        <f t="shared" si="101"/>
        <v>5.1223999999999998</v>
      </c>
      <c r="P312" s="587" t="s">
        <v>957</v>
      </c>
      <c r="Q312" s="587">
        <f t="shared" si="93"/>
        <v>9.7800000000000011</v>
      </c>
      <c r="R312" s="587"/>
      <c r="S312" s="587" t="str">
        <f t="shared" si="102"/>
        <v/>
      </c>
      <c r="T312" s="587"/>
      <c r="U312" s="587" t="str">
        <f t="shared" si="103"/>
        <v/>
      </c>
      <c r="V312" s="587" t="s">
        <v>957</v>
      </c>
      <c r="W312" s="587">
        <f t="shared" si="104"/>
        <v>5.1223999999999998</v>
      </c>
      <c r="X312" s="587"/>
      <c r="Y312" s="587" t="str">
        <f t="shared" si="99"/>
        <v/>
      </c>
      <c r="Z312" s="587"/>
      <c r="AA312" s="587" t="str">
        <f t="shared" si="95"/>
        <v/>
      </c>
      <c r="AB312" s="587"/>
      <c r="AC312" s="587" t="str">
        <f t="shared" si="96"/>
        <v/>
      </c>
      <c r="AD312" s="586"/>
      <c r="AE312" s="587" t="str">
        <f t="shared" si="94"/>
        <v/>
      </c>
    </row>
    <row r="313" spans="2:31">
      <c r="B313" s="586" t="s">
        <v>430</v>
      </c>
      <c r="C313" s="587">
        <v>3.07</v>
      </c>
      <c r="D313" s="588" t="s">
        <v>957</v>
      </c>
      <c r="E313" s="587">
        <v>5.45</v>
      </c>
      <c r="F313" s="587">
        <f>C313*E313</f>
        <v>16.7315</v>
      </c>
      <c r="G313" s="587">
        <f>(C313+E313)*2</f>
        <v>17.04</v>
      </c>
      <c r="H313" s="589" t="s">
        <v>957</v>
      </c>
      <c r="I313" s="587">
        <f t="shared" si="100"/>
        <v>16.7315</v>
      </c>
      <c r="J313" s="589" t="s">
        <v>957</v>
      </c>
      <c r="K313" s="587">
        <f t="shared" si="92"/>
        <v>17.04</v>
      </c>
      <c r="L313" s="587"/>
      <c r="M313" s="587" t="str">
        <f t="shared" si="105"/>
        <v/>
      </c>
      <c r="N313" s="587"/>
      <c r="O313" s="587" t="str">
        <f t="shared" si="101"/>
        <v/>
      </c>
      <c r="P313" s="587"/>
      <c r="Q313" s="587" t="str">
        <f t="shared" si="93"/>
        <v/>
      </c>
      <c r="R313" s="587"/>
      <c r="S313" s="587" t="str">
        <f t="shared" si="102"/>
        <v/>
      </c>
      <c r="T313" s="587"/>
      <c r="U313" s="587" t="str">
        <f t="shared" si="103"/>
        <v/>
      </c>
      <c r="V313" s="587" t="s">
        <v>957</v>
      </c>
      <c r="W313" s="587">
        <f t="shared" si="104"/>
        <v>16.7315</v>
      </c>
      <c r="X313" s="587"/>
      <c r="Y313" s="587" t="str">
        <f t="shared" si="99"/>
        <v/>
      </c>
      <c r="Z313" s="587"/>
      <c r="AA313" s="587" t="str">
        <f t="shared" si="95"/>
        <v/>
      </c>
      <c r="AB313" s="587"/>
      <c r="AC313" s="587" t="str">
        <f t="shared" si="96"/>
        <v/>
      </c>
      <c r="AD313" s="586"/>
      <c r="AE313" s="587" t="str">
        <f t="shared" si="94"/>
        <v/>
      </c>
    </row>
    <row r="314" spans="2:31">
      <c r="B314" s="586" t="s">
        <v>430</v>
      </c>
      <c r="C314" s="587">
        <v>3.07</v>
      </c>
      <c r="D314" s="588" t="s">
        <v>957</v>
      </c>
      <c r="E314" s="587">
        <v>5.45</v>
      </c>
      <c r="F314" s="587">
        <f>C314*E314</f>
        <v>16.7315</v>
      </c>
      <c r="G314" s="587">
        <f>(C314+E314)*2</f>
        <v>17.04</v>
      </c>
      <c r="H314" s="589" t="s">
        <v>957</v>
      </c>
      <c r="I314" s="587">
        <f t="shared" si="100"/>
        <v>16.7315</v>
      </c>
      <c r="J314" s="589" t="s">
        <v>957</v>
      </c>
      <c r="K314" s="587">
        <f t="shared" si="92"/>
        <v>17.04</v>
      </c>
      <c r="L314" s="587"/>
      <c r="M314" s="587" t="str">
        <f t="shared" si="105"/>
        <v/>
      </c>
      <c r="N314" s="587"/>
      <c r="O314" s="587" t="str">
        <f t="shared" si="101"/>
        <v/>
      </c>
      <c r="P314" s="587"/>
      <c r="Q314" s="587" t="str">
        <f t="shared" si="93"/>
        <v/>
      </c>
      <c r="R314" s="587"/>
      <c r="S314" s="587" t="str">
        <f t="shared" si="102"/>
        <v/>
      </c>
      <c r="T314" s="587"/>
      <c r="U314" s="587" t="str">
        <f t="shared" si="103"/>
        <v/>
      </c>
      <c r="V314" s="587" t="s">
        <v>957</v>
      </c>
      <c r="W314" s="587">
        <f t="shared" si="104"/>
        <v>16.7315</v>
      </c>
      <c r="X314" s="587"/>
      <c r="Y314" s="587" t="str">
        <f t="shared" si="99"/>
        <v/>
      </c>
      <c r="Z314" s="587"/>
      <c r="AA314" s="587" t="str">
        <f t="shared" si="95"/>
        <v/>
      </c>
      <c r="AB314" s="587"/>
      <c r="AC314" s="587" t="str">
        <f t="shared" si="96"/>
        <v/>
      </c>
      <c r="AD314" s="586"/>
      <c r="AE314" s="587" t="str">
        <f t="shared" si="94"/>
        <v/>
      </c>
    </row>
    <row r="315" spans="2:31">
      <c r="B315" s="586" t="s">
        <v>315</v>
      </c>
      <c r="C315" s="587"/>
      <c r="D315" s="588"/>
      <c r="E315" s="587"/>
      <c r="F315" s="587">
        <v>17.63</v>
      </c>
      <c r="G315" s="587">
        <v>18.010000000000002</v>
      </c>
      <c r="H315" s="589" t="s">
        <v>957</v>
      </c>
      <c r="I315" s="587">
        <f t="shared" si="100"/>
        <v>17.63</v>
      </c>
      <c r="J315" s="589" t="s">
        <v>957</v>
      </c>
      <c r="K315" s="587">
        <f t="shared" si="92"/>
        <v>18.010000000000002</v>
      </c>
      <c r="L315" s="587"/>
      <c r="M315" s="587" t="str">
        <f t="shared" si="105"/>
        <v/>
      </c>
      <c r="N315" s="587"/>
      <c r="O315" s="587" t="str">
        <f t="shared" si="101"/>
        <v/>
      </c>
      <c r="P315" s="587"/>
      <c r="Q315" s="587" t="str">
        <f t="shared" si="93"/>
        <v/>
      </c>
      <c r="R315" s="587"/>
      <c r="S315" s="587" t="str">
        <f t="shared" si="102"/>
        <v/>
      </c>
      <c r="T315" s="587"/>
      <c r="U315" s="587" t="str">
        <f t="shared" si="103"/>
        <v/>
      </c>
      <c r="V315" s="587" t="s">
        <v>957</v>
      </c>
      <c r="W315" s="587">
        <f t="shared" si="104"/>
        <v>17.63</v>
      </c>
      <c r="X315" s="587"/>
      <c r="Y315" s="587" t="str">
        <f t="shared" si="99"/>
        <v/>
      </c>
      <c r="Z315" s="587"/>
      <c r="AA315" s="587" t="str">
        <f t="shared" si="95"/>
        <v/>
      </c>
      <c r="AB315" s="587"/>
      <c r="AC315" s="587" t="str">
        <f t="shared" si="96"/>
        <v/>
      </c>
      <c r="AD315" s="586"/>
      <c r="AE315" s="587" t="str">
        <f t="shared" si="94"/>
        <v/>
      </c>
    </row>
    <row r="316" spans="2:31">
      <c r="B316" s="586" t="s">
        <v>495</v>
      </c>
      <c r="C316" s="587">
        <v>3</v>
      </c>
      <c r="D316" s="588" t="s">
        <v>957</v>
      </c>
      <c r="E316" s="587">
        <v>3.92</v>
      </c>
      <c r="F316" s="587">
        <f t="shared" ref="F316:F322" si="106">C316*E316</f>
        <v>11.76</v>
      </c>
      <c r="G316" s="587">
        <f t="shared" ref="G316:G322" si="107">(C316+E316)*2</f>
        <v>13.84</v>
      </c>
      <c r="H316" s="589" t="s">
        <v>957</v>
      </c>
      <c r="I316" s="587">
        <f t="shared" si="100"/>
        <v>11.76</v>
      </c>
      <c r="J316" s="589" t="s">
        <v>957</v>
      </c>
      <c r="K316" s="587">
        <f t="shared" si="92"/>
        <v>13.84</v>
      </c>
      <c r="L316" s="587"/>
      <c r="M316" s="587" t="str">
        <f t="shared" si="105"/>
        <v/>
      </c>
      <c r="N316" s="587"/>
      <c r="O316" s="587" t="str">
        <f t="shared" si="101"/>
        <v/>
      </c>
      <c r="P316" s="587"/>
      <c r="Q316" s="587" t="str">
        <f t="shared" si="93"/>
        <v/>
      </c>
      <c r="R316" s="587"/>
      <c r="S316" s="587" t="str">
        <f t="shared" si="102"/>
        <v/>
      </c>
      <c r="T316" s="587"/>
      <c r="U316" s="587" t="str">
        <f t="shared" si="103"/>
        <v/>
      </c>
      <c r="V316" s="587" t="s">
        <v>957</v>
      </c>
      <c r="W316" s="587">
        <f t="shared" si="104"/>
        <v>11.76</v>
      </c>
      <c r="X316" s="587"/>
      <c r="Y316" s="587" t="str">
        <f t="shared" si="99"/>
        <v/>
      </c>
      <c r="Z316" s="587"/>
      <c r="AA316" s="587" t="str">
        <f t="shared" si="95"/>
        <v/>
      </c>
      <c r="AB316" s="587"/>
      <c r="AC316" s="587" t="str">
        <f t="shared" si="96"/>
        <v/>
      </c>
      <c r="AD316" s="586"/>
      <c r="AE316" s="587" t="str">
        <f t="shared" si="94"/>
        <v/>
      </c>
    </row>
    <row r="317" spans="2:31">
      <c r="B317" s="586" t="s">
        <v>496</v>
      </c>
      <c r="C317" s="587">
        <v>3</v>
      </c>
      <c r="D317" s="588" t="s">
        <v>957</v>
      </c>
      <c r="E317" s="587">
        <v>3.35</v>
      </c>
      <c r="F317" s="587">
        <f t="shared" si="106"/>
        <v>10.050000000000001</v>
      </c>
      <c r="G317" s="587">
        <f t="shared" si="107"/>
        <v>12.7</v>
      </c>
      <c r="H317" s="589" t="s">
        <v>957</v>
      </c>
      <c r="I317" s="587">
        <f t="shared" si="100"/>
        <v>10.050000000000001</v>
      </c>
      <c r="J317" s="589" t="s">
        <v>957</v>
      </c>
      <c r="K317" s="587">
        <f t="shared" si="92"/>
        <v>12.7</v>
      </c>
      <c r="L317" s="587"/>
      <c r="M317" s="587" t="str">
        <f t="shared" si="105"/>
        <v/>
      </c>
      <c r="N317" s="587"/>
      <c r="O317" s="587" t="str">
        <f t="shared" si="101"/>
        <v/>
      </c>
      <c r="P317" s="587"/>
      <c r="Q317" s="587" t="str">
        <f t="shared" si="93"/>
        <v/>
      </c>
      <c r="R317" s="587"/>
      <c r="S317" s="587" t="str">
        <f t="shared" si="102"/>
        <v/>
      </c>
      <c r="T317" s="587"/>
      <c r="U317" s="587" t="str">
        <f t="shared" si="103"/>
        <v/>
      </c>
      <c r="V317" s="587" t="s">
        <v>957</v>
      </c>
      <c r="W317" s="587">
        <f t="shared" si="104"/>
        <v>10.050000000000001</v>
      </c>
      <c r="X317" s="587"/>
      <c r="Y317" s="587" t="str">
        <f t="shared" si="99"/>
        <v/>
      </c>
      <c r="Z317" s="587"/>
      <c r="AA317" s="587" t="str">
        <f t="shared" si="95"/>
        <v/>
      </c>
      <c r="AB317" s="587"/>
      <c r="AC317" s="587" t="str">
        <f t="shared" si="96"/>
        <v/>
      </c>
      <c r="AD317" s="586"/>
      <c r="AE317" s="587" t="str">
        <f t="shared" si="94"/>
        <v/>
      </c>
    </row>
    <row r="318" spans="2:31">
      <c r="B318" s="586" t="s">
        <v>497</v>
      </c>
      <c r="C318" s="587">
        <v>3</v>
      </c>
      <c r="D318" s="588" t="s">
        <v>957</v>
      </c>
      <c r="E318" s="587">
        <v>3.5</v>
      </c>
      <c r="F318" s="587">
        <f t="shared" si="106"/>
        <v>10.5</v>
      </c>
      <c r="G318" s="587">
        <f t="shared" si="107"/>
        <v>13</v>
      </c>
      <c r="H318" s="589" t="s">
        <v>957</v>
      </c>
      <c r="I318" s="587">
        <f t="shared" si="100"/>
        <v>10.5</v>
      </c>
      <c r="J318" s="589" t="s">
        <v>957</v>
      </c>
      <c r="K318" s="587">
        <f t="shared" si="92"/>
        <v>13</v>
      </c>
      <c r="L318" s="587"/>
      <c r="M318" s="587" t="str">
        <f t="shared" si="105"/>
        <v/>
      </c>
      <c r="N318" s="587"/>
      <c r="O318" s="587" t="str">
        <f t="shared" si="101"/>
        <v/>
      </c>
      <c r="P318" s="587"/>
      <c r="Q318" s="587" t="str">
        <f t="shared" si="93"/>
        <v/>
      </c>
      <c r="R318" s="587"/>
      <c r="S318" s="587" t="str">
        <f t="shared" si="102"/>
        <v/>
      </c>
      <c r="T318" s="587"/>
      <c r="U318" s="587" t="str">
        <f t="shared" si="103"/>
        <v/>
      </c>
      <c r="V318" s="587" t="s">
        <v>957</v>
      </c>
      <c r="W318" s="587">
        <f t="shared" si="104"/>
        <v>10.5</v>
      </c>
      <c r="X318" s="587"/>
      <c r="Y318" s="587" t="str">
        <f t="shared" si="99"/>
        <v/>
      </c>
      <c r="Z318" s="587"/>
      <c r="AA318" s="587" t="str">
        <f t="shared" si="95"/>
        <v/>
      </c>
      <c r="AB318" s="587"/>
      <c r="AC318" s="587" t="str">
        <f t="shared" si="96"/>
        <v/>
      </c>
      <c r="AD318" s="586"/>
      <c r="AE318" s="587" t="str">
        <f t="shared" si="94"/>
        <v/>
      </c>
    </row>
    <row r="319" spans="2:31">
      <c r="B319" s="586" t="s">
        <v>495</v>
      </c>
      <c r="C319" s="587">
        <v>3</v>
      </c>
      <c r="D319" s="588" t="s">
        <v>957</v>
      </c>
      <c r="E319" s="587">
        <v>3.92</v>
      </c>
      <c r="F319" s="587">
        <f t="shared" si="106"/>
        <v>11.76</v>
      </c>
      <c r="G319" s="587">
        <f t="shared" si="107"/>
        <v>13.84</v>
      </c>
      <c r="H319" s="589" t="s">
        <v>957</v>
      </c>
      <c r="I319" s="587">
        <f t="shared" si="100"/>
        <v>11.76</v>
      </c>
      <c r="J319" s="589" t="s">
        <v>957</v>
      </c>
      <c r="K319" s="587">
        <f t="shared" si="92"/>
        <v>13.84</v>
      </c>
      <c r="L319" s="587"/>
      <c r="M319" s="587" t="str">
        <f t="shared" si="105"/>
        <v/>
      </c>
      <c r="N319" s="587"/>
      <c r="O319" s="587" t="str">
        <f t="shared" si="101"/>
        <v/>
      </c>
      <c r="P319" s="587"/>
      <c r="Q319" s="587" t="str">
        <f t="shared" si="93"/>
        <v/>
      </c>
      <c r="R319" s="587"/>
      <c r="S319" s="587" t="str">
        <f t="shared" si="102"/>
        <v/>
      </c>
      <c r="T319" s="587"/>
      <c r="U319" s="587" t="str">
        <f t="shared" si="103"/>
        <v/>
      </c>
      <c r="V319" s="587" t="s">
        <v>957</v>
      </c>
      <c r="W319" s="587">
        <f t="shared" si="104"/>
        <v>11.76</v>
      </c>
      <c r="X319" s="587"/>
      <c r="Y319" s="587" t="str">
        <f t="shared" si="99"/>
        <v/>
      </c>
      <c r="Z319" s="587"/>
      <c r="AA319" s="587" t="str">
        <f t="shared" si="95"/>
        <v/>
      </c>
      <c r="AB319" s="587"/>
      <c r="AC319" s="587" t="str">
        <f t="shared" si="96"/>
        <v/>
      </c>
      <c r="AD319" s="586"/>
      <c r="AE319" s="587" t="str">
        <f t="shared" si="94"/>
        <v/>
      </c>
    </row>
    <row r="320" spans="2:31">
      <c r="B320" s="586" t="s">
        <v>498</v>
      </c>
      <c r="C320" s="587">
        <v>2.25</v>
      </c>
      <c r="D320" s="588" t="s">
        <v>957</v>
      </c>
      <c r="E320" s="587">
        <v>3.04</v>
      </c>
      <c r="F320" s="587">
        <f t="shared" si="106"/>
        <v>6.84</v>
      </c>
      <c r="G320" s="587">
        <f t="shared" si="107"/>
        <v>10.58</v>
      </c>
      <c r="H320" s="589" t="s">
        <v>957</v>
      </c>
      <c r="I320" s="587">
        <f t="shared" si="100"/>
        <v>6.84</v>
      </c>
      <c r="J320" s="589" t="s">
        <v>957</v>
      </c>
      <c r="K320" s="587">
        <f t="shared" si="92"/>
        <v>10.58</v>
      </c>
      <c r="L320" s="587"/>
      <c r="M320" s="587" t="str">
        <f t="shared" si="105"/>
        <v/>
      </c>
      <c r="N320" s="587"/>
      <c r="O320" s="587" t="str">
        <f t="shared" si="101"/>
        <v/>
      </c>
      <c r="P320" s="587"/>
      <c r="Q320" s="587" t="str">
        <f t="shared" si="93"/>
        <v/>
      </c>
      <c r="R320" s="587"/>
      <c r="S320" s="587" t="str">
        <f t="shared" si="102"/>
        <v/>
      </c>
      <c r="T320" s="587"/>
      <c r="U320" s="587" t="str">
        <f t="shared" si="103"/>
        <v/>
      </c>
      <c r="V320" s="587" t="s">
        <v>957</v>
      </c>
      <c r="W320" s="587">
        <f t="shared" si="104"/>
        <v>6.84</v>
      </c>
      <c r="X320" s="587"/>
      <c r="Y320" s="587" t="str">
        <f t="shared" si="99"/>
        <v/>
      </c>
      <c r="Z320" s="587"/>
      <c r="AA320" s="587" t="str">
        <f t="shared" si="95"/>
        <v/>
      </c>
      <c r="AB320" s="587"/>
      <c r="AC320" s="587" t="str">
        <f t="shared" si="96"/>
        <v/>
      </c>
      <c r="AD320" s="586"/>
      <c r="AE320" s="587" t="str">
        <f t="shared" si="94"/>
        <v/>
      </c>
    </row>
    <row r="321" spans="2:31">
      <c r="B321" s="586" t="s">
        <v>308</v>
      </c>
      <c r="C321" s="587">
        <v>2.1</v>
      </c>
      <c r="D321" s="588" t="s">
        <v>957</v>
      </c>
      <c r="E321" s="587">
        <v>2.25</v>
      </c>
      <c r="F321" s="587">
        <f t="shared" si="106"/>
        <v>4.7250000000000005</v>
      </c>
      <c r="G321" s="587">
        <f t="shared" si="107"/>
        <v>8.6999999999999993</v>
      </c>
      <c r="H321" s="589" t="s">
        <v>957</v>
      </c>
      <c r="I321" s="587">
        <f t="shared" si="100"/>
        <v>4.7250000000000005</v>
      </c>
      <c r="J321" s="589" t="s">
        <v>957</v>
      </c>
      <c r="K321" s="587">
        <f t="shared" si="92"/>
        <v>8.6999999999999993</v>
      </c>
      <c r="L321" s="587"/>
      <c r="M321" s="587" t="str">
        <f t="shared" si="105"/>
        <v/>
      </c>
      <c r="N321" s="587"/>
      <c r="O321" s="587" t="str">
        <f t="shared" si="101"/>
        <v/>
      </c>
      <c r="P321" s="587"/>
      <c r="Q321" s="587" t="str">
        <f t="shared" si="93"/>
        <v/>
      </c>
      <c r="R321" s="587"/>
      <c r="S321" s="587" t="str">
        <f t="shared" si="102"/>
        <v/>
      </c>
      <c r="T321" s="587"/>
      <c r="U321" s="587" t="str">
        <f t="shared" si="103"/>
        <v/>
      </c>
      <c r="V321" s="587" t="s">
        <v>957</v>
      </c>
      <c r="W321" s="587">
        <f t="shared" si="104"/>
        <v>4.7250000000000005</v>
      </c>
      <c r="X321" s="587"/>
      <c r="Y321" s="587" t="str">
        <f t="shared" si="99"/>
        <v/>
      </c>
      <c r="Z321" s="587"/>
      <c r="AA321" s="587" t="str">
        <f t="shared" si="95"/>
        <v/>
      </c>
      <c r="AB321" s="587"/>
      <c r="AC321" s="587" t="str">
        <f t="shared" si="96"/>
        <v/>
      </c>
      <c r="AD321" s="586"/>
      <c r="AE321" s="587" t="str">
        <f t="shared" si="94"/>
        <v/>
      </c>
    </row>
    <row r="322" spans="2:31">
      <c r="B322" s="586" t="s">
        <v>499</v>
      </c>
      <c r="C322" s="587">
        <v>2.1</v>
      </c>
      <c r="D322" s="588" t="s">
        <v>957</v>
      </c>
      <c r="E322" s="587">
        <v>4.03</v>
      </c>
      <c r="F322" s="587">
        <f t="shared" si="106"/>
        <v>8.463000000000001</v>
      </c>
      <c r="G322" s="587">
        <f t="shared" si="107"/>
        <v>12.260000000000002</v>
      </c>
      <c r="H322" s="589" t="s">
        <v>957</v>
      </c>
      <c r="I322" s="587">
        <f t="shared" si="100"/>
        <v>8.463000000000001</v>
      </c>
      <c r="J322" s="589" t="s">
        <v>957</v>
      </c>
      <c r="K322" s="587">
        <f t="shared" si="92"/>
        <v>12.260000000000002</v>
      </c>
      <c r="L322" s="587"/>
      <c r="M322" s="587" t="str">
        <f t="shared" si="105"/>
        <v/>
      </c>
      <c r="N322" s="587"/>
      <c r="O322" s="587" t="str">
        <f t="shared" si="101"/>
        <v/>
      </c>
      <c r="P322" s="587"/>
      <c r="Q322" s="587" t="str">
        <f t="shared" si="93"/>
        <v/>
      </c>
      <c r="R322" s="587"/>
      <c r="S322" s="587" t="str">
        <f t="shared" si="102"/>
        <v/>
      </c>
      <c r="T322" s="587"/>
      <c r="U322" s="587" t="str">
        <f t="shared" si="103"/>
        <v/>
      </c>
      <c r="V322" s="587" t="s">
        <v>957</v>
      </c>
      <c r="W322" s="587">
        <f t="shared" si="104"/>
        <v>8.463000000000001</v>
      </c>
      <c r="X322" s="587"/>
      <c r="Y322" s="587" t="str">
        <f t="shared" si="99"/>
        <v/>
      </c>
      <c r="Z322" s="587"/>
      <c r="AA322" s="587" t="str">
        <f t="shared" si="95"/>
        <v/>
      </c>
      <c r="AB322" s="587"/>
      <c r="AC322" s="587" t="str">
        <f t="shared" si="96"/>
        <v/>
      </c>
      <c r="AD322" s="586"/>
      <c r="AE322" s="587" t="str">
        <f t="shared" si="94"/>
        <v/>
      </c>
    </row>
    <row r="323" spans="2:31">
      <c r="B323" s="586" t="s">
        <v>500</v>
      </c>
      <c r="C323" s="587"/>
      <c r="D323" s="588"/>
      <c r="E323" s="587"/>
      <c r="F323" s="587">
        <v>20.149999999999999</v>
      </c>
      <c r="G323" s="587">
        <v>19.61</v>
      </c>
      <c r="H323" s="589" t="s">
        <v>957</v>
      </c>
      <c r="I323" s="587">
        <f t="shared" si="100"/>
        <v>20.149999999999999</v>
      </c>
      <c r="J323" s="589" t="s">
        <v>957</v>
      </c>
      <c r="K323" s="587">
        <f t="shared" si="92"/>
        <v>19.61</v>
      </c>
      <c r="L323" s="587"/>
      <c r="M323" s="587" t="str">
        <f t="shared" si="105"/>
        <v/>
      </c>
      <c r="N323" s="587"/>
      <c r="O323" s="587" t="str">
        <f t="shared" si="101"/>
        <v/>
      </c>
      <c r="P323" s="587"/>
      <c r="Q323" s="587" t="str">
        <f t="shared" si="93"/>
        <v/>
      </c>
      <c r="R323" s="587"/>
      <c r="S323" s="587" t="str">
        <f t="shared" si="102"/>
        <v/>
      </c>
      <c r="T323" s="587"/>
      <c r="U323" s="587" t="str">
        <f t="shared" si="103"/>
        <v/>
      </c>
      <c r="V323" s="587" t="s">
        <v>957</v>
      </c>
      <c r="W323" s="587">
        <f t="shared" si="104"/>
        <v>20.149999999999999</v>
      </c>
      <c r="X323" s="587"/>
      <c r="Y323" s="587" t="str">
        <f t="shared" si="99"/>
        <v/>
      </c>
      <c r="Z323" s="587"/>
      <c r="AA323" s="587" t="str">
        <f t="shared" si="95"/>
        <v/>
      </c>
      <c r="AB323" s="587"/>
      <c r="AC323" s="587" t="str">
        <f t="shared" si="96"/>
        <v/>
      </c>
      <c r="AD323" s="586"/>
      <c r="AE323" s="587" t="str">
        <f t="shared" si="94"/>
        <v/>
      </c>
    </row>
    <row r="324" spans="2:31">
      <c r="B324" s="586" t="s">
        <v>325</v>
      </c>
      <c r="C324" s="587"/>
      <c r="D324" s="588"/>
      <c r="E324" s="587"/>
      <c r="F324" s="587">
        <v>109.38</v>
      </c>
      <c r="G324" s="587">
        <v>83.45</v>
      </c>
      <c r="H324" s="589" t="s">
        <v>957</v>
      </c>
      <c r="I324" s="587">
        <f t="shared" si="100"/>
        <v>109.38</v>
      </c>
      <c r="J324" s="589" t="s">
        <v>957</v>
      </c>
      <c r="K324" s="587">
        <f t="shared" si="92"/>
        <v>83.45</v>
      </c>
      <c r="L324" s="587"/>
      <c r="M324" s="587" t="str">
        <f t="shared" si="105"/>
        <v/>
      </c>
      <c r="N324" s="587"/>
      <c r="O324" s="587" t="str">
        <f t="shared" si="101"/>
        <v/>
      </c>
      <c r="P324" s="587"/>
      <c r="Q324" s="587" t="str">
        <f t="shared" si="93"/>
        <v/>
      </c>
      <c r="R324" s="587"/>
      <c r="S324" s="587" t="str">
        <f t="shared" si="102"/>
        <v/>
      </c>
      <c r="T324" s="587"/>
      <c r="U324" s="587" t="str">
        <f t="shared" si="103"/>
        <v/>
      </c>
      <c r="V324" s="587"/>
      <c r="W324" s="587" t="str">
        <f t="shared" si="104"/>
        <v/>
      </c>
      <c r="X324" s="587" t="s">
        <v>957</v>
      </c>
      <c r="Y324" s="587">
        <f t="shared" si="99"/>
        <v>109.38</v>
      </c>
      <c r="Z324" s="587"/>
      <c r="AA324" s="587" t="str">
        <f t="shared" si="95"/>
        <v/>
      </c>
      <c r="AB324" s="587"/>
      <c r="AC324" s="587" t="str">
        <f t="shared" si="96"/>
        <v/>
      </c>
      <c r="AD324" s="586"/>
      <c r="AE324" s="587" t="str">
        <f t="shared" si="94"/>
        <v/>
      </c>
    </row>
    <row r="325" spans="2:31">
      <c r="B325" s="586" t="s">
        <v>430</v>
      </c>
      <c r="C325" s="587">
        <v>3.07</v>
      </c>
      <c r="D325" s="588" t="s">
        <v>957</v>
      </c>
      <c r="E325" s="587">
        <v>5.45</v>
      </c>
      <c r="F325" s="587">
        <f>C325*E325</f>
        <v>16.7315</v>
      </c>
      <c r="G325" s="587">
        <f>(C325+E325)*2</f>
        <v>17.04</v>
      </c>
      <c r="H325" s="589" t="s">
        <v>957</v>
      </c>
      <c r="I325" s="587">
        <f t="shared" si="100"/>
        <v>16.7315</v>
      </c>
      <c r="J325" s="589" t="s">
        <v>957</v>
      </c>
      <c r="K325" s="587">
        <f t="shared" si="92"/>
        <v>17.04</v>
      </c>
      <c r="L325" s="587"/>
      <c r="M325" s="587" t="str">
        <f t="shared" si="105"/>
        <v/>
      </c>
      <c r="N325" s="587"/>
      <c r="O325" s="587" t="str">
        <f t="shared" si="101"/>
        <v/>
      </c>
      <c r="P325" s="587"/>
      <c r="Q325" s="587" t="str">
        <f t="shared" si="93"/>
        <v/>
      </c>
      <c r="R325" s="587"/>
      <c r="S325" s="587" t="str">
        <f t="shared" si="102"/>
        <v/>
      </c>
      <c r="T325" s="587"/>
      <c r="U325" s="587" t="str">
        <f t="shared" si="103"/>
        <v/>
      </c>
      <c r="V325" s="587" t="s">
        <v>957</v>
      </c>
      <c r="W325" s="587">
        <f t="shared" si="104"/>
        <v>16.7315</v>
      </c>
      <c r="X325" s="587"/>
      <c r="Y325" s="587" t="str">
        <f t="shared" si="99"/>
        <v/>
      </c>
      <c r="Z325" s="587"/>
      <c r="AA325" s="587" t="str">
        <f t="shared" si="95"/>
        <v/>
      </c>
      <c r="AB325" s="587"/>
      <c r="AC325" s="587" t="str">
        <f t="shared" si="96"/>
        <v/>
      </c>
      <c r="AD325" s="586"/>
      <c r="AE325" s="587" t="str">
        <f t="shared" si="94"/>
        <v/>
      </c>
    </row>
    <row r="326" spans="2:31">
      <c r="B326" s="586" t="s">
        <v>428</v>
      </c>
      <c r="C326" s="587"/>
      <c r="D326" s="588"/>
      <c r="E326" s="587"/>
      <c r="F326" s="587">
        <v>4.57</v>
      </c>
      <c r="G326" s="587">
        <v>9.5399999999999991</v>
      </c>
      <c r="H326" s="589" t="s">
        <v>957</v>
      </c>
      <c r="I326" s="587">
        <f t="shared" si="100"/>
        <v>4.57</v>
      </c>
      <c r="J326" s="589" t="s">
        <v>957</v>
      </c>
      <c r="K326" s="587">
        <f t="shared" si="92"/>
        <v>9.5399999999999991</v>
      </c>
      <c r="L326" s="587"/>
      <c r="M326" s="587" t="str">
        <f t="shared" si="105"/>
        <v/>
      </c>
      <c r="N326" s="587"/>
      <c r="O326" s="587" t="str">
        <f t="shared" si="101"/>
        <v/>
      </c>
      <c r="P326" s="587"/>
      <c r="Q326" s="587" t="str">
        <f t="shared" si="93"/>
        <v/>
      </c>
      <c r="R326" s="587"/>
      <c r="S326" s="587" t="str">
        <f t="shared" si="102"/>
        <v/>
      </c>
      <c r="T326" s="587"/>
      <c r="U326" s="587" t="str">
        <f t="shared" si="103"/>
        <v/>
      </c>
      <c r="V326" s="587" t="s">
        <v>957</v>
      </c>
      <c r="W326" s="587">
        <f t="shared" si="104"/>
        <v>4.57</v>
      </c>
      <c r="X326" s="587"/>
      <c r="Y326" s="587" t="str">
        <f t="shared" si="99"/>
        <v/>
      </c>
      <c r="Z326" s="587"/>
      <c r="AA326" s="587" t="str">
        <f t="shared" si="95"/>
        <v/>
      </c>
      <c r="AB326" s="587"/>
      <c r="AC326" s="587" t="str">
        <f t="shared" si="96"/>
        <v/>
      </c>
      <c r="AD326" s="586"/>
      <c r="AE326" s="587" t="str">
        <f t="shared" si="94"/>
        <v/>
      </c>
    </row>
    <row r="327" spans="2:31">
      <c r="B327" s="586" t="s">
        <v>430</v>
      </c>
      <c r="C327" s="587">
        <v>3.07</v>
      </c>
      <c r="D327" s="588" t="s">
        <v>957</v>
      </c>
      <c r="E327" s="587">
        <v>5.45</v>
      </c>
      <c r="F327" s="587">
        <f t="shared" ref="F327:F332" si="108">C327*E327</f>
        <v>16.7315</v>
      </c>
      <c r="G327" s="587">
        <f t="shared" ref="G327:G332" si="109">(C327+E327)*2</f>
        <v>17.04</v>
      </c>
      <c r="H327" s="589" t="s">
        <v>957</v>
      </c>
      <c r="I327" s="587">
        <f t="shared" si="100"/>
        <v>16.7315</v>
      </c>
      <c r="J327" s="589" t="s">
        <v>957</v>
      </c>
      <c r="K327" s="587">
        <f t="shared" ref="K327:K390" si="110">IF(J327="x",G327,"")</f>
        <v>17.04</v>
      </c>
      <c r="L327" s="587"/>
      <c r="M327" s="587" t="str">
        <f t="shared" si="105"/>
        <v/>
      </c>
      <c r="N327" s="587"/>
      <c r="O327" s="587" t="str">
        <f t="shared" si="101"/>
        <v/>
      </c>
      <c r="P327" s="587"/>
      <c r="Q327" s="587" t="str">
        <f t="shared" ref="Q327:Q390" si="111">IF(P327="x",G327,"")</f>
        <v/>
      </c>
      <c r="R327" s="587"/>
      <c r="S327" s="587" t="str">
        <f t="shared" si="102"/>
        <v/>
      </c>
      <c r="T327" s="587"/>
      <c r="U327" s="587" t="str">
        <f t="shared" si="103"/>
        <v/>
      </c>
      <c r="V327" s="587" t="s">
        <v>957</v>
      </c>
      <c r="W327" s="587">
        <f t="shared" si="104"/>
        <v>16.7315</v>
      </c>
      <c r="X327" s="587"/>
      <c r="Y327" s="587" t="str">
        <f t="shared" si="99"/>
        <v/>
      </c>
      <c r="Z327" s="587"/>
      <c r="AA327" s="587" t="str">
        <f t="shared" si="95"/>
        <v/>
      </c>
      <c r="AB327" s="587"/>
      <c r="AC327" s="587" t="str">
        <f t="shared" si="96"/>
        <v/>
      </c>
      <c r="AD327" s="586"/>
      <c r="AE327" s="587" t="str">
        <f t="shared" ref="AE327:AE390" si="112">IF(AD327="x",F327,"")</f>
        <v/>
      </c>
    </row>
    <row r="328" spans="2:31">
      <c r="B328" s="586" t="s">
        <v>428</v>
      </c>
      <c r="C328" s="587"/>
      <c r="D328" s="588"/>
      <c r="E328" s="587"/>
      <c r="F328" s="587">
        <v>4.57</v>
      </c>
      <c r="G328" s="587">
        <v>9.5399999999999991</v>
      </c>
      <c r="H328" s="589" t="s">
        <v>957</v>
      </c>
      <c r="I328" s="587">
        <f t="shared" si="100"/>
        <v>4.57</v>
      </c>
      <c r="J328" s="589" t="s">
        <v>957</v>
      </c>
      <c r="K328" s="587">
        <f t="shared" si="110"/>
        <v>9.5399999999999991</v>
      </c>
      <c r="L328" s="587"/>
      <c r="M328" s="587" t="str">
        <f t="shared" si="105"/>
        <v/>
      </c>
      <c r="N328" s="587"/>
      <c r="O328" s="587" t="str">
        <f t="shared" si="101"/>
        <v/>
      </c>
      <c r="P328" s="587"/>
      <c r="Q328" s="587" t="str">
        <f t="shared" si="111"/>
        <v/>
      </c>
      <c r="R328" s="587"/>
      <c r="S328" s="587" t="str">
        <f t="shared" si="102"/>
        <v/>
      </c>
      <c r="T328" s="587"/>
      <c r="U328" s="587" t="str">
        <f t="shared" si="103"/>
        <v/>
      </c>
      <c r="V328" s="587" t="s">
        <v>957</v>
      </c>
      <c r="W328" s="587">
        <f t="shared" si="104"/>
        <v>4.57</v>
      </c>
      <c r="X328" s="587"/>
      <c r="Y328" s="587" t="str">
        <f t="shared" si="99"/>
        <v/>
      </c>
      <c r="Z328" s="587"/>
      <c r="AA328" s="587" t="str">
        <f t="shared" si="95"/>
        <v/>
      </c>
      <c r="AB328" s="587"/>
      <c r="AC328" s="587" t="str">
        <f t="shared" si="96"/>
        <v/>
      </c>
      <c r="AD328" s="586"/>
      <c r="AE328" s="587" t="str">
        <f t="shared" si="112"/>
        <v/>
      </c>
    </row>
    <row r="329" spans="2:31">
      <c r="B329" s="586" t="s">
        <v>307</v>
      </c>
      <c r="C329" s="587">
        <v>2.25</v>
      </c>
      <c r="D329" s="588"/>
      <c r="E329" s="587">
        <v>3.65</v>
      </c>
      <c r="F329" s="587">
        <f t="shared" si="108"/>
        <v>8.2125000000000004</v>
      </c>
      <c r="G329" s="587">
        <f t="shared" si="109"/>
        <v>11.8</v>
      </c>
      <c r="H329" s="589"/>
      <c r="I329" s="587" t="str">
        <f t="shared" si="100"/>
        <v/>
      </c>
      <c r="J329" s="589"/>
      <c r="K329" s="587" t="str">
        <f t="shared" si="110"/>
        <v/>
      </c>
      <c r="L329" s="587" t="s">
        <v>952</v>
      </c>
      <c r="M329" s="587">
        <f t="shared" si="105"/>
        <v>8.2125000000000004</v>
      </c>
      <c r="N329" s="587"/>
      <c r="O329" s="587" t="str">
        <f t="shared" si="101"/>
        <v/>
      </c>
      <c r="P329" s="587"/>
      <c r="Q329" s="587" t="str">
        <f t="shared" si="111"/>
        <v/>
      </c>
      <c r="R329" s="587"/>
      <c r="S329" s="587" t="str">
        <f t="shared" si="102"/>
        <v/>
      </c>
      <c r="T329" s="587"/>
      <c r="U329" s="587" t="str">
        <f t="shared" si="103"/>
        <v/>
      </c>
      <c r="V329" s="587" t="s">
        <v>957</v>
      </c>
      <c r="W329" s="587">
        <f t="shared" si="104"/>
        <v>8.2125000000000004</v>
      </c>
      <c r="X329" s="587"/>
      <c r="Y329" s="587" t="str">
        <f t="shared" si="99"/>
        <v/>
      </c>
      <c r="Z329" s="587"/>
      <c r="AA329" s="587" t="str">
        <f t="shared" si="95"/>
        <v/>
      </c>
      <c r="AB329" s="587"/>
      <c r="AC329" s="587" t="str">
        <f t="shared" si="96"/>
        <v/>
      </c>
      <c r="AD329" s="586"/>
      <c r="AE329" s="587" t="str">
        <f t="shared" si="112"/>
        <v/>
      </c>
    </row>
    <row r="330" spans="2:31">
      <c r="B330" s="586" t="s">
        <v>396</v>
      </c>
      <c r="C330" s="587">
        <v>4.29</v>
      </c>
      <c r="D330" s="588"/>
      <c r="E330" s="587">
        <v>3.37</v>
      </c>
      <c r="F330" s="587">
        <f t="shared" si="108"/>
        <v>14.4573</v>
      </c>
      <c r="G330" s="587">
        <f t="shared" si="109"/>
        <v>15.32</v>
      </c>
      <c r="H330" s="589" t="s">
        <v>957</v>
      </c>
      <c r="I330" s="587">
        <f t="shared" si="100"/>
        <v>14.4573</v>
      </c>
      <c r="J330" s="589" t="s">
        <v>957</v>
      </c>
      <c r="K330" s="587">
        <f t="shared" si="110"/>
        <v>15.32</v>
      </c>
      <c r="L330" s="587"/>
      <c r="M330" s="587" t="str">
        <f t="shared" si="105"/>
        <v/>
      </c>
      <c r="N330" s="587"/>
      <c r="O330" s="587" t="str">
        <f t="shared" si="101"/>
        <v/>
      </c>
      <c r="P330" s="587"/>
      <c r="Q330" s="587" t="str">
        <f t="shared" si="111"/>
        <v/>
      </c>
      <c r="R330" s="587"/>
      <c r="S330" s="587" t="str">
        <f t="shared" si="102"/>
        <v/>
      </c>
      <c r="T330" s="587"/>
      <c r="U330" s="587" t="str">
        <f t="shared" si="103"/>
        <v/>
      </c>
      <c r="V330" s="587" t="s">
        <v>957</v>
      </c>
      <c r="W330" s="587">
        <f t="shared" si="104"/>
        <v>14.4573</v>
      </c>
      <c r="X330" s="587"/>
      <c r="Y330" s="587" t="str">
        <f t="shared" si="99"/>
        <v/>
      </c>
      <c r="Z330" s="587"/>
      <c r="AA330" s="587" t="str">
        <f t="shared" si="95"/>
        <v/>
      </c>
      <c r="AB330" s="587"/>
      <c r="AC330" s="587" t="str">
        <f t="shared" si="96"/>
        <v/>
      </c>
      <c r="AD330" s="586"/>
      <c r="AE330" s="587" t="str">
        <f t="shared" si="112"/>
        <v/>
      </c>
    </row>
    <row r="331" spans="2:31">
      <c r="B331" s="586" t="s">
        <v>501</v>
      </c>
      <c r="C331" s="587">
        <v>2.35</v>
      </c>
      <c r="D331" s="588"/>
      <c r="E331" s="587">
        <v>2.72</v>
      </c>
      <c r="F331" s="587">
        <f t="shared" si="108"/>
        <v>6.3920000000000003</v>
      </c>
      <c r="G331" s="587">
        <f t="shared" si="109"/>
        <v>10.14</v>
      </c>
      <c r="H331" s="589"/>
      <c r="I331" s="587" t="str">
        <f t="shared" si="100"/>
        <v/>
      </c>
      <c r="J331" s="589"/>
      <c r="K331" s="587" t="str">
        <f t="shared" si="110"/>
        <v/>
      </c>
      <c r="L331" s="587"/>
      <c r="M331" s="587" t="str">
        <f t="shared" si="105"/>
        <v/>
      </c>
      <c r="N331" s="587" t="s">
        <v>957</v>
      </c>
      <c r="O331" s="587">
        <f t="shared" si="101"/>
        <v>6.3920000000000003</v>
      </c>
      <c r="P331" s="587" t="s">
        <v>957</v>
      </c>
      <c r="Q331" s="587">
        <f t="shared" si="111"/>
        <v>10.14</v>
      </c>
      <c r="R331" s="587"/>
      <c r="S331" s="587" t="str">
        <f t="shared" si="102"/>
        <v/>
      </c>
      <c r="T331" s="587"/>
      <c r="U331" s="587" t="str">
        <f t="shared" si="103"/>
        <v/>
      </c>
      <c r="V331" s="587" t="s">
        <v>957</v>
      </c>
      <c r="W331" s="587">
        <f t="shared" si="104"/>
        <v>6.3920000000000003</v>
      </c>
      <c r="X331" s="587"/>
      <c r="Y331" s="587" t="str">
        <f t="shared" si="99"/>
        <v/>
      </c>
      <c r="Z331" s="587"/>
      <c r="AA331" s="587" t="str">
        <f t="shared" si="95"/>
        <v/>
      </c>
      <c r="AB331" s="587"/>
      <c r="AC331" s="587" t="str">
        <f t="shared" si="96"/>
        <v/>
      </c>
      <c r="AD331" s="586"/>
      <c r="AE331" s="587" t="str">
        <f t="shared" si="112"/>
        <v/>
      </c>
    </row>
    <row r="332" spans="2:31">
      <c r="B332" s="586" t="s">
        <v>421</v>
      </c>
      <c r="C332" s="587">
        <v>2.35</v>
      </c>
      <c r="D332" s="588"/>
      <c r="E332" s="587">
        <v>4.25</v>
      </c>
      <c r="F332" s="587">
        <f t="shared" si="108"/>
        <v>9.9875000000000007</v>
      </c>
      <c r="G332" s="587">
        <f t="shared" si="109"/>
        <v>13.2</v>
      </c>
      <c r="H332" s="589"/>
      <c r="I332" s="587" t="str">
        <f t="shared" si="100"/>
        <v/>
      </c>
      <c r="J332" s="589"/>
      <c r="K332" s="587" t="str">
        <f t="shared" si="110"/>
        <v/>
      </c>
      <c r="L332" s="587"/>
      <c r="M332" s="587" t="str">
        <f t="shared" si="105"/>
        <v/>
      </c>
      <c r="N332" s="587" t="s">
        <v>957</v>
      </c>
      <c r="O332" s="587">
        <f t="shared" si="101"/>
        <v>9.9875000000000007</v>
      </c>
      <c r="P332" s="587" t="s">
        <v>957</v>
      </c>
      <c r="Q332" s="587">
        <f t="shared" si="111"/>
        <v>13.2</v>
      </c>
      <c r="R332" s="587"/>
      <c r="S332" s="587" t="str">
        <f t="shared" si="102"/>
        <v/>
      </c>
      <c r="T332" s="587"/>
      <c r="U332" s="587" t="str">
        <f t="shared" si="103"/>
        <v/>
      </c>
      <c r="V332" s="587" t="s">
        <v>957</v>
      </c>
      <c r="W332" s="587">
        <f t="shared" si="104"/>
        <v>9.9875000000000007</v>
      </c>
      <c r="X332" s="587"/>
      <c r="Y332" s="587" t="str">
        <f t="shared" si="99"/>
        <v/>
      </c>
      <c r="Z332" s="587"/>
      <c r="AA332" s="587" t="str">
        <f t="shared" si="95"/>
        <v/>
      </c>
      <c r="AB332" s="587"/>
      <c r="AC332" s="587" t="str">
        <f t="shared" si="96"/>
        <v/>
      </c>
      <c r="AD332" s="586"/>
      <c r="AE332" s="587" t="str">
        <f t="shared" si="112"/>
        <v/>
      </c>
    </row>
    <row r="333" spans="2:31">
      <c r="B333" s="586" t="s">
        <v>502</v>
      </c>
      <c r="C333" s="587"/>
      <c r="D333" s="588"/>
      <c r="E333" s="587"/>
      <c r="F333" s="587">
        <v>251.92</v>
      </c>
      <c r="G333" s="587">
        <v>119</v>
      </c>
      <c r="H333" s="589"/>
      <c r="I333" s="587" t="str">
        <f t="shared" si="100"/>
        <v/>
      </c>
      <c r="J333" s="589"/>
      <c r="K333" s="587" t="str">
        <f t="shared" si="110"/>
        <v/>
      </c>
      <c r="L333" s="587"/>
      <c r="M333" s="587" t="str">
        <f t="shared" si="105"/>
        <v/>
      </c>
      <c r="N333" s="587" t="s">
        <v>957</v>
      </c>
      <c r="O333" s="587">
        <f t="shared" si="101"/>
        <v>251.92</v>
      </c>
      <c r="P333" s="587" t="s">
        <v>957</v>
      </c>
      <c r="Q333" s="587">
        <f t="shared" si="111"/>
        <v>119</v>
      </c>
      <c r="R333" s="587"/>
      <c r="S333" s="587" t="str">
        <f t="shared" si="102"/>
        <v/>
      </c>
      <c r="T333" s="587"/>
      <c r="U333" s="587" t="str">
        <f t="shared" si="103"/>
        <v/>
      </c>
      <c r="V333" s="587" t="s">
        <v>957</v>
      </c>
      <c r="W333" s="587">
        <f t="shared" si="104"/>
        <v>251.92</v>
      </c>
      <c r="X333" s="587"/>
      <c r="Y333" s="587" t="str">
        <f t="shared" si="99"/>
        <v/>
      </c>
      <c r="Z333" s="587"/>
      <c r="AA333" s="587" t="str">
        <f t="shared" si="95"/>
        <v/>
      </c>
      <c r="AB333" s="587"/>
      <c r="AC333" s="587" t="str">
        <f t="shared" si="96"/>
        <v/>
      </c>
      <c r="AD333" s="586"/>
      <c r="AE333" s="587" t="str">
        <f t="shared" si="112"/>
        <v/>
      </c>
    </row>
    <row r="334" spans="2:31">
      <c r="B334" s="586" t="s">
        <v>503</v>
      </c>
      <c r="C334" s="587"/>
      <c r="D334" s="588"/>
      <c r="E334" s="587"/>
      <c r="F334" s="587">
        <v>156.04</v>
      </c>
      <c r="G334" s="587">
        <v>64.260000000000005</v>
      </c>
      <c r="H334" s="589"/>
      <c r="I334" s="587" t="str">
        <f t="shared" si="100"/>
        <v/>
      </c>
      <c r="J334" s="589"/>
      <c r="K334" s="587" t="str">
        <f t="shared" si="110"/>
        <v/>
      </c>
      <c r="L334" s="587"/>
      <c r="M334" s="587" t="str">
        <f t="shared" si="105"/>
        <v/>
      </c>
      <c r="N334" s="587" t="s">
        <v>957</v>
      </c>
      <c r="O334" s="587">
        <f t="shared" si="101"/>
        <v>156.04</v>
      </c>
      <c r="P334" s="587" t="s">
        <v>957</v>
      </c>
      <c r="Q334" s="587">
        <f t="shared" si="111"/>
        <v>64.260000000000005</v>
      </c>
      <c r="R334" s="587"/>
      <c r="S334" s="587" t="str">
        <f t="shared" si="102"/>
        <v/>
      </c>
      <c r="T334" s="587"/>
      <c r="U334" s="587" t="str">
        <f t="shared" si="103"/>
        <v/>
      </c>
      <c r="V334" s="587" t="s">
        <v>957</v>
      </c>
      <c r="W334" s="587">
        <f t="shared" si="104"/>
        <v>156.04</v>
      </c>
      <c r="X334" s="587"/>
      <c r="Y334" s="587" t="str">
        <f t="shared" si="99"/>
        <v/>
      </c>
      <c r="Z334" s="587"/>
      <c r="AA334" s="587" t="str">
        <f t="shared" ref="AA334:AA397" si="113">IF(Z334="x",F334,"")</f>
        <v/>
      </c>
      <c r="AB334" s="587"/>
      <c r="AC334" s="587" t="str">
        <f t="shared" ref="AC334:AC397" si="114">IF(AB334="x",F334,"")</f>
        <v/>
      </c>
      <c r="AD334" s="586"/>
      <c r="AE334" s="587" t="str">
        <f t="shared" si="112"/>
        <v/>
      </c>
    </row>
    <row r="335" spans="2:31">
      <c r="B335" s="586" t="s">
        <v>421</v>
      </c>
      <c r="C335" s="587">
        <v>1.75</v>
      </c>
      <c r="D335" s="588"/>
      <c r="E335" s="587">
        <v>3.48</v>
      </c>
      <c r="F335" s="587">
        <f t="shared" ref="F335:F340" si="115">C335*E335</f>
        <v>6.09</v>
      </c>
      <c r="G335" s="587">
        <f t="shared" ref="G335:G340" si="116">(C335+E335)*2</f>
        <v>10.46</v>
      </c>
      <c r="H335" s="589"/>
      <c r="I335" s="587" t="str">
        <f t="shared" si="100"/>
        <v/>
      </c>
      <c r="J335" s="589"/>
      <c r="K335" s="587" t="str">
        <f t="shared" si="110"/>
        <v/>
      </c>
      <c r="L335" s="587"/>
      <c r="M335" s="587" t="str">
        <f t="shared" si="105"/>
        <v/>
      </c>
      <c r="N335" s="587" t="s">
        <v>957</v>
      </c>
      <c r="O335" s="587">
        <f t="shared" si="101"/>
        <v>6.09</v>
      </c>
      <c r="P335" s="587" t="s">
        <v>957</v>
      </c>
      <c r="Q335" s="587">
        <f t="shared" si="111"/>
        <v>10.46</v>
      </c>
      <c r="R335" s="587"/>
      <c r="S335" s="587" t="str">
        <f t="shared" si="102"/>
        <v/>
      </c>
      <c r="T335" s="587"/>
      <c r="U335" s="587" t="str">
        <f t="shared" si="103"/>
        <v/>
      </c>
      <c r="V335" s="587" t="s">
        <v>957</v>
      </c>
      <c r="W335" s="587">
        <f t="shared" si="104"/>
        <v>6.09</v>
      </c>
      <c r="X335" s="587"/>
      <c r="Y335" s="587" t="str">
        <f t="shared" si="99"/>
        <v/>
      </c>
      <c r="Z335" s="587"/>
      <c r="AA335" s="587" t="str">
        <f t="shared" si="113"/>
        <v/>
      </c>
      <c r="AB335" s="587"/>
      <c r="AC335" s="587" t="str">
        <f t="shared" si="114"/>
        <v/>
      </c>
      <c r="AD335" s="586"/>
      <c r="AE335" s="587" t="str">
        <f t="shared" si="112"/>
        <v/>
      </c>
    </row>
    <row r="336" spans="2:31">
      <c r="B336" s="586" t="s">
        <v>428</v>
      </c>
      <c r="C336" s="587">
        <v>1.75</v>
      </c>
      <c r="D336" s="588"/>
      <c r="E336" s="587">
        <v>2.85</v>
      </c>
      <c r="F336" s="587">
        <f t="shared" si="115"/>
        <v>4.9874999999999998</v>
      </c>
      <c r="G336" s="587">
        <f t="shared" si="116"/>
        <v>9.1999999999999993</v>
      </c>
      <c r="H336" s="589" t="s">
        <v>957</v>
      </c>
      <c r="I336" s="587">
        <f t="shared" si="100"/>
        <v>4.9874999999999998</v>
      </c>
      <c r="J336" s="589" t="s">
        <v>957</v>
      </c>
      <c r="K336" s="587">
        <f t="shared" si="110"/>
        <v>9.1999999999999993</v>
      </c>
      <c r="L336" s="587"/>
      <c r="M336" s="587" t="str">
        <f t="shared" si="105"/>
        <v/>
      </c>
      <c r="N336" s="587"/>
      <c r="O336" s="587" t="str">
        <f t="shared" si="101"/>
        <v/>
      </c>
      <c r="P336" s="587"/>
      <c r="Q336" s="587" t="str">
        <f t="shared" si="111"/>
        <v/>
      </c>
      <c r="R336" s="587"/>
      <c r="S336" s="587" t="str">
        <f t="shared" si="102"/>
        <v/>
      </c>
      <c r="T336" s="587"/>
      <c r="U336" s="587" t="str">
        <f t="shared" si="103"/>
        <v/>
      </c>
      <c r="V336" s="587" t="s">
        <v>957</v>
      </c>
      <c r="W336" s="587">
        <f t="shared" si="104"/>
        <v>4.9874999999999998</v>
      </c>
      <c r="X336" s="587"/>
      <c r="Y336" s="587" t="str">
        <f t="shared" si="99"/>
        <v/>
      </c>
      <c r="Z336" s="587"/>
      <c r="AA336" s="587" t="str">
        <f t="shared" si="113"/>
        <v/>
      </c>
      <c r="AB336" s="587"/>
      <c r="AC336" s="587" t="str">
        <f t="shared" si="114"/>
        <v/>
      </c>
      <c r="AD336" s="586"/>
      <c r="AE336" s="587" t="str">
        <f t="shared" si="112"/>
        <v/>
      </c>
    </row>
    <row r="337" spans="2:31">
      <c r="B337" s="586" t="s">
        <v>504</v>
      </c>
      <c r="C337" s="587">
        <v>2</v>
      </c>
      <c r="D337" s="588"/>
      <c r="E337" s="587">
        <v>2.4300000000000002</v>
      </c>
      <c r="F337" s="587">
        <f t="shared" si="115"/>
        <v>4.8600000000000003</v>
      </c>
      <c r="G337" s="587">
        <f t="shared" si="116"/>
        <v>8.86</v>
      </c>
      <c r="H337" s="589" t="s">
        <v>957</v>
      </c>
      <c r="I337" s="587">
        <f t="shared" si="100"/>
        <v>4.8600000000000003</v>
      </c>
      <c r="J337" s="589" t="s">
        <v>957</v>
      </c>
      <c r="K337" s="587">
        <f t="shared" si="110"/>
        <v>8.86</v>
      </c>
      <c r="L337" s="587"/>
      <c r="M337" s="587" t="str">
        <f t="shared" si="105"/>
        <v/>
      </c>
      <c r="N337" s="587"/>
      <c r="O337" s="587" t="str">
        <f t="shared" si="101"/>
        <v/>
      </c>
      <c r="P337" s="587"/>
      <c r="Q337" s="587" t="str">
        <f t="shared" si="111"/>
        <v/>
      </c>
      <c r="R337" s="587"/>
      <c r="S337" s="587" t="str">
        <f t="shared" si="102"/>
        <v/>
      </c>
      <c r="T337" s="587"/>
      <c r="U337" s="587" t="str">
        <f t="shared" si="103"/>
        <v/>
      </c>
      <c r="V337" s="587" t="s">
        <v>957</v>
      </c>
      <c r="W337" s="587">
        <f t="shared" si="104"/>
        <v>4.8600000000000003</v>
      </c>
      <c r="X337" s="587"/>
      <c r="Y337" s="587" t="str">
        <f t="shared" si="99"/>
        <v/>
      </c>
      <c r="Z337" s="587"/>
      <c r="AA337" s="587" t="str">
        <f t="shared" si="113"/>
        <v/>
      </c>
      <c r="AB337" s="587"/>
      <c r="AC337" s="587" t="str">
        <f t="shared" si="114"/>
        <v/>
      </c>
      <c r="AD337" s="586"/>
      <c r="AE337" s="587" t="str">
        <f t="shared" si="112"/>
        <v/>
      </c>
    </row>
    <row r="338" spans="2:31">
      <c r="B338" s="586" t="s">
        <v>505</v>
      </c>
      <c r="C338" s="587">
        <v>3.2</v>
      </c>
      <c r="D338" s="588"/>
      <c r="E338" s="587">
        <v>5.01</v>
      </c>
      <c r="F338" s="587">
        <f t="shared" si="115"/>
        <v>16.032</v>
      </c>
      <c r="G338" s="587">
        <f t="shared" si="116"/>
        <v>16.420000000000002</v>
      </c>
      <c r="H338" s="589" t="s">
        <v>957</v>
      </c>
      <c r="I338" s="587">
        <f t="shared" si="100"/>
        <v>16.032</v>
      </c>
      <c r="J338" s="589" t="s">
        <v>957</v>
      </c>
      <c r="K338" s="587">
        <f t="shared" si="110"/>
        <v>16.420000000000002</v>
      </c>
      <c r="L338" s="587"/>
      <c r="M338" s="587" t="str">
        <f t="shared" si="105"/>
        <v/>
      </c>
      <c r="N338" s="587"/>
      <c r="O338" s="587" t="str">
        <f t="shared" si="101"/>
        <v/>
      </c>
      <c r="P338" s="587"/>
      <c r="Q338" s="587" t="str">
        <f t="shared" si="111"/>
        <v/>
      </c>
      <c r="R338" s="587"/>
      <c r="S338" s="587" t="str">
        <f t="shared" si="102"/>
        <v/>
      </c>
      <c r="T338" s="587"/>
      <c r="U338" s="587" t="str">
        <f t="shared" si="103"/>
        <v/>
      </c>
      <c r="V338" s="587" t="s">
        <v>957</v>
      </c>
      <c r="W338" s="587">
        <f t="shared" si="104"/>
        <v>16.032</v>
      </c>
      <c r="X338" s="587"/>
      <c r="Y338" s="587" t="str">
        <f t="shared" si="99"/>
        <v/>
      </c>
      <c r="Z338" s="587"/>
      <c r="AA338" s="587" t="str">
        <f t="shared" si="113"/>
        <v/>
      </c>
      <c r="AB338" s="587"/>
      <c r="AC338" s="587" t="str">
        <f t="shared" si="114"/>
        <v/>
      </c>
      <c r="AD338" s="586"/>
      <c r="AE338" s="587" t="str">
        <f t="shared" si="112"/>
        <v/>
      </c>
    </row>
    <row r="339" spans="2:31">
      <c r="B339" s="586" t="s">
        <v>506</v>
      </c>
      <c r="C339" s="587">
        <v>3.5</v>
      </c>
      <c r="D339" s="588"/>
      <c r="E339" s="587">
        <v>3.83</v>
      </c>
      <c r="F339" s="587">
        <f t="shared" si="115"/>
        <v>13.405000000000001</v>
      </c>
      <c r="G339" s="587">
        <f t="shared" si="116"/>
        <v>14.66</v>
      </c>
      <c r="H339" s="589"/>
      <c r="I339" s="587" t="str">
        <f t="shared" si="100"/>
        <v/>
      </c>
      <c r="J339" s="589"/>
      <c r="K339" s="587" t="str">
        <f t="shared" si="110"/>
        <v/>
      </c>
      <c r="L339" s="587"/>
      <c r="M339" s="587" t="str">
        <f t="shared" si="105"/>
        <v/>
      </c>
      <c r="N339" s="587" t="s">
        <v>957</v>
      </c>
      <c r="O339" s="587">
        <f t="shared" si="101"/>
        <v>13.405000000000001</v>
      </c>
      <c r="P339" s="587" t="s">
        <v>957</v>
      </c>
      <c r="Q339" s="587">
        <f t="shared" si="111"/>
        <v>14.66</v>
      </c>
      <c r="R339" s="587"/>
      <c r="S339" s="587" t="str">
        <f t="shared" si="102"/>
        <v/>
      </c>
      <c r="T339" s="587"/>
      <c r="U339" s="587" t="str">
        <f t="shared" si="103"/>
        <v/>
      </c>
      <c r="V339" s="587" t="s">
        <v>957</v>
      </c>
      <c r="W339" s="587">
        <f t="shared" si="104"/>
        <v>13.405000000000001</v>
      </c>
      <c r="X339" s="587"/>
      <c r="Y339" s="587" t="str">
        <f t="shared" ref="Y339:Y402" si="117">IF(X339="x",F339,"")</f>
        <v/>
      </c>
      <c r="Z339" s="587"/>
      <c r="AA339" s="587" t="str">
        <f t="shared" si="113"/>
        <v/>
      </c>
      <c r="AB339" s="587"/>
      <c r="AC339" s="587" t="str">
        <f t="shared" si="114"/>
        <v/>
      </c>
      <c r="AD339" s="586"/>
      <c r="AE339" s="587" t="str">
        <f t="shared" si="112"/>
        <v/>
      </c>
    </row>
    <row r="340" spans="2:31">
      <c r="B340" s="586" t="s">
        <v>404</v>
      </c>
      <c r="C340" s="587">
        <v>3.5</v>
      </c>
      <c r="D340" s="588"/>
      <c r="E340" s="587">
        <v>3.83</v>
      </c>
      <c r="F340" s="587">
        <f t="shared" si="115"/>
        <v>13.405000000000001</v>
      </c>
      <c r="G340" s="587">
        <f t="shared" si="116"/>
        <v>14.66</v>
      </c>
      <c r="H340" s="589"/>
      <c r="I340" s="587" t="str">
        <f t="shared" si="100"/>
        <v/>
      </c>
      <c r="J340" s="589"/>
      <c r="K340" s="587" t="str">
        <f t="shared" si="110"/>
        <v/>
      </c>
      <c r="L340" s="587"/>
      <c r="M340" s="587" t="str">
        <f t="shared" si="105"/>
        <v/>
      </c>
      <c r="N340" s="587" t="s">
        <v>957</v>
      </c>
      <c r="O340" s="587">
        <f t="shared" si="101"/>
        <v>13.405000000000001</v>
      </c>
      <c r="P340" s="587" t="s">
        <v>957</v>
      </c>
      <c r="Q340" s="587">
        <f t="shared" si="111"/>
        <v>14.66</v>
      </c>
      <c r="R340" s="587"/>
      <c r="S340" s="587" t="str">
        <f t="shared" si="102"/>
        <v/>
      </c>
      <c r="T340" s="587"/>
      <c r="U340" s="587" t="str">
        <f t="shared" si="103"/>
        <v/>
      </c>
      <c r="V340" s="587" t="s">
        <v>957</v>
      </c>
      <c r="W340" s="587">
        <f t="shared" si="104"/>
        <v>13.405000000000001</v>
      </c>
      <c r="X340" s="587"/>
      <c r="Y340" s="587" t="str">
        <f t="shared" si="117"/>
        <v/>
      </c>
      <c r="Z340" s="587"/>
      <c r="AA340" s="587" t="str">
        <f t="shared" si="113"/>
        <v/>
      </c>
      <c r="AB340" s="587"/>
      <c r="AC340" s="587" t="str">
        <f t="shared" si="114"/>
        <v/>
      </c>
      <c r="AD340" s="586"/>
      <c r="AE340" s="587" t="str">
        <f t="shared" si="112"/>
        <v/>
      </c>
    </row>
    <row r="341" spans="2:31">
      <c r="B341" s="586" t="s">
        <v>507</v>
      </c>
      <c r="C341" s="587"/>
      <c r="D341" s="588"/>
      <c r="E341" s="587"/>
      <c r="F341" s="587">
        <f>428.83-(13.87*2)</f>
        <v>401.09</v>
      </c>
      <c r="G341" s="587">
        <f>86.27+13.87*4</f>
        <v>141.75</v>
      </c>
      <c r="H341" s="589" t="s">
        <v>957</v>
      </c>
      <c r="I341" s="587">
        <f t="shared" si="100"/>
        <v>401.09</v>
      </c>
      <c r="J341" s="589" t="s">
        <v>957</v>
      </c>
      <c r="K341" s="587">
        <f t="shared" si="110"/>
        <v>141.75</v>
      </c>
      <c r="L341" s="587"/>
      <c r="M341" s="587" t="str">
        <f t="shared" si="105"/>
        <v/>
      </c>
      <c r="N341" s="587"/>
      <c r="O341" s="587" t="str">
        <f t="shared" si="101"/>
        <v/>
      </c>
      <c r="P341" s="587"/>
      <c r="Q341" s="587" t="str">
        <f t="shared" si="111"/>
        <v/>
      </c>
      <c r="R341" s="587"/>
      <c r="S341" s="587" t="str">
        <f t="shared" si="102"/>
        <v/>
      </c>
      <c r="T341" s="587"/>
      <c r="U341" s="587" t="str">
        <f t="shared" si="103"/>
        <v/>
      </c>
      <c r="V341" s="587" t="s">
        <v>957</v>
      </c>
      <c r="W341" s="587">
        <f t="shared" si="104"/>
        <v>401.09</v>
      </c>
      <c r="X341" s="587"/>
      <c r="Y341" s="587" t="str">
        <f t="shared" si="117"/>
        <v/>
      </c>
      <c r="Z341" s="587"/>
      <c r="AA341" s="587" t="str">
        <f t="shared" si="113"/>
        <v/>
      </c>
      <c r="AB341" s="587"/>
      <c r="AC341" s="587" t="str">
        <f t="shared" si="114"/>
        <v/>
      </c>
      <c r="AD341" s="586"/>
      <c r="AE341" s="587" t="str">
        <f t="shared" si="112"/>
        <v/>
      </c>
    </row>
    <row r="342" spans="2:31">
      <c r="B342" s="586" t="s">
        <v>476</v>
      </c>
      <c r="C342" s="587">
        <v>1.52</v>
      </c>
      <c r="D342" s="588"/>
      <c r="E342" s="587">
        <v>3.37</v>
      </c>
      <c r="F342" s="587">
        <f>C342*E342</f>
        <v>5.1223999999999998</v>
      </c>
      <c r="G342" s="587">
        <f>(C342+E342)*2</f>
        <v>9.7800000000000011</v>
      </c>
      <c r="H342" s="589"/>
      <c r="I342" s="587" t="str">
        <f t="shared" si="100"/>
        <v/>
      </c>
      <c r="J342" s="589"/>
      <c r="K342" s="587" t="str">
        <f t="shared" si="110"/>
        <v/>
      </c>
      <c r="L342" s="587"/>
      <c r="M342" s="587" t="str">
        <f t="shared" si="105"/>
        <v/>
      </c>
      <c r="N342" s="587" t="s">
        <v>957</v>
      </c>
      <c r="O342" s="587">
        <f t="shared" si="101"/>
        <v>5.1223999999999998</v>
      </c>
      <c r="P342" s="587" t="s">
        <v>957</v>
      </c>
      <c r="Q342" s="587">
        <f t="shared" si="111"/>
        <v>9.7800000000000011</v>
      </c>
      <c r="R342" s="587"/>
      <c r="S342" s="587" t="str">
        <f t="shared" si="102"/>
        <v/>
      </c>
      <c r="T342" s="587"/>
      <c r="U342" s="587" t="str">
        <f t="shared" si="103"/>
        <v/>
      </c>
      <c r="V342" s="587" t="s">
        <v>957</v>
      </c>
      <c r="W342" s="587">
        <f t="shared" si="104"/>
        <v>5.1223999999999998</v>
      </c>
      <c r="X342" s="587"/>
      <c r="Y342" s="587" t="str">
        <f t="shared" si="117"/>
        <v/>
      </c>
      <c r="Z342" s="587"/>
      <c r="AA342" s="587" t="str">
        <f t="shared" si="113"/>
        <v/>
      </c>
      <c r="AB342" s="587"/>
      <c r="AC342" s="587" t="str">
        <f t="shared" si="114"/>
        <v/>
      </c>
      <c r="AD342" s="586"/>
      <c r="AE342" s="587" t="str">
        <f t="shared" si="112"/>
        <v/>
      </c>
    </row>
    <row r="343" spans="2:31">
      <c r="B343" s="586" t="s">
        <v>437</v>
      </c>
      <c r="C343" s="587">
        <v>8.17</v>
      </c>
      <c r="D343" s="588"/>
      <c r="E343" s="587">
        <v>6.8</v>
      </c>
      <c r="F343" s="587">
        <f>C343*E343</f>
        <v>55.555999999999997</v>
      </c>
      <c r="G343" s="587">
        <f>(C343+E343)*2</f>
        <v>29.939999999999998</v>
      </c>
      <c r="H343" s="589"/>
      <c r="I343" s="587" t="str">
        <f t="shared" si="100"/>
        <v/>
      </c>
      <c r="J343" s="589"/>
      <c r="K343" s="587" t="str">
        <f t="shared" si="110"/>
        <v/>
      </c>
      <c r="L343" s="587"/>
      <c r="M343" s="587" t="str">
        <f t="shared" si="105"/>
        <v/>
      </c>
      <c r="N343" s="587"/>
      <c r="O343" s="587" t="str">
        <f t="shared" si="101"/>
        <v/>
      </c>
      <c r="P343" s="587"/>
      <c r="Q343" s="587" t="str">
        <f t="shared" si="111"/>
        <v/>
      </c>
      <c r="R343" s="587"/>
      <c r="S343" s="587" t="str">
        <f t="shared" si="102"/>
        <v/>
      </c>
      <c r="T343" s="587" t="s">
        <v>952</v>
      </c>
      <c r="U343" s="587">
        <f t="shared" si="103"/>
        <v>55.555999999999997</v>
      </c>
      <c r="V343" s="587"/>
      <c r="W343" s="587" t="str">
        <f t="shared" si="104"/>
        <v/>
      </c>
      <c r="X343" s="587"/>
      <c r="Y343" s="587" t="str">
        <f t="shared" si="117"/>
        <v/>
      </c>
      <c r="Z343" s="587"/>
      <c r="AA343" s="587" t="str">
        <f t="shared" si="113"/>
        <v/>
      </c>
      <c r="AB343" s="587"/>
      <c r="AC343" s="587" t="str">
        <f t="shared" si="114"/>
        <v/>
      </c>
      <c r="AD343" s="586"/>
      <c r="AE343" s="587" t="str">
        <f t="shared" si="112"/>
        <v/>
      </c>
    </row>
    <row r="344" spans="2:31">
      <c r="B344" s="590" t="s">
        <v>457</v>
      </c>
      <c r="C344" s="596">
        <v>3.5</v>
      </c>
      <c r="D344" s="597" t="s">
        <v>957</v>
      </c>
      <c r="E344" s="596">
        <v>6.62</v>
      </c>
      <c r="F344" s="596">
        <f>C344*E344</f>
        <v>23.17</v>
      </c>
      <c r="G344" s="596">
        <f>(C344+E344)*2</f>
        <v>20.240000000000002</v>
      </c>
      <c r="H344" s="589"/>
      <c r="I344" s="587" t="str">
        <f t="shared" si="100"/>
        <v/>
      </c>
      <c r="J344" s="589"/>
      <c r="K344" s="587" t="str">
        <f t="shared" si="110"/>
        <v/>
      </c>
      <c r="L344" s="587" t="s">
        <v>952</v>
      </c>
      <c r="M344" s="587">
        <f t="shared" si="105"/>
        <v>23.17</v>
      </c>
      <c r="N344" s="587"/>
      <c r="O344" s="587" t="str">
        <f t="shared" si="101"/>
        <v/>
      </c>
      <c r="P344" s="587"/>
      <c r="Q344" s="587" t="str">
        <f t="shared" si="111"/>
        <v/>
      </c>
      <c r="R344" s="587"/>
      <c r="S344" s="587" t="str">
        <f t="shared" si="102"/>
        <v/>
      </c>
      <c r="T344" s="587"/>
      <c r="U344" s="587" t="str">
        <f t="shared" si="103"/>
        <v/>
      </c>
      <c r="V344" s="587"/>
      <c r="W344" s="587" t="str">
        <f t="shared" si="104"/>
        <v/>
      </c>
      <c r="X344" s="587"/>
      <c r="Y344" s="587" t="str">
        <f t="shared" si="117"/>
        <v/>
      </c>
      <c r="Z344" s="587"/>
      <c r="AA344" s="587" t="str">
        <f t="shared" si="113"/>
        <v/>
      </c>
      <c r="AB344" s="587" t="s">
        <v>952</v>
      </c>
      <c r="AC344" s="587">
        <f t="shared" si="114"/>
        <v>23.17</v>
      </c>
      <c r="AD344" s="586"/>
      <c r="AE344" s="587" t="str">
        <f t="shared" si="112"/>
        <v/>
      </c>
    </row>
    <row r="345" spans="2:31">
      <c r="B345" s="590" t="s">
        <v>458</v>
      </c>
      <c r="C345" s="596">
        <v>3.5</v>
      </c>
      <c r="D345" s="597" t="s">
        <v>957</v>
      </c>
      <c r="E345" s="596">
        <v>6.62</v>
      </c>
      <c r="F345" s="596">
        <f>C345*E345</f>
        <v>23.17</v>
      </c>
      <c r="G345" s="596">
        <f>(C345+E345)*2</f>
        <v>20.240000000000002</v>
      </c>
      <c r="H345" s="589"/>
      <c r="I345" s="587" t="str">
        <f t="shared" si="100"/>
        <v/>
      </c>
      <c r="J345" s="589"/>
      <c r="K345" s="587" t="str">
        <f t="shared" si="110"/>
        <v/>
      </c>
      <c r="L345" s="587" t="s">
        <v>952</v>
      </c>
      <c r="M345" s="587">
        <f t="shared" si="105"/>
        <v>23.17</v>
      </c>
      <c r="N345" s="587"/>
      <c r="O345" s="587" t="str">
        <f t="shared" si="101"/>
        <v/>
      </c>
      <c r="P345" s="587"/>
      <c r="Q345" s="587" t="str">
        <f t="shared" si="111"/>
        <v/>
      </c>
      <c r="R345" s="587"/>
      <c r="S345" s="587" t="str">
        <f t="shared" si="102"/>
        <v/>
      </c>
      <c r="T345" s="587"/>
      <c r="U345" s="587" t="str">
        <f t="shared" si="103"/>
        <v/>
      </c>
      <c r="V345" s="587"/>
      <c r="W345" s="587" t="str">
        <f t="shared" si="104"/>
        <v/>
      </c>
      <c r="X345" s="587"/>
      <c r="Y345" s="587" t="str">
        <f t="shared" si="117"/>
        <v/>
      </c>
      <c r="Z345" s="587"/>
      <c r="AA345" s="587" t="str">
        <f t="shared" si="113"/>
        <v/>
      </c>
      <c r="AB345" s="587" t="s">
        <v>952</v>
      </c>
      <c r="AC345" s="587">
        <f t="shared" si="114"/>
        <v>23.17</v>
      </c>
      <c r="AD345" s="586"/>
      <c r="AE345" s="587" t="str">
        <f t="shared" si="112"/>
        <v/>
      </c>
    </row>
    <row r="346" spans="2:31">
      <c r="B346" s="590" t="s">
        <v>459</v>
      </c>
      <c r="C346" s="596">
        <v>2.9</v>
      </c>
      <c r="D346" s="597" t="s">
        <v>957</v>
      </c>
      <c r="E346" s="596">
        <v>6.65</v>
      </c>
      <c r="F346" s="596">
        <f>C346*E346</f>
        <v>19.285</v>
      </c>
      <c r="G346" s="596">
        <f>(C346+E346)*2</f>
        <v>19.100000000000001</v>
      </c>
      <c r="H346" s="589"/>
      <c r="I346" s="587" t="str">
        <f t="shared" si="100"/>
        <v/>
      </c>
      <c r="J346" s="589"/>
      <c r="K346" s="587" t="str">
        <f t="shared" si="110"/>
        <v/>
      </c>
      <c r="L346" s="587" t="s">
        <v>952</v>
      </c>
      <c r="M346" s="587">
        <f t="shared" si="105"/>
        <v>19.285</v>
      </c>
      <c r="N346" s="587"/>
      <c r="O346" s="587" t="str">
        <f t="shared" si="101"/>
        <v/>
      </c>
      <c r="P346" s="587"/>
      <c r="Q346" s="587" t="str">
        <f t="shared" si="111"/>
        <v/>
      </c>
      <c r="R346" s="587"/>
      <c r="S346" s="587" t="str">
        <f t="shared" si="102"/>
        <v/>
      </c>
      <c r="T346" s="587"/>
      <c r="U346" s="587" t="str">
        <f t="shared" si="103"/>
        <v/>
      </c>
      <c r="V346" s="587"/>
      <c r="W346" s="587" t="str">
        <f t="shared" si="104"/>
        <v/>
      </c>
      <c r="X346" s="587"/>
      <c r="Y346" s="587" t="str">
        <f t="shared" si="117"/>
        <v/>
      </c>
      <c r="Z346" s="587"/>
      <c r="AA346" s="587" t="str">
        <f t="shared" si="113"/>
        <v/>
      </c>
      <c r="AB346" s="587" t="s">
        <v>952</v>
      </c>
      <c r="AC346" s="587">
        <f t="shared" si="114"/>
        <v>19.285</v>
      </c>
      <c r="AD346" s="586"/>
      <c r="AE346" s="587" t="str">
        <f t="shared" si="112"/>
        <v/>
      </c>
    </row>
    <row r="347" spans="2:31">
      <c r="B347" s="582" t="s">
        <v>967</v>
      </c>
      <c r="C347" s="583"/>
      <c r="D347" s="583"/>
      <c r="E347" s="583"/>
      <c r="F347" s="583"/>
      <c r="G347" s="583"/>
      <c r="H347" s="584"/>
      <c r="I347" s="583"/>
      <c r="J347" s="584"/>
      <c r="K347" s="587" t="str">
        <f t="shared" si="110"/>
        <v/>
      </c>
      <c r="L347" s="583"/>
      <c r="M347" s="583"/>
      <c r="N347" s="583"/>
      <c r="O347" s="583"/>
      <c r="P347" s="583"/>
      <c r="Q347" s="587" t="str">
        <f t="shared" si="111"/>
        <v/>
      </c>
      <c r="R347" s="583"/>
      <c r="S347" s="583"/>
      <c r="T347" s="583"/>
      <c r="U347" s="583"/>
      <c r="V347" s="583"/>
      <c r="W347" s="583"/>
      <c r="X347" s="583"/>
      <c r="Y347" s="587" t="str">
        <f t="shared" si="117"/>
        <v/>
      </c>
      <c r="Z347" s="583"/>
      <c r="AA347" s="587" t="str">
        <f t="shared" si="113"/>
        <v/>
      </c>
      <c r="AB347" s="583"/>
      <c r="AC347" s="587" t="str">
        <f t="shared" si="114"/>
        <v/>
      </c>
      <c r="AD347" s="586"/>
      <c r="AE347" s="587" t="str">
        <f t="shared" si="112"/>
        <v/>
      </c>
    </row>
    <row r="348" spans="2:31">
      <c r="B348" s="586" t="s">
        <v>295</v>
      </c>
      <c r="C348" s="587"/>
      <c r="D348" s="588" t="s">
        <v>957</v>
      </c>
      <c r="E348" s="587"/>
      <c r="F348" s="587">
        <f>2.5*(13.75*4+2.15*2)+5.15*2*3</f>
        <v>179.15</v>
      </c>
      <c r="G348" s="587"/>
      <c r="H348" s="589"/>
      <c r="I348" s="587" t="str">
        <f t="shared" ref="I348:I411" si="118">IF(H348="x",F348,"")</f>
        <v/>
      </c>
      <c r="J348" s="589"/>
      <c r="K348" s="587" t="str">
        <f t="shared" si="110"/>
        <v/>
      </c>
      <c r="L348" s="587" t="s">
        <v>952</v>
      </c>
      <c r="M348" s="587">
        <f t="shared" si="105"/>
        <v>179.15</v>
      </c>
      <c r="N348" s="587"/>
      <c r="O348" s="587" t="str">
        <f t="shared" ref="O348:O411" si="119">IF(N348="x",F348,"")</f>
        <v/>
      </c>
      <c r="P348" s="587"/>
      <c r="Q348" s="587" t="str">
        <f t="shared" si="111"/>
        <v/>
      </c>
      <c r="R348" s="587"/>
      <c r="S348" s="587" t="str">
        <f t="shared" ref="S348:S411" si="120">IF(R348="x",F348,"")</f>
        <v/>
      </c>
      <c r="T348" s="587"/>
      <c r="U348" s="587" t="str">
        <f t="shared" ref="U348:U411" si="121">IF(T348="x",F348,"")</f>
        <v/>
      </c>
      <c r="V348" s="587"/>
      <c r="W348" s="587" t="str">
        <f t="shared" ref="W348:W411" si="122">IF(V348="x",F348,"")</f>
        <v/>
      </c>
      <c r="X348" s="587"/>
      <c r="Y348" s="587" t="str">
        <f t="shared" si="117"/>
        <v/>
      </c>
      <c r="Z348" s="587"/>
      <c r="AA348" s="587" t="str">
        <f t="shared" si="113"/>
        <v/>
      </c>
      <c r="AB348" s="587" t="s">
        <v>952</v>
      </c>
      <c r="AC348" s="587">
        <f t="shared" si="114"/>
        <v>179.15</v>
      </c>
      <c r="AD348" s="586"/>
      <c r="AE348" s="587" t="str">
        <f t="shared" si="112"/>
        <v/>
      </c>
    </row>
    <row r="349" spans="2:31">
      <c r="B349" s="586" t="s">
        <v>508</v>
      </c>
      <c r="C349" s="587">
        <v>4.2119999999999997</v>
      </c>
      <c r="D349" s="588" t="s">
        <v>957</v>
      </c>
      <c r="E349" s="587">
        <v>9.82</v>
      </c>
      <c r="F349" s="587">
        <f>C349*E349</f>
        <v>41.361840000000001</v>
      </c>
      <c r="G349" s="587">
        <f>(C349+E349)*2</f>
        <v>28.064</v>
      </c>
      <c r="H349" s="589" t="s">
        <v>957</v>
      </c>
      <c r="I349" s="587">
        <f t="shared" si="118"/>
        <v>41.361840000000001</v>
      </c>
      <c r="J349" s="589" t="s">
        <v>957</v>
      </c>
      <c r="K349" s="587">
        <f t="shared" si="110"/>
        <v>28.064</v>
      </c>
      <c r="L349" s="587"/>
      <c r="M349" s="587" t="str">
        <f t="shared" si="105"/>
        <v/>
      </c>
      <c r="N349" s="587"/>
      <c r="O349" s="587" t="str">
        <f t="shared" si="119"/>
        <v/>
      </c>
      <c r="P349" s="587"/>
      <c r="Q349" s="587" t="str">
        <f t="shared" si="111"/>
        <v/>
      </c>
      <c r="R349" s="587"/>
      <c r="S349" s="587" t="str">
        <f t="shared" si="120"/>
        <v/>
      </c>
      <c r="T349" s="587"/>
      <c r="U349" s="587" t="str">
        <f t="shared" si="121"/>
        <v/>
      </c>
      <c r="V349" s="587" t="s">
        <v>957</v>
      </c>
      <c r="W349" s="587">
        <f t="shared" si="122"/>
        <v>41.361840000000001</v>
      </c>
      <c r="X349" s="587"/>
      <c r="Y349" s="587" t="str">
        <f t="shared" si="117"/>
        <v/>
      </c>
      <c r="Z349" s="587"/>
      <c r="AA349" s="587" t="str">
        <f t="shared" si="113"/>
        <v/>
      </c>
      <c r="AB349" s="587"/>
      <c r="AC349" s="587" t="str">
        <f t="shared" si="114"/>
        <v/>
      </c>
      <c r="AD349" s="586"/>
      <c r="AE349" s="587" t="str">
        <f t="shared" si="112"/>
        <v/>
      </c>
    </row>
    <row r="350" spans="2:31">
      <c r="B350" s="586" t="s">
        <v>408</v>
      </c>
      <c r="C350" s="587"/>
      <c r="D350" s="588"/>
      <c r="E350" s="587"/>
      <c r="F350" s="587">
        <v>53.02</v>
      </c>
      <c r="G350" s="587">
        <v>36.619999999999997</v>
      </c>
      <c r="H350" s="589" t="s">
        <v>957</v>
      </c>
      <c r="I350" s="587">
        <f t="shared" si="118"/>
        <v>53.02</v>
      </c>
      <c r="J350" s="589" t="s">
        <v>957</v>
      </c>
      <c r="K350" s="587">
        <f t="shared" si="110"/>
        <v>36.619999999999997</v>
      </c>
      <c r="L350" s="587"/>
      <c r="M350" s="587" t="str">
        <f t="shared" si="105"/>
        <v/>
      </c>
      <c r="N350" s="587"/>
      <c r="O350" s="587" t="str">
        <f t="shared" si="119"/>
        <v/>
      </c>
      <c r="P350" s="587"/>
      <c r="Q350" s="587" t="str">
        <f t="shared" si="111"/>
        <v/>
      </c>
      <c r="R350" s="587"/>
      <c r="S350" s="587" t="str">
        <f t="shared" si="120"/>
        <v/>
      </c>
      <c r="T350" s="587"/>
      <c r="U350" s="587" t="str">
        <f t="shared" si="121"/>
        <v/>
      </c>
      <c r="V350" s="587"/>
      <c r="W350" s="587" t="str">
        <f t="shared" si="122"/>
        <v/>
      </c>
      <c r="X350" s="587" t="s">
        <v>957</v>
      </c>
      <c r="Y350" s="587">
        <f t="shared" si="117"/>
        <v>53.02</v>
      </c>
      <c r="Z350" s="587"/>
      <c r="AA350" s="587" t="str">
        <f t="shared" si="113"/>
        <v/>
      </c>
      <c r="AB350" s="587"/>
      <c r="AC350" s="587" t="str">
        <f t="shared" si="114"/>
        <v/>
      </c>
      <c r="AD350" s="586"/>
      <c r="AE350" s="587" t="str">
        <f t="shared" si="112"/>
        <v/>
      </c>
    </row>
    <row r="351" spans="2:31">
      <c r="B351" s="586" t="s">
        <v>357</v>
      </c>
      <c r="C351" s="587">
        <v>1.95</v>
      </c>
      <c r="D351" s="588" t="s">
        <v>957</v>
      </c>
      <c r="E351" s="587">
        <v>1.6</v>
      </c>
      <c r="F351" s="587">
        <f>C351*E351</f>
        <v>3.12</v>
      </c>
      <c r="G351" s="587">
        <f>(C351+E351)*2</f>
        <v>7.1</v>
      </c>
      <c r="H351" s="589" t="s">
        <v>957</v>
      </c>
      <c r="I351" s="587">
        <f t="shared" si="118"/>
        <v>3.12</v>
      </c>
      <c r="J351" s="589" t="s">
        <v>957</v>
      </c>
      <c r="K351" s="587">
        <f t="shared" si="110"/>
        <v>7.1</v>
      </c>
      <c r="L351" s="587"/>
      <c r="M351" s="587" t="str">
        <f t="shared" si="105"/>
        <v/>
      </c>
      <c r="N351" s="587"/>
      <c r="O351" s="587" t="str">
        <f t="shared" si="119"/>
        <v/>
      </c>
      <c r="P351" s="587"/>
      <c r="Q351" s="587" t="str">
        <f t="shared" si="111"/>
        <v/>
      </c>
      <c r="R351" s="587"/>
      <c r="S351" s="587" t="str">
        <f t="shared" si="120"/>
        <v/>
      </c>
      <c r="T351" s="587"/>
      <c r="U351" s="587" t="str">
        <f t="shared" si="121"/>
        <v/>
      </c>
      <c r="V351" s="587" t="s">
        <v>957</v>
      </c>
      <c r="W351" s="587">
        <f t="shared" si="122"/>
        <v>3.12</v>
      </c>
      <c r="X351" s="587"/>
      <c r="Y351" s="587" t="str">
        <f t="shared" si="117"/>
        <v/>
      </c>
      <c r="Z351" s="587"/>
      <c r="AA351" s="587" t="str">
        <f t="shared" si="113"/>
        <v/>
      </c>
      <c r="AB351" s="587"/>
      <c r="AC351" s="587" t="str">
        <f t="shared" si="114"/>
        <v/>
      </c>
      <c r="AD351" s="586"/>
      <c r="AE351" s="587" t="str">
        <f t="shared" si="112"/>
        <v/>
      </c>
    </row>
    <row r="352" spans="2:31">
      <c r="B352" s="586" t="s">
        <v>356</v>
      </c>
      <c r="C352" s="587">
        <v>1.95</v>
      </c>
      <c r="D352" s="588" t="s">
        <v>957</v>
      </c>
      <c r="E352" s="587">
        <v>1.6</v>
      </c>
      <c r="F352" s="587">
        <f>C352*E352</f>
        <v>3.12</v>
      </c>
      <c r="G352" s="587">
        <f>(C352+E352)*2</f>
        <v>7.1</v>
      </c>
      <c r="H352" s="589" t="s">
        <v>957</v>
      </c>
      <c r="I352" s="587">
        <f t="shared" si="118"/>
        <v>3.12</v>
      </c>
      <c r="J352" s="589" t="s">
        <v>957</v>
      </c>
      <c r="K352" s="587">
        <f t="shared" si="110"/>
        <v>7.1</v>
      </c>
      <c r="L352" s="587"/>
      <c r="M352" s="587" t="str">
        <f t="shared" si="105"/>
        <v/>
      </c>
      <c r="N352" s="587"/>
      <c r="O352" s="587" t="str">
        <f t="shared" si="119"/>
        <v/>
      </c>
      <c r="P352" s="587"/>
      <c r="Q352" s="587" t="str">
        <f t="shared" si="111"/>
        <v/>
      </c>
      <c r="R352" s="587"/>
      <c r="S352" s="587" t="str">
        <f t="shared" si="120"/>
        <v/>
      </c>
      <c r="T352" s="587"/>
      <c r="U352" s="587" t="str">
        <f t="shared" si="121"/>
        <v/>
      </c>
      <c r="V352" s="587" t="s">
        <v>957</v>
      </c>
      <c r="W352" s="587">
        <f t="shared" si="122"/>
        <v>3.12</v>
      </c>
      <c r="X352" s="587"/>
      <c r="Y352" s="587" t="str">
        <f t="shared" si="117"/>
        <v/>
      </c>
      <c r="Z352" s="587"/>
      <c r="AA352" s="587" t="str">
        <f t="shared" si="113"/>
        <v/>
      </c>
      <c r="AB352" s="587"/>
      <c r="AC352" s="587" t="str">
        <f t="shared" si="114"/>
        <v/>
      </c>
      <c r="AD352" s="586"/>
      <c r="AE352" s="587" t="str">
        <f t="shared" si="112"/>
        <v/>
      </c>
    </row>
    <row r="353" spans="2:31">
      <c r="B353" s="586" t="s">
        <v>296</v>
      </c>
      <c r="C353" s="587"/>
      <c r="D353" s="588"/>
      <c r="E353" s="587"/>
      <c r="F353" s="587">
        <v>139.33000000000001</v>
      </c>
      <c r="G353" s="587">
        <v>64.38</v>
      </c>
      <c r="H353" s="589" t="s">
        <v>957</v>
      </c>
      <c r="I353" s="587">
        <f t="shared" si="118"/>
        <v>139.33000000000001</v>
      </c>
      <c r="J353" s="589" t="s">
        <v>957</v>
      </c>
      <c r="K353" s="587">
        <f t="shared" si="110"/>
        <v>64.38</v>
      </c>
      <c r="L353" s="587"/>
      <c r="M353" s="587" t="str">
        <f t="shared" si="105"/>
        <v/>
      </c>
      <c r="N353" s="587"/>
      <c r="O353" s="587" t="str">
        <f t="shared" si="119"/>
        <v/>
      </c>
      <c r="P353" s="587"/>
      <c r="Q353" s="587" t="str">
        <f t="shared" si="111"/>
        <v/>
      </c>
      <c r="R353" s="587"/>
      <c r="S353" s="587" t="str">
        <f t="shared" si="120"/>
        <v/>
      </c>
      <c r="T353" s="587"/>
      <c r="U353" s="587" t="str">
        <f t="shared" si="121"/>
        <v/>
      </c>
      <c r="V353" s="587"/>
      <c r="W353" s="587" t="str">
        <f t="shared" si="122"/>
        <v/>
      </c>
      <c r="X353" s="587" t="s">
        <v>957</v>
      </c>
      <c r="Y353" s="587">
        <f t="shared" si="117"/>
        <v>139.33000000000001</v>
      </c>
      <c r="Z353" s="587"/>
      <c r="AA353" s="587" t="str">
        <f t="shared" si="113"/>
        <v/>
      </c>
      <c r="AB353" s="587"/>
      <c r="AC353" s="587" t="str">
        <f t="shared" si="114"/>
        <v/>
      </c>
      <c r="AD353" s="586"/>
      <c r="AE353" s="587" t="str">
        <f t="shared" si="112"/>
        <v/>
      </c>
    </row>
    <row r="354" spans="2:31">
      <c r="B354" s="586" t="s">
        <v>297</v>
      </c>
      <c r="C354" s="587">
        <v>3</v>
      </c>
      <c r="D354" s="588" t="s">
        <v>957</v>
      </c>
      <c r="E354" s="587">
        <v>4.1500000000000004</v>
      </c>
      <c r="F354" s="587">
        <f t="shared" ref="F354:F365" si="123">C354*E354</f>
        <v>12.450000000000001</v>
      </c>
      <c r="G354" s="587">
        <f t="shared" ref="G354:G365" si="124">(C354+E354)*2</f>
        <v>14.3</v>
      </c>
      <c r="H354" s="589" t="s">
        <v>957</v>
      </c>
      <c r="I354" s="587">
        <f t="shared" si="118"/>
        <v>12.450000000000001</v>
      </c>
      <c r="J354" s="589" t="s">
        <v>957</v>
      </c>
      <c r="K354" s="587">
        <f t="shared" si="110"/>
        <v>14.3</v>
      </c>
      <c r="L354" s="587"/>
      <c r="M354" s="587" t="str">
        <f t="shared" si="105"/>
        <v/>
      </c>
      <c r="N354" s="587"/>
      <c r="O354" s="587" t="str">
        <f t="shared" si="119"/>
        <v/>
      </c>
      <c r="P354" s="587"/>
      <c r="Q354" s="587" t="str">
        <f t="shared" si="111"/>
        <v/>
      </c>
      <c r="R354" s="587"/>
      <c r="S354" s="587" t="str">
        <f t="shared" si="120"/>
        <v/>
      </c>
      <c r="T354" s="587"/>
      <c r="U354" s="587" t="str">
        <f t="shared" si="121"/>
        <v/>
      </c>
      <c r="V354" s="587"/>
      <c r="W354" s="587" t="str">
        <f t="shared" si="122"/>
        <v/>
      </c>
      <c r="X354" s="587" t="s">
        <v>957</v>
      </c>
      <c r="Y354" s="587">
        <f t="shared" si="117"/>
        <v>12.450000000000001</v>
      </c>
      <c r="Z354" s="587"/>
      <c r="AA354" s="587" t="str">
        <f t="shared" si="113"/>
        <v/>
      </c>
      <c r="AB354" s="587"/>
      <c r="AC354" s="587" t="str">
        <f t="shared" si="114"/>
        <v/>
      </c>
      <c r="AD354" s="586"/>
      <c r="AE354" s="587" t="str">
        <f t="shared" si="112"/>
        <v/>
      </c>
    </row>
    <row r="355" spans="2:31">
      <c r="B355" s="586" t="s">
        <v>307</v>
      </c>
      <c r="C355" s="587">
        <v>2.25</v>
      </c>
      <c r="D355" s="588" t="s">
        <v>957</v>
      </c>
      <c r="E355" s="587">
        <v>3.65</v>
      </c>
      <c r="F355" s="587">
        <f t="shared" si="123"/>
        <v>8.2125000000000004</v>
      </c>
      <c r="G355" s="587">
        <f t="shared" si="124"/>
        <v>11.8</v>
      </c>
      <c r="H355" s="589"/>
      <c r="I355" s="587" t="str">
        <f t="shared" si="118"/>
        <v/>
      </c>
      <c r="J355" s="589"/>
      <c r="K355" s="587" t="str">
        <f t="shared" si="110"/>
        <v/>
      </c>
      <c r="L355" s="587" t="s">
        <v>952</v>
      </c>
      <c r="M355" s="587">
        <f t="shared" si="105"/>
        <v>8.2125000000000004</v>
      </c>
      <c r="N355" s="587"/>
      <c r="O355" s="587" t="str">
        <f t="shared" si="119"/>
        <v/>
      </c>
      <c r="P355" s="587"/>
      <c r="Q355" s="587" t="str">
        <f t="shared" si="111"/>
        <v/>
      </c>
      <c r="R355" s="587"/>
      <c r="S355" s="587" t="str">
        <f t="shared" si="120"/>
        <v/>
      </c>
      <c r="T355" s="587"/>
      <c r="U355" s="587" t="str">
        <f t="shared" si="121"/>
        <v/>
      </c>
      <c r="V355" s="587" t="s">
        <v>957</v>
      </c>
      <c r="W355" s="587">
        <f t="shared" si="122"/>
        <v>8.2125000000000004</v>
      </c>
      <c r="X355" s="587"/>
      <c r="Y355" s="587" t="str">
        <f t="shared" si="117"/>
        <v/>
      </c>
      <c r="Z355" s="587"/>
      <c r="AA355" s="587" t="str">
        <f t="shared" si="113"/>
        <v/>
      </c>
      <c r="AB355" s="587"/>
      <c r="AC355" s="587" t="str">
        <f t="shared" si="114"/>
        <v/>
      </c>
      <c r="AD355" s="586"/>
      <c r="AE355" s="587" t="str">
        <f t="shared" si="112"/>
        <v/>
      </c>
    </row>
    <row r="356" spans="2:31">
      <c r="B356" s="586" t="s">
        <v>509</v>
      </c>
      <c r="C356" s="587">
        <v>1.8</v>
      </c>
      <c r="D356" s="588" t="s">
        <v>957</v>
      </c>
      <c r="E356" s="587">
        <v>2.8</v>
      </c>
      <c r="F356" s="587">
        <f t="shared" si="123"/>
        <v>5.04</v>
      </c>
      <c r="G356" s="587">
        <f t="shared" si="124"/>
        <v>9.1999999999999993</v>
      </c>
      <c r="H356" s="589" t="s">
        <v>957</v>
      </c>
      <c r="I356" s="587">
        <f t="shared" si="118"/>
        <v>5.04</v>
      </c>
      <c r="J356" s="589" t="s">
        <v>957</v>
      </c>
      <c r="K356" s="587">
        <f t="shared" si="110"/>
        <v>9.1999999999999993</v>
      </c>
      <c r="L356" s="587"/>
      <c r="M356" s="587" t="str">
        <f t="shared" si="105"/>
        <v/>
      </c>
      <c r="N356" s="587"/>
      <c r="O356" s="587" t="str">
        <f t="shared" si="119"/>
        <v/>
      </c>
      <c r="P356" s="587"/>
      <c r="Q356" s="587" t="str">
        <f t="shared" si="111"/>
        <v/>
      </c>
      <c r="R356" s="587"/>
      <c r="S356" s="587" t="str">
        <f t="shared" si="120"/>
        <v/>
      </c>
      <c r="T356" s="587"/>
      <c r="U356" s="587" t="str">
        <f t="shared" si="121"/>
        <v/>
      </c>
      <c r="V356" s="587" t="s">
        <v>957</v>
      </c>
      <c r="W356" s="587">
        <f t="shared" si="122"/>
        <v>5.04</v>
      </c>
      <c r="X356" s="587"/>
      <c r="Y356" s="587" t="str">
        <f t="shared" si="117"/>
        <v/>
      </c>
      <c r="Z356" s="587"/>
      <c r="AA356" s="587" t="str">
        <f t="shared" si="113"/>
        <v/>
      </c>
      <c r="AB356" s="587"/>
      <c r="AC356" s="587" t="str">
        <f t="shared" si="114"/>
        <v/>
      </c>
      <c r="AD356" s="586"/>
      <c r="AE356" s="587" t="str">
        <f t="shared" si="112"/>
        <v/>
      </c>
    </row>
    <row r="357" spans="2:31">
      <c r="B357" s="586" t="s">
        <v>510</v>
      </c>
      <c r="C357" s="587">
        <v>1.8</v>
      </c>
      <c r="D357" s="588" t="s">
        <v>957</v>
      </c>
      <c r="E357" s="587">
        <v>2.8</v>
      </c>
      <c r="F357" s="587">
        <f t="shared" si="123"/>
        <v>5.04</v>
      </c>
      <c r="G357" s="587">
        <f t="shared" si="124"/>
        <v>9.1999999999999993</v>
      </c>
      <c r="H357" s="589" t="s">
        <v>957</v>
      </c>
      <c r="I357" s="587">
        <f t="shared" si="118"/>
        <v>5.04</v>
      </c>
      <c r="J357" s="589" t="s">
        <v>957</v>
      </c>
      <c r="K357" s="587">
        <f t="shared" si="110"/>
        <v>9.1999999999999993</v>
      </c>
      <c r="L357" s="587"/>
      <c r="M357" s="587" t="str">
        <f t="shared" si="105"/>
        <v/>
      </c>
      <c r="N357" s="587"/>
      <c r="O357" s="587" t="str">
        <f t="shared" si="119"/>
        <v/>
      </c>
      <c r="P357" s="587"/>
      <c r="Q357" s="587" t="str">
        <f t="shared" si="111"/>
        <v/>
      </c>
      <c r="R357" s="587"/>
      <c r="S357" s="587" t="str">
        <f t="shared" si="120"/>
        <v/>
      </c>
      <c r="T357" s="587"/>
      <c r="U357" s="587" t="str">
        <f t="shared" si="121"/>
        <v/>
      </c>
      <c r="V357" s="587" t="s">
        <v>957</v>
      </c>
      <c r="W357" s="587">
        <f t="shared" si="122"/>
        <v>5.04</v>
      </c>
      <c r="X357" s="587"/>
      <c r="Y357" s="587" t="str">
        <f t="shared" si="117"/>
        <v/>
      </c>
      <c r="Z357" s="587"/>
      <c r="AA357" s="587" t="str">
        <f t="shared" si="113"/>
        <v/>
      </c>
      <c r="AB357" s="587"/>
      <c r="AC357" s="587" t="str">
        <f t="shared" si="114"/>
        <v/>
      </c>
      <c r="AD357" s="586"/>
      <c r="AE357" s="587" t="str">
        <f t="shared" si="112"/>
        <v/>
      </c>
    </row>
    <row r="358" spans="2:31">
      <c r="B358" s="586" t="s">
        <v>308</v>
      </c>
      <c r="C358" s="587">
        <v>2.16</v>
      </c>
      <c r="D358" s="588" t="s">
        <v>957</v>
      </c>
      <c r="E358" s="587">
        <v>1.95</v>
      </c>
      <c r="F358" s="587">
        <f t="shared" si="123"/>
        <v>4.2119999999999997</v>
      </c>
      <c r="G358" s="587">
        <f t="shared" si="124"/>
        <v>8.2200000000000006</v>
      </c>
      <c r="H358" s="589" t="s">
        <v>957</v>
      </c>
      <c r="I358" s="587">
        <f t="shared" si="118"/>
        <v>4.2119999999999997</v>
      </c>
      <c r="J358" s="589" t="s">
        <v>957</v>
      </c>
      <c r="K358" s="587">
        <f t="shared" si="110"/>
        <v>8.2200000000000006</v>
      </c>
      <c r="L358" s="587"/>
      <c r="M358" s="587" t="str">
        <f t="shared" si="105"/>
        <v/>
      </c>
      <c r="N358" s="587"/>
      <c r="O358" s="587" t="str">
        <f t="shared" si="119"/>
        <v/>
      </c>
      <c r="P358" s="587"/>
      <c r="Q358" s="587" t="str">
        <f t="shared" si="111"/>
        <v/>
      </c>
      <c r="R358" s="587"/>
      <c r="S358" s="587" t="str">
        <f t="shared" si="120"/>
        <v/>
      </c>
      <c r="T358" s="587"/>
      <c r="U358" s="587" t="str">
        <f t="shared" si="121"/>
        <v/>
      </c>
      <c r="V358" s="587" t="s">
        <v>957</v>
      </c>
      <c r="W358" s="587">
        <f t="shared" si="122"/>
        <v>4.2119999999999997</v>
      </c>
      <c r="X358" s="587"/>
      <c r="Y358" s="587" t="str">
        <f t="shared" si="117"/>
        <v/>
      </c>
      <c r="Z358" s="587"/>
      <c r="AA358" s="587" t="str">
        <f t="shared" si="113"/>
        <v/>
      </c>
      <c r="AB358" s="587"/>
      <c r="AC358" s="587" t="str">
        <f t="shared" si="114"/>
        <v/>
      </c>
      <c r="AD358" s="586"/>
      <c r="AE358" s="587" t="str">
        <f t="shared" si="112"/>
        <v/>
      </c>
    </row>
    <row r="359" spans="2:31">
      <c r="B359" s="586" t="s">
        <v>511</v>
      </c>
      <c r="C359" s="587">
        <v>3.91</v>
      </c>
      <c r="D359" s="588" t="s">
        <v>957</v>
      </c>
      <c r="E359" s="587">
        <v>4.5199999999999996</v>
      </c>
      <c r="F359" s="587">
        <f t="shared" si="123"/>
        <v>17.673199999999998</v>
      </c>
      <c r="G359" s="587">
        <f t="shared" si="124"/>
        <v>16.86</v>
      </c>
      <c r="H359" s="589" t="s">
        <v>957</v>
      </c>
      <c r="I359" s="587">
        <f t="shared" si="118"/>
        <v>17.673199999999998</v>
      </c>
      <c r="J359" s="589" t="s">
        <v>957</v>
      </c>
      <c r="K359" s="587">
        <f t="shared" si="110"/>
        <v>16.86</v>
      </c>
      <c r="L359" s="587"/>
      <c r="M359" s="587" t="str">
        <f t="shared" si="105"/>
        <v/>
      </c>
      <c r="N359" s="587"/>
      <c r="O359" s="587" t="str">
        <f t="shared" si="119"/>
        <v/>
      </c>
      <c r="P359" s="587"/>
      <c r="Q359" s="587" t="str">
        <f t="shared" si="111"/>
        <v/>
      </c>
      <c r="R359" s="587"/>
      <c r="S359" s="587" t="str">
        <f t="shared" si="120"/>
        <v/>
      </c>
      <c r="T359" s="587"/>
      <c r="U359" s="587" t="str">
        <f t="shared" si="121"/>
        <v/>
      </c>
      <c r="V359" s="587" t="s">
        <v>957</v>
      </c>
      <c r="W359" s="587">
        <f t="shared" si="122"/>
        <v>17.673199999999998</v>
      </c>
      <c r="X359" s="587"/>
      <c r="Y359" s="587" t="str">
        <f t="shared" si="117"/>
        <v/>
      </c>
      <c r="Z359" s="587"/>
      <c r="AA359" s="587" t="str">
        <f t="shared" si="113"/>
        <v/>
      </c>
      <c r="AB359" s="587"/>
      <c r="AC359" s="587" t="str">
        <f t="shared" si="114"/>
        <v/>
      </c>
      <c r="AD359" s="586"/>
      <c r="AE359" s="587" t="str">
        <f t="shared" si="112"/>
        <v/>
      </c>
    </row>
    <row r="360" spans="2:31">
      <c r="B360" s="586" t="s">
        <v>512</v>
      </c>
      <c r="C360" s="587">
        <v>3.91</v>
      </c>
      <c r="D360" s="588" t="s">
        <v>957</v>
      </c>
      <c r="E360" s="587">
        <v>2</v>
      </c>
      <c r="F360" s="587">
        <f t="shared" si="123"/>
        <v>7.82</v>
      </c>
      <c r="G360" s="587">
        <f t="shared" si="124"/>
        <v>11.82</v>
      </c>
      <c r="H360" s="589" t="s">
        <v>957</v>
      </c>
      <c r="I360" s="587">
        <f t="shared" si="118"/>
        <v>7.82</v>
      </c>
      <c r="J360" s="589" t="s">
        <v>957</v>
      </c>
      <c r="K360" s="587">
        <f t="shared" si="110"/>
        <v>11.82</v>
      </c>
      <c r="L360" s="587"/>
      <c r="M360" s="587" t="str">
        <f t="shared" si="105"/>
        <v/>
      </c>
      <c r="N360" s="587"/>
      <c r="O360" s="587" t="str">
        <f t="shared" si="119"/>
        <v/>
      </c>
      <c r="P360" s="587"/>
      <c r="Q360" s="587" t="str">
        <f t="shared" si="111"/>
        <v/>
      </c>
      <c r="R360" s="587"/>
      <c r="S360" s="587" t="str">
        <f t="shared" si="120"/>
        <v/>
      </c>
      <c r="T360" s="587"/>
      <c r="U360" s="587" t="str">
        <f t="shared" si="121"/>
        <v/>
      </c>
      <c r="V360" s="587" t="s">
        <v>957</v>
      </c>
      <c r="W360" s="587">
        <f t="shared" si="122"/>
        <v>7.82</v>
      </c>
      <c r="X360" s="587"/>
      <c r="Y360" s="587" t="str">
        <f t="shared" si="117"/>
        <v/>
      </c>
      <c r="Z360" s="587"/>
      <c r="AA360" s="587" t="str">
        <f t="shared" si="113"/>
        <v/>
      </c>
      <c r="AB360" s="587"/>
      <c r="AC360" s="587" t="str">
        <f t="shared" si="114"/>
        <v/>
      </c>
      <c r="AD360" s="586"/>
      <c r="AE360" s="587" t="str">
        <f t="shared" si="112"/>
        <v/>
      </c>
    </row>
    <row r="361" spans="2:31">
      <c r="B361" s="586" t="s">
        <v>513</v>
      </c>
      <c r="C361" s="587">
        <v>4</v>
      </c>
      <c r="D361" s="588" t="s">
        <v>957</v>
      </c>
      <c r="E361" s="587">
        <v>6.67</v>
      </c>
      <c r="F361" s="587">
        <f t="shared" si="123"/>
        <v>26.68</v>
      </c>
      <c r="G361" s="587">
        <f t="shared" si="124"/>
        <v>21.34</v>
      </c>
      <c r="H361" s="589" t="s">
        <v>957</v>
      </c>
      <c r="I361" s="587">
        <f t="shared" si="118"/>
        <v>26.68</v>
      </c>
      <c r="J361" s="589" t="s">
        <v>957</v>
      </c>
      <c r="K361" s="587">
        <f t="shared" si="110"/>
        <v>21.34</v>
      </c>
      <c r="L361" s="587"/>
      <c r="M361" s="587" t="str">
        <f t="shared" si="105"/>
        <v/>
      </c>
      <c r="N361" s="587"/>
      <c r="O361" s="587" t="str">
        <f t="shared" si="119"/>
        <v/>
      </c>
      <c r="P361" s="587"/>
      <c r="Q361" s="587" t="str">
        <f t="shared" si="111"/>
        <v/>
      </c>
      <c r="R361" s="587"/>
      <c r="S361" s="587" t="str">
        <f t="shared" si="120"/>
        <v/>
      </c>
      <c r="T361" s="587"/>
      <c r="U361" s="587" t="str">
        <f t="shared" si="121"/>
        <v/>
      </c>
      <c r="V361" s="587" t="s">
        <v>957</v>
      </c>
      <c r="W361" s="587">
        <f t="shared" si="122"/>
        <v>26.68</v>
      </c>
      <c r="X361" s="587"/>
      <c r="Y361" s="587" t="str">
        <f t="shared" si="117"/>
        <v/>
      </c>
      <c r="Z361" s="587"/>
      <c r="AA361" s="587" t="str">
        <f t="shared" si="113"/>
        <v/>
      </c>
      <c r="AB361" s="587"/>
      <c r="AC361" s="587" t="str">
        <f t="shared" si="114"/>
        <v/>
      </c>
      <c r="AD361" s="586"/>
      <c r="AE361" s="587" t="str">
        <f t="shared" si="112"/>
        <v/>
      </c>
    </row>
    <row r="362" spans="2:31">
      <c r="B362" s="586" t="s">
        <v>404</v>
      </c>
      <c r="C362" s="587">
        <v>3.9</v>
      </c>
      <c r="D362" s="588"/>
      <c r="E362" s="587">
        <v>3.26</v>
      </c>
      <c r="F362" s="587">
        <f t="shared" si="123"/>
        <v>12.713999999999999</v>
      </c>
      <c r="G362" s="587">
        <f t="shared" si="124"/>
        <v>14.32</v>
      </c>
      <c r="H362" s="589" t="s">
        <v>957</v>
      </c>
      <c r="I362" s="587">
        <f t="shared" si="118"/>
        <v>12.713999999999999</v>
      </c>
      <c r="J362" s="589" t="s">
        <v>957</v>
      </c>
      <c r="K362" s="587">
        <f t="shared" si="110"/>
        <v>14.32</v>
      </c>
      <c r="L362" s="587"/>
      <c r="M362" s="587" t="str">
        <f t="shared" si="105"/>
        <v/>
      </c>
      <c r="N362" s="587"/>
      <c r="O362" s="587" t="str">
        <f t="shared" si="119"/>
        <v/>
      </c>
      <c r="P362" s="587"/>
      <c r="Q362" s="587" t="str">
        <f t="shared" si="111"/>
        <v/>
      </c>
      <c r="R362" s="587"/>
      <c r="S362" s="587" t="str">
        <f t="shared" si="120"/>
        <v/>
      </c>
      <c r="T362" s="587"/>
      <c r="U362" s="587" t="str">
        <f t="shared" si="121"/>
        <v/>
      </c>
      <c r="V362" s="587" t="s">
        <v>957</v>
      </c>
      <c r="W362" s="587">
        <f t="shared" si="122"/>
        <v>12.713999999999999</v>
      </c>
      <c r="X362" s="587"/>
      <c r="Y362" s="587" t="str">
        <f t="shared" si="117"/>
        <v/>
      </c>
      <c r="Z362" s="587"/>
      <c r="AA362" s="587" t="str">
        <f t="shared" si="113"/>
        <v/>
      </c>
      <c r="AB362" s="587"/>
      <c r="AC362" s="587" t="str">
        <f t="shared" si="114"/>
        <v/>
      </c>
      <c r="AD362" s="586"/>
      <c r="AE362" s="587" t="str">
        <f t="shared" si="112"/>
        <v/>
      </c>
    </row>
    <row r="363" spans="2:31">
      <c r="B363" s="586" t="s">
        <v>514</v>
      </c>
      <c r="C363" s="587">
        <v>3.9</v>
      </c>
      <c r="D363" s="588"/>
      <c r="E363" s="587">
        <v>3.26</v>
      </c>
      <c r="F363" s="587">
        <f t="shared" si="123"/>
        <v>12.713999999999999</v>
      </c>
      <c r="G363" s="587">
        <f t="shared" si="124"/>
        <v>14.32</v>
      </c>
      <c r="H363" s="589" t="s">
        <v>957</v>
      </c>
      <c r="I363" s="587">
        <f t="shared" si="118"/>
        <v>12.713999999999999</v>
      </c>
      <c r="J363" s="589" t="s">
        <v>957</v>
      </c>
      <c r="K363" s="587">
        <f t="shared" si="110"/>
        <v>14.32</v>
      </c>
      <c r="L363" s="587"/>
      <c r="M363" s="587" t="str">
        <f t="shared" si="105"/>
        <v/>
      </c>
      <c r="N363" s="587"/>
      <c r="O363" s="587" t="str">
        <f t="shared" si="119"/>
        <v/>
      </c>
      <c r="P363" s="587"/>
      <c r="Q363" s="587" t="str">
        <f t="shared" si="111"/>
        <v/>
      </c>
      <c r="R363" s="587"/>
      <c r="S363" s="587" t="str">
        <f t="shared" si="120"/>
        <v/>
      </c>
      <c r="T363" s="587"/>
      <c r="U363" s="587" t="str">
        <f t="shared" si="121"/>
        <v/>
      </c>
      <c r="V363" s="587" t="s">
        <v>957</v>
      </c>
      <c r="W363" s="587">
        <f t="shared" si="122"/>
        <v>12.713999999999999</v>
      </c>
      <c r="X363" s="587"/>
      <c r="Y363" s="587" t="str">
        <f t="shared" si="117"/>
        <v/>
      </c>
      <c r="Z363" s="587"/>
      <c r="AA363" s="587" t="str">
        <f t="shared" si="113"/>
        <v/>
      </c>
      <c r="AB363" s="587"/>
      <c r="AC363" s="587" t="str">
        <f t="shared" si="114"/>
        <v/>
      </c>
      <c r="AD363" s="586"/>
      <c r="AE363" s="587" t="str">
        <f t="shared" si="112"/>
        <v/>
      </c>
    </row>
    <row r="364" spans="2:31">
      <c r="B364" s="586" t="s">
        <v>404</v>
      </c>
      <c r="C364" s="587">
        <v>3.9</v>
      </c>
      <c r="D364" s="588"/>
      <c r="E364" s="587">
        <v>3.26</v>
      </c>
      <c r="F364" s="587">
        <f t="shared" si="123"/>
        <v>12.713999999999999</v>
      </c>
      <c r="G364" s="587">
        <f t="shared" si="124"/>
        <v>14.32</v>
      </c>
      <c r="H364" s="589" t="s">
        <v>957</v>
      </c>
      <c r="I364" s="587">
        <f t="shared" si="118"/>
        <v>12.713999999999999</v>
      </c>
      <c r="J364" s="589" t="s">
        <v>957</v>
      </c>
      <c r="K364" s="587">
        <f t="shared" si="110"/>
        <v>14.32</v>
      </c>
      <c r="L364" s="587"/>
      <c r="M364" s="587" t="str">
        <f t="shared" si="105"/>
        <v/>
      </c>
      <c r="N364" s="587"/>
      <c r="O364" s="587" t="str">
        <f t="shared" si="119"/>
        <v/>
      </c>
      <c r="P364" s="587"/>
      <c r="Q364" s="587" t="str">
        <f t="shared" si="111"/>
        <v/>
      </c>
      <c r="R364" s="587"/>
      <c r="S364" s="587" t="str">
        <f t="shared" si="120"/>
        <v/>
      </c>
      <c r="T364" s="587"/>
      <c r="U364" s="587" t="str">
        <f t="shared" si="121"/>
        <v/>
      </c>
      <c r="V364" s="587" t="s">
        <v>957</v>
      </c>
      <c r="W364" s="587">
        <f t="shared" si="122"/>
        <v>12.713999999999999</v>
      </c>
      <c r="X364" s="587"/>
      <c r="Y364" s="587" t="str">
        <f t="shared" si="117"/>
        <v/>
      </c>
      <c r="Z364" s="587"/>
      <c r="AA364" s="587" t="str">
        <f t="shared" si="113"/>
        <v/>
      </c>
      <c r="AB364" s="587"/>
      <c r="AC364" s="587" t="str">
        <f t="shared" si="114"/>
        <v/>
      </c>
      <c r="AD364" s="586"/>
      <c r="AE364" s="587" t="str">
        <f t="shared" si="112"/>
        <v/>
      </c>
    </row>
    <row r="365" spans="2:31">
      <c r="B365" s="586" t="s">
        <v>515</v>
      </c>
      <c r="C365" s="587">
        <v>3.9</v>
      </c>
      <c r="D365" s="588"/>
      <c r="E365" s="587">
        <v>3.26</v>
      </c>
      <c r="F365" s="587">
        <f t="shared" si="123"/>
        <v>12.713999999999999</v>
      </c>
      <c r="G365" s="587">
        <f t="shared" si="124"/>
        <v>14.32</v>
      </c>
      <c r="H365" s="589" t="s">
        <v>957</v>
      </c>
      <c r="I365" s="587">
        <f t="shared" si="118"/>
        <v>12.713999999999999</v>
      </c>
      <c r="J365" s="589" t="s">
        <v>957</v>
      </c>
      <c r="K365" s="587">
        <f t="shared" si="110"/>
        <v>14.32</v>
      </c>
      <c r="L365" s="587"/>
      <c r="M365" s="587" t="str">
        <f t="shared" si="105"/>
        <v/>
      </c>
      <c r="N365" s="587"/>
      <c r="O365" s="587" t="str">
        <f t="shared" si="119"/>
        <v/>
      </c>
      <c r="P365" s="587"/>
      <c r="Q365" s="587" t="str">
        <f t="shared" si="111"/>
        <v/>
      </c>
      <c r="R365" s="587"/>
      <c r="S365" s="587" t="str">
        <f t="shared" si="120"/>
        <v/>
      </c>
      <c r="T365" s="587"/>
      <c r="U365" s="587" t="str">
        <f t="shared" si="121"/>
        <v/>
      </c>
      <c r="V365" s="587" t="s">
        <v>957</v>
      </c>
      <c r="W365" s="587">
        <f t="shared" si="122"/>
        <v>12.713999999999999</v>
      </c>
      <c r="X365" s="587"/>
      <c r="Y365" s="587" t="str">
        <f t="shared" si="117"/>
        <v/>
      </c>
      <c r="Z365" s="587"/>
      <c r="AA365" s="587" t="str">
        <f t="shared" si="113"/>
        <v/>
      </c>
      <c r="AB365" s="587"/>
      <c r="AC365" s="587" t="str">
        <f t="shared" si="114"/>
        <v/>
      </c>
      <c r="AD365" s="586"/>
      <c r="AE365" s="587" t="str">
        <f t="shared" si="112"/>
        <v/>
      </c>
    </row>
    <row r="366" spans="2:31">
      <c r="B366" s="586" t="s">
        <v>516</v>
      </c>
      <c r="C366" s="587"/>
      <c r="D366" s="588"/>
      <c r="E366" s="587"/>
      <c r="F366" s="587">
        <v>21.88</v>
      </c>
      <c r="G366" s="587">
        <v>21.3</v>
      </c>
      <c r="H366" s="589" t="s">
        <v>957</v>
      </c>
      <c r="I366" s="587">
        <f t="shared" si="118"/>
        <v>21.88</v>
      </c>
      <c r="J366" s="589" t="s">
        <v>957</v>
      </c>
      <c r="K366" s="587">
        <f t="shared" si="110"/>
        <v>21.3</v>
      </c>
      <c r="L366" s="587"/>
      <c r="M366" s="587" t="str">
        <f t="shared" si="105"/>
        <v/>
      </c>
      <c r="N366" s="587"/>
      <c r="O366" s="587" t="str">
        <f t="shared" si="119"/>
        <v/>
      </c>
      <c r="P366" s="587"/>
      <c r="Q366" s="587" t="str">
        <f t="shared" si="111"/>
        <v/>
      </c>
      <c r="R366" s="587"/>
      <c r="S366" s="587" t="str">
        <f t="shared" si="120"/>
        <v/>
      </c>
      <c r="T366" s="587"/>
      <c r="U366" s="587" t="str">
        <f t="shared" si="121"/>
        <v/>
      </c>
      <c r="V366" s="587" t="s">
        <v>957</v>
      </c>
      <c r="W366" s="587">
        <f t="shared" si="122"/>
        <v>21.88</v>
      </c>
      <c r="X366" s="587"/>
      <c r="Y366" s="587" t="str">
        <f t="shared" si="117"/>
        <v/>
      </c>
      <c r="Z366" s="587"/>
      <c r="AA366" s="587" t="str">
        <f t="shared" si="113"/>
        <v/>
      </c>
      <c r="AB366" s="587"/>
      <c r="AC366" s="587" t="str">
        <f t="shared" si="114"/>
        <v/>
      </c>
      <c r="AD366" s="586"/>
      <c r="AE366" s="587" t="str">
        <f t="shared" si="112"/>
        <v/>
      </c>
    </row>
    <row r="367" spans="2:31">
      <c r="B367" s="586" t="s">
        <v>428</v>
      </c>
      <c r="C367" s="587"/>
      <c r="D367" s="588"/>
      <c r="E367" s="587"/>
      <c r="F367" s="587">
        <v>3.71</v>
      </c>
      <c r="G367" s="587">
        <v>8.16</v>
      </c>
      <c r="H367" s="589" t="s">
        <v>957</v>
      </c>
      <c r="I367" s="587">
        <f t="shared" si="118"/>
        <v>3.71</v>
      </c>
      <c r="J367" s="589" t="s">
        <v>957</v>
      </c>
      <c r="K367" s="587">
        <f t="shared" si="110"/>
        <v>8.16</v>
      </c>
      <c r="L367" s="587"/>
      <c r="M367" s="587" t="str">
        <f t="shared" si="105"/>
        <v/>
      </c>
      <c r="N367" s="587"/>
      <c r="O367" s="587" t="str">
        <f t="shared" si="119"/>
        <v/>
      </c>
      <c r="P367" s="587"/>
      <c r="Q367" s="587" t="str">
        <f t="shared" si="111"/>
        <v/>
      </c>
      <c r="R367" s="587"/>
      <c r="S367" s="587" t="str">
        <f t="shared" si="120"/>
        <v/>
      </c>
      <c r="T367" s="587"/>
      <c r="U367" s="587" t="str">
        <f t="shared" si="121"/>
        <v/>
      </c>
      <c r="V367" s="587" t="s">
        <v>957</v>
      </c>
      <c r="W367" s="587">
        <f t="shared" si="122"/>
        <v>3.71</v>
      </c>
      <c r="X367" s="587"/>
      <c r="Y367" s="587" t="str">
        <f t="shared" si="117"/>
        <v/>
      </c>
      <c r="Z367" s="587"/>
      <c r="AA367" s="587" t="str">
        <f t="shared" si="113"/>
        <v/>
      </c>
      <c r="AB367" s="587"/>
      <c r="AC367" s="587" t="str">
        <f t="shared" si="114"/>
        <v/>
      </c>
      <c r="AD367" s="586"/>
      <c r="AE367" s="587" t="str">
        <f t="shared" si="112"/>
        <v/>
      </c>
    </row>
    <row r="368" spans="2:31">
      <c r="B368" s="586" t="s">
        <v>428</v>
      </c>
      <c r="C368" s="587"/>
      <c r="D368" s="588"/>
      <c r="E368" s="587"/>
      <c r="F368" s="587">
        <v>3.71</v>
      </c>
      <c r="G368" s="587">
        <v>8.16</v>
      </c>
      <c r="H368" s="589" t="s">
        <v>957</v>
      </c>
      <c r="I368" s="587">
        <f t="shared" si="118"/>
        <v>3.71</v>
      </c>
      <c r="J368" s="589" t="s">
        <v>957</v>
      </c>
      <c r="K368" s="587">
        <f t="shared" si="110"/>
        <v>8.16</v>
      </c>
      <c r="L368" s="587"/>
      <c r="M368" s="587" t="str">
        <f t="shared" si="105"/>
        <v/>
      </c>
      <c r="N368" s="587"/>
      <c r="O368" s="587" t="str">
        <f t="shared" si="119"/>
        <v/>
      </c>
      <c r="P368" s="587"/>
      <c r="Q368" s="587" t="str">
        <f t="shared" si="111"/>
        <v/>
      </c>
      <c r="R368" s="587"/>
      <c r="S368" s="587" t="str">
        <f t="shared" si="120"/>
        <v/>
      </c>
      <c r="T368" s="587"/>
      <c r="U368" s="587" t="str">
        <f t="shared" si="121"/>
        <v/>
      </c>
      <c r="V368" s="587" t="s">
        <v>957</v>
      </c>
      <c r="W368" s="587">
        <f t="shared" si="122"/>
        <v>3.71</v>
      </c>
      <c r="X368" s="587"/>
      <c r="Y368" s="587" t="str">
        <f t="shared" si="117"/>
        <v/>
      </c>
      <c r="Z368" s="587"/>
      <c r="AA368" s="587" t="str">
        <f t="shared" si="113"/>
        <v/>
      </c>
      <c r="AB368" s="587"/>
      <c r="AC368" s="587" t="str">
        <f t="shared" si="114"/>
        <v/>
      </c>
      <c r="AD368" s="586"/>
      <c r="AE368" s="587" t="str">
        <f t="shared" si="112"/>
        <v/>
      </c>
    </row>
    <row r="369" spans="2:31">
      <c r="B369" s="586" t="s">
        <v>516</v>
      </c>
      <c r="C369" s="587"/>
      <c r="D369" s="588"/>
      <c r="E369" s="587"/>
      <c r="F369" s="587">
        <v>22.29</v>
      </c>
      <c r="G369" s="587">
        <v>20.82</v>
      </c>
      <c r="H369" s="589" t="s">
        <v>957</v>
      </c>
      <c r="I369" s="587">
        <f t="shared" si="118"/>
        <v>22.29</v>
      </c>
      <c r="J369" s="589" t="s">
        <v>957</v>
      </c>
      <c r="K369" s="587">
        <f t="shared" si="110"/>
        <v>20.82</v>
      </c>
      <c r="L369" s="587"/>
      <c r="M369" s="587" t="str">
        <f t="shared" si="105"/>
        <v/>
      </c>
      <c r="N369" s="587"/>
      <c r="O369" s="587" t="str">
        <f t="shared" si="119"/>
        <v/>
      </c>
      <c r="P369" s="587"/>
      <c r="Q369" s="587" t="str">
        <f t="shared" si="111"/>
        <v/>
      </c>
      <c r="R369" s="587"/>
      <c r="S369" s="587" t="str">
        <f t="shared" si="120"/>
        <v/>
      </c>
      <c r="T369" s="587"/>
      <c r="U369" s="587" t="str">
        <f t="shared" si="121"/>
        <v/>
      </c>
      <c r="V369" s="587" t="s">
        <v>957</v>
      </c>
      <c r="W369" s="587">
        <f t="shared" si="122"/>
        <v>22.29</v>
      </c>
      <c r="X369" s="587"/>
      <c r="Y369" s="587" t="str">
        <f t="shared" si="117"/>
        <v/>
      </c>
      <c r="Z369" s="587"/>
      <c r="AA369" s="587" t="str">
        <f t="shared" si="113"/>
        <v/>
      </c>
      <c r="AB369" s="587"/>
      <c r="AC369" s="587" t="str">
        <f t="shared" si="114"/>
        <v/>
      </c>
      <c r="AD369" s="586"/>
      <c r="AE369" s="587" t="str">
        <f t="shared" si="112"/>
        <v/>
      </c>
    </row>
    <row r="370" spans="2:31">
      <c r="B370" s="586" t="s">
        <v>418</v>
      </c>
      <c r="C370" s="587"/>
      <c r="D370" s="588"/>
      <c r="E370" s="587"/>
      <c r="F370" s="587">
        <v>122.94</v>
      </c>
      <c r="G370" s="587">
        <v>102</v>
      </c>
      <c r="H370" s="589" t="s">
        <v>957</v>
      </c>
      <c r="I370" s="587">
        <f t="shared" si="118"/>
        <v>122.94</v>
      </c>
      <c r="J370" s="589" t="s">
        <v>957</v>
      </c>
      <c r="K370" s="587">
        <f t="shared" si="110"/>
        <v>102</v>
      </c>
      <c r="L370" s="587"/>
      <c r="M370" s="587" t="str">
        <f t="shared" si="105"/>
        <v/>
      </c>
      <c r="N370" s="587"/>
      <c r="O370" s="587" t="str">
        <f t="shared" si="119"/>
        <v/>
      </c>
      <c r="P370" s="587"/>
      <c r="Q370" s="587" t="str">
        <f t="shared" si="111"/>
        <v/>
      </c>
      <c r="R370" s="587"/>
      <c r="S370" s="587" t="str">
        <f t="shared" si="120"/>
        <v/>
      </c>
      <c r="T370" s="587"/>
      <c r="U370" s="587" t="str">
        <f t="shared" si="121"/>
        <v/>
      </c>
      <c r="V370" s="587"/>
      <c r="W370" s="587" t="str">
        <f t="shared" si="122"/>
        <v/>
      </c>
      <c r="X370" s="587" t="s">
        <v>957</v>
      </c>
      <c r="Y370" s="587">
        <f t="shared" si="117"/>
        <v>122.94</v>
      </c>
      <c r="Z370" s="587"/>
      <c r="AA370" s="587" t="str">
        <f t="shared" si="113"/>
        <v/>
      </c>
      <c r="AB370" s="587"/>
      <c r="AC370" s="587" t="str">
        <f t="shared" si="114"/>
        <v/>
      </c>
      <c r="AD370" s="586"/>
      <c r="AE370" s="587" t="str">
        <f t="shared" si="112"/>
        <v/>
      </c>
    </row>
    <row r="371" spans="2:31">
      <c r="B371" s="586" t="s">
        <v>407</v>
      </c>
      <c r="C371" s="587"/>
      <c r="D371" s="588"/>
      <c r="E371" s="587"/>
      <c r="F371" s="587">
        <v>152.12</v>
      </c>
      <c r="G371" s="587">
        <v>67.31</v>
      </c>
      <c r="H371" s="589" t="s">
        <v>957</v>
      </c>
      <c r="I371" s="587">
        <f t="shared" si="118"/>
        <v>152.12</v>
      </c>
      <c r="J371" s="589" t="s">
        <v>957</v>
      </c>
      <c r="K371" s="587">
        <f t="shared" si="110"/>
        <v>67.31</v>
      </c>
      <c r="L371" s="587"/>
      <c r="M371" s="587" t="str">
        <f t="shared" si="105"/>
        <v/>
      </c>
      <c r="N371" s="587"/>
      <c r="O371" s="587" t="str">
        <f t="shared" si="119"/>
        <v/>
      </c>
      <c r="P371" s="587"/>
      <c r="Q371" s="587" t="str">
        <f t="shared" si="111"/>
        <v/>
      </c>
      <c r="R371" s="587"/>
      <c r="S371" s="587" t="str">
        <f t="shared" si="120"/>
        <v/>
      </c>
      <c r="T371" s="587"/>
      <c r="U371" s="587" t="str">
        <f t="shared" si="121"/>
        <v/>
      </c>
      <c r="V371" s="587"/>
      <c r="W371" s="587" t="str">
        <f t="shared" si="122"/>
        <v/>
      </c>
      <c r="X371" s="587"/>
      <c r="Y371" s="587" t="str">
        <f t="shared" si="117"/>
        <v/>
      </c>
      <c r="Z371" s="587" t="s">
        <v>952</v>
      </c>
      <c r="AA371" s="587">
        <f t="shared" si="113"/>
        <v>152.12</v>
      </c>
      <c r="AB371" s="587"/>
      <c r="AC371" s="587" t="str">
        <f t="shared" si="114"/>
        <v/>
      </c>
      <c r="AD371" s="586"/>
      <c r="AE371" s="587" t="str">
        <f t="shared" si="112"/>
        <v/>
      </c>
    </row>
    <row r="372" spans="2:31">
      <c r="B372" s="586" t="s">
        <v>308</v>
      </c>
      <c r="C372" s="587">
        <v>2.1</v>
      </c>
      <c r="D372" s="588" t="s">
        <v>957</v>
      </c>
      <c r="E372" s="587">
        <v>3.3</v>
      </c>
      <c r="F372" s="587">
        <f>C372*E372</f>
        <v>6.93</v>
      </c>
      <c r="G372" s="587">
        <f>(C372+E372)*2</f>
        <v>10.8</v>
      </c>
      <c r="H372" s="589" t="s">
        <v>957</v>
      </c>
      <c r="I372" s="587">
        <f t="shared" si="118"/>
        <v>6.93</v>
      </c>
      <c r="J372" s="589" t="s">
        <v>957</v>
      </c>
      <c r="K372" s="587">
        <f t="shared" si="110"/>
        <v>10.8</v>
      </c>
      <c r="L372" s="587"/>
      <c r="M372" s="587" t="str">
        <f t="shared" si="105"/>
        <v/>
      </c>
      <c r="N372" s="587"/>
      <c r="O372" s="587" t="str">
        <f t="shared" si="119"/>
        <v/>
      </c>
      <c r="P372" s="587"/>
      <c r="Q372" s="587" t="str">
        <f t="shared" si="111"/>
        <v/>
      </c>
      <c r="R372" s="587"/>
      <c r="S372" s="587" t="str">
        <f t="shared" si="120"/>
        <v/>
      </c>
      <c r="T372" s="587"/>
      <c r="U372" s="587" t="str">
        <f t="shared" si="121"/>
        <v/>
      </c>
      <c r="V372" s="587" t="s">
        <v>957</v>
      </c>
      <c r="W372" s="587">
        <f t="shared" si="122"/>
        <v>6.93</v>
      </c>
      <c r="X372" s="587"/>
      <c r="Y372" s="587" t="str">
        <f t="shared" si="117"/>
        <v/>
      </c>
      <c r="Z372" s="587"/>
      <c r="AA372" s="587" t="str">
        <f t="shared" si="113"/>
        <v/>
      </c>
      <c r="AB372" s="587"/>
      <c r="AC372" s="587" t="str">
        <f t="shared" si="114"/>
        <v/>
      </c>
      <c r="AD372" s="586"/>
      <c r="AE372" s="587" t="str">
        <f t="shared" si="112"/>
        <v/>
      </c>
    </row>
    <row r="373" spans="2:31">
      <c r="B373" s="586" t="s">
        <v>517</v>
      </c>
      <c r="C373" s="587"/>
      <c r="D373" s="588"/>
      <c r="E373" s="587"/>
      <c r="F373" s="587">
        <v>9.5500000000000007</v>
      </c>
      <c r="G373" s="587">
        <v>14.06</v>
      </c>
      <c r="H373" s="589" t="s">
        <v>957</v>
      </c>
      <c r="I373" s="587">
        <f t="shared" si="118"/>
        <v>9.5500000000000007</v>
      </c>
      <c r="J373" s="589" t="s">
        <v>957</v>
      </c>
      <c r="K373" s="587">
        <f t="shared" si="110"/>
        <v>14.06</v>
      </c>
      <c r="L373" s="587"/>
      <c r="M373" s="587" t="str">
        <f t="shared" si="105"/>
        <v/>
      </c>
      <c r="N373" s="587"/>
      <c r="O373" s="587" t="str">
        <f t="shared" si="119"/>
        <v/>
      </c>
      <c r="P373" s="587"/>
      <c r="Q373" s="587" t="str">
        <f t="shared" si="111"/>
        <v/>
      </c>
      <c r="R373" s="587"/>
      <c r="S373" s="587" t="str">
        <f t="shared" si="120"/>
        <v/>
      </c>
      <c r="T373" s="587"/>
      <c r="U373" s="587" t="str">
        <f t="shared" si="121"/>
        <v/>
      </c>
      <c r="V373" s="587" t="s">
        <v>957</v>
      </c>
      <c r="W373" s="587">
        <f t="shared" si="122"/>
        <v>9.5500000000000007</v>
      </c>
      <c r="X373" s="587"/>
      <c r="Y373" s="587" t="str">
        <f t="shared" si="117"/>
        <v/>
      </c>
      <c r="Z373" s="587"/>
      <c r="AA373" s="587" t="str">
        <f t="shared" si="113"/>
        <v/>
      </c>
      <c r="AB373" s="587"/>
      <c r="AC373" s="587" t="str">
        <f t="shared" si="114"/>
        <v/>
      </c>
      <c r="AD373" s="586"/>
      <c r="AE373" s="587" t="str">
        <f t="shared" si="112"/>
        <v/>
      </c>
    </row>
    <row r="374" spans="2:31">
      <c r="B374" s="586" t="s">
        <v>397</v>
      </c>
      <c r="C374" s="587">
        <v>1.7</v>
      </c>
      <c r="D374" s="588" t="s">
        <v>957</v>
      </c>
      <c r="E374" s="587">
        <v>1.25</v>
      </c>
      <c r="F374" s="587">
        <f>C374*E374</f>
        <v>2.125</v>
      </c>
      <c r="G374" s="587">
        <f>(C374+E374)*2</f>
        <v>5.9</v>
      </c>
      <c r="H374" s="589" t="s">
        <v>957</v>
      </c>
      <c r="I374" s="587">
        <f t="shared" si="118"/>
        <v>2.125</v>
      </c>
      <c r="J374" s="589" t="s">
        <v>957</v>
      </c>
      <c r="K374" s="587">
        <f t="shared" si="110"/>
        <v>5.9</v>
      </c>
      <c r="L374" s="587"/>
      <c r="M374" s="587" t="str">
        <f t="shared" si="105"/>
        <v/>
      </c>
      <c r="N374" s="587"/>
      <c r="O374" s="587" t="str">
        <f t="shared" si="119"/>
        <v/>
      </c>
      <c r="P374" s="587"/>
      <c r="Q374" s="587" t="str">
        <f t="shared" si="111"/>
        <v/>
      </c>
      <c r="R374" s="587"/>
      <c r="S374" s="587" t="str">
        <f t="shared" si="120"/>
        <v/>
      </c>
      <c r="T374" s="587"/>
      <c r="U374" s="587" t="str">
        <f t="shared" si="121"/>
        <v/>
      </c>
      <c r="V374" s="587" t="s">
        <v>957</v>
      </c>
      <c r="W374" s="587">
        <f t="shared" si="122"/>
        <v>2.125</v>
      </c>
      <c r="X374" s="587"/>
      <c r="Y374" s="587" t="str">
        <f t="shared" si="117"/>
        <v/>
      </c>
      <c r="Z374" s="587"/>
      <c r="AA374" s="587" t="str">
        <f t="shared" si="113"/>
        <v/>
      </c>
      <c r="AB374" s="587"/>
      <c r="AC374" s="587" t="str">
        <f t="shared" si="114"/>
        <v/>
      </c>
      <c r="AD374" s="586"/>
      <c r="AE374" s="587" t="str">
        <f t="shared" si="112"/>
        <v/>
      </c>
    </row>
    <row r="375" spans="2:31">
      <c r="B375" s="586" t="s">
        <v>518</v>
      </c>
      <c r="C375" s="587"/>
      <c r="D375" s="588"/>
      <c r="E375" s="587"/>
      <c r="F375" s="587">
        <v>9.5500000000000007</v>
      </c>
      <c r="G375" s="587">
        <v>14.06</v>
      </c>
      <c r="H375" s="589" t="s">
        <v>957</v>
      </c>
      <c r="I375" s="587">
        <f t="shared" si="118"/>
        <v>9.5500000000000007</v>
      </c>
      <c r="J375" s="589" t="s">
        <v>957</v>
      </c>
      <c r="K375" s="587">
        <f t="shared" si="110"/>
        <v>14.06</v>
      </c>
      <c r="L375" s="587"/>
      <c r="M375" s="587" t="str">
        <f t="shared" ref="M375:M438" si="125">IF(L375="x",$F375,"")</f>
        <v/>
      </c>
      <c r="N375" s="587"/>
      <c r="O375" s="587" t="str">
        <f t="shared" si="119"/>
        <v/>
      </c>
      <c r="P375" s="587"/>
      <c r="Q375" s="587" t="str">
        <f t="shared" si="111"/>
        <v/>
      </c>
      <c r="R375" s="587"/>
      <c r="S375" s="587" t="str">
        <f t="shared" si="120"/>
        <v/>
      </c>
      <c r="T375" s="587"/>
      <c r="U375" s="587" t="str">
        <f t="shared" si="121"/>
        <v/>
      </c>
      <c r="V375" s="587" t="s">
        <v>957</v>
      </c>
      <c r="W375" s="587">
        <f t="shared" si="122"/>
        <v>9.5500000000000007</v>
      </c>
      <c r="X375" s="587"/>
      <c r="Y375" s="587" t="str">
        <f t="shared" si="117"/>
        <v/>
      </c>
      <c r="Z375" s="587"/>
      <c r="AA375" s="587" t="str">
        <f t="shared" si="113"/>
        <v/>
      </c>
      <c r="AB375" s="587"/>
      <c r="AC375" s="587" t="str">
        <f t="shared" si="114"/>
        <v/>
      </c>
      <c r="AD375" s="586"/>
      <c r="AE375" s="587" t="str">
        <f t="shared" si="112"/>
        <v/>
      </c>
    </row>
    <row r="376" spans="2:31">
      <c r="B376" s="586" t="s">
        <v>397</v>
      </c>
      <c r="C376" s="587">
        <v>1.7</v>
      </c>
      <c r="D376" s="588" t="s">
        <v>957</v>
      </c>
      <c r="E376" s="587">
        <v>1.25</v>
      </c>
      <c r="F376" s="587">
        <f>C376*E376</f>
        <v>2.125</v>
      </c>
      <c r="G376" s="587">
        <f>(C376+E376)*2</f>
        <v>5.9</v>
      </c>
      <c r="H376" s="589" t="s">
        <v>957</v>
      </c>
      <c r="I376" s="587">
        <f t="shared" si="118"/>
        <v>2.125</v>
      </c>
      <c r="J376" s="589" t="s">
        <v>957</v>
      </c>
      <c r="K376" s="587">
        <f t="shared" si="110"/>
        <v>5.9</v>
      </c>
      <c r="L376" s="587"/>
      <c r="M376" s="587" t="str">
        <f t="shared" si="125"/>
        <v/>
      </c>
      <c r="N376" s="587"/>
      <c r="O376" s="587" t="str">
        <f t="shared" si="119"/>
        <v/>
      </c>
      <c r="P376" s="587"/>
      <c r="Q376" s="587" t="str">
        <f t="shared" si="111"/>
        <v/>
      </c>
      <c r="R376" s="587"/>
      <c r="S376" s="587" t="str">
        <f t="shared" si="120"/>
        <v/>
      </c>
      <c r="T376" s="587"/>
      <c r="U376" s="587" t="str">
        <f t="shared" si="121"/>
        <v/>
      </c>
      <c r="V376" s="587" t="s">
        <v>957</v>
      </c>
      <c r="W376" s="587">
        <f t="shared" si="122"/>
        <v>2.125</v>
      </c>
      <c r="X376" s="587"/>
      <c r="Y376" s="587" t="str">
        <f t="shared" si="117"/>
        <v/>
      </c>
      <c r="Z376" s="587"/>
      <c r="AA376" s="587" t="str">
        <f t="shared" si="113"/>
        <v/>
      </c>
      <c r="AB376" s="587"/>
      <c r="AC376" s="587" t="str">
        <f t="shared" si="114"/>
        <v/>
      </c>
      <c r="AD376" s="586"/>
      <c r="AE376" s="587" t="str">
        <f t="shared" si="112"/>
        <v/>
      </c>
    </row>
    <row r="377" spans="2:31">
      <c r="B377" s="586" t="s">
        <v>519</v>
      </c>
      <c r="C377" s="587"/>
      <c r="D377" s="588"/>
      <c r="E377" s="587"/>
      <c r="F377" s="587">
        <v>9.5500000000000007</v>
      </c>
      <c r="G377" s="587">
        <v>14.06</v>
      </c>
      <c r="H377" s="589" t="s">
        <v>957</v>
      </c>
      <c r="I377" s="587">
        <f t="shared" si="118"/>
        <v>9.5500000000000007</v>
      </c>
      <c r="J377" s="589" t="s">
        <v>957</v>
      </c>
      <c r="K377" s="587">
        <f t="shared" si="110"/>
        <v>14.06</v>
      </c>
      <c r="L377" s="587"/>
      <c r="M377" s="587" t="str">
        <f t="shared" si="125"/>
        <v/>
      </c>
      <c r="N377" s="587"/>
      <c r="O377" s="587" t="str">
        <f t="shared" si="119"/>
        <v/>
      </c>
      <c r="P377" s="587"/>
      <c r="Q377" s="587" t="str">
        <f t="shared" si="111"/>
        <v/>
      </c>
      <c r="R377" s="587"/>
      <c r="S377" s="587" t="str">
        <f t="shared" si="120"/>
        <v/>
      </c>
      <c r="T377" s="587"/>
      <c r="U377" s="587" t="str">
        <f t="shared" si="121"/>
        <v/>
      </c>
      <c r="V377" s="587" t="s">
        <v>957</v>
      </c>
      <c r="W377" s="587">
        <f t="shared" si="122"/>
        <v>9.5500000000000007</v>
      </c>
      <c r="X377" s="587"/>
      <c r="Y377" s="587" t="str">
        <f t="shared" si="117"/>
        <v/>
      </c>
      <c r="Z377" s="587"/>
      <c r="AA377" s="587" t="str">
        <f t="shared" si="113"/>
        <v/>
      </c>
      <c r="AB377" s="587"/>
      <c r="AC377" s="587" t="str">
        <f t="shared" si="114"/>
        <v/>
      </c>
      <c r="AD377" s="586"/>
      <c r="AE377" s="587" t="str">
        <f t="shared" si="112"/>
        <v/>
      </c>
    </row>
    <row r="378" spans="2:31">
      <c r="B378" s="586" t="s">
        <v>397</v>
      </c>
      <c r="C378" s="587">
        <v>1.7</v>
      </c>
      <c r="D378" s="588" t="s">
        <v>957</v>
      </c>
      <c r="E378" s="587">
        <v>1.25</v>
      </c>
      <c r="F378" s="587">
        <f>C378*E378</f>
        <v>2.125</v>
      </c>
      <c r="G378" s="587">
        <f>(C378+E378)*2</f>
        <v>5.9</v>
      </c>
      <c r="H378" s="589" t="s">
        <v>957</v>
      </c>
      <c r="I378" s="587">
        <f t="shared" si="118"/>
        <v>2.125</v>
      </c>
      <c r="J378" s="589" t="s">
        <v>957</v>
      </c>
      <c r="K378" s="587">
        <f t="shared" si="110"/>
        <v>5.9</v>
      </c>
      <c r="L378" s="587"/>
      <c r="M378" s="587" t="str">
        <f t="shared" si="125"/>
        <v/>
      </c>
      <c r="N378" s="587"/>
      <c r="O378" s="587" t="str">
        <f t="shared" si="119"/>
        <v/>
      </c>
      <c r="P378" s="587"/>
      <c r="Q378" s="587" t="str">
        <f t="shared" si="111"/>
        <v/>
      </c>
      <c r="R378" s="587"/>
      <c r="S378" s="587" t="str">
        <f t="shared" si="120"/>
        <v/>
      </c>
      <c r="T378" s="587"/>
      <c r="U378" s="587" t="str">
        <f t="shared" si="121"/>
        <v/>
      </c>
      <c r="V378" s="587" t="s">
        <v>957</v>
      </c>
      <c r="W378" s="587">
        <f t="shared" si="122"/>
        <v>2.125</v>
      </c>
      <c r="X378" s="587"/>
      <c r="Y378" s="587" t="str">
        <f t="shared" si="117"/>
        <v/>
      </c>
      <c r="Z378" s="587"/>
      <c r="AA378" s="587" t="str">
        <f t="shared" si="113"/>
        <v/>
      </c>
      <c r="AB378" s="587"/>
      <c r="AC378" s="587" t="str">
        <f t="shared" si="114"/>
        <v/>
      </c>
      <c r="AD378" s="586"/>
      <c r="AE378" s="587" t="str">
        <f t="shared" si="112"/>
        <v/>
      </c>
    </row>
    <row r="379" spans="2:31">
      <c r="B379" s="586" t="s">
        <v>302</v>
      </c>
      <c r="C379" s="587">
        <v>3.97</v>
      </c>
      <c r="D379" s="588" t="s">
        <v>957</v>
      </c>
      <c r="E379" s="587">
        <v>2.5</v>
      </c>
      <c r="F379" s="587">
        <f>C379*E379</f>
        <v>9.9250000000000007</v>
      </c>
      <c r="G379" s="587">
        <f>(C379+E379)*2</f>
        <v>12.940000000000001</v>
      </c>
      <c r="H379" s="589" t="s">
        <v>957</v>
      </c>
      <c r="I379" s="587">
        <f t="shared" si="118"/>
        <v>9.9250000000000007</v>
      </c>
      <c r="J379" s="589" t="s">
        <v>957</v>
      </c>
      <c r="K379" s="587">
        <f t="shared" si="110"/>
        <v>12.940000000000001</v>
      </c>
      <c r="L379" s="587"/>
      <c r="M379" s="587" t="str">
        <f t="shared" si="125"/>
        <v/>
      </c>
      <c r="N379" s="587"/>
      <c r="O379" s="587" t="str">
        <f t="shared" si="119"/>
        <v/>
      </c>
      <c r="P379" s="587"/>
      <c r="Q379" s="587" t="str">
        <f t="shared" si="111"/>
        <v/>
      </c>
      <c r="R379" s="587"/>
      <c r="S379" s="587" t="str">
        <f t="shared" si="120"/>
        <v/>
      </c>
      <c r="T379" s="587"/>
      <c r="U379" s="587" t="str">
        <f t="shared" si="121"/>
        <v/>
      </c>
      <c r="V379" s="587" t="s">
        <v>957</v>
      </c>
      <c r="W379" s="587">
        <f t="shared" si="122"/>
        <v>9.9250000000000007</v>
      </c>
      <c r="X379" s="587"/>
      <c r="Y379" s="587" t="str">
        <f t="shared" si="117"/>
        <v/>
      </c>
      <c r="Z379" s="587"/>
      <c r="AA379" s="587" t="str">
        <f t="shared" si="113"/>
        <v/>
      </c>
      <c r="AB379" s="587"/>
      <c r="AC379" s="587" t="str">
        <f t="shared" si="114"/>
        <v/>
      </c>
      <c r="AD379" s="586"/>
      <c r="AE379" s="587" t="str">
        <f t="shared" si="112"/>
        <v/>
      </c>
    </row>
    <row r="380" spans="2:31">
      <c r="B380" s="586" t="s">
        <v>520</v>
      </c>
      <c r="C380" s="587"/>
      <c r="D380" s="588"/>
      <c r="E380" s="587"/>
      <c r="F380" s="587">
        <v>10.95</v>
      </c>
      <c r="G380" s="587">
        <v>14.76</v>
      </c>
      <c r="H380" s="589" t="s">
        <v>957</v>
      </c>
      <c r="I380" s="587">
        <f t="shared" si="118"/>
        <v>10.95</v>
      </c>
      <c r="J380" s="589" t="s">
        <v>957</v>
      </c>
      <c r="K380" s="587">
        <f t="shared" si="110"/>
        <v>14.76</v>
      </c>
      <c r="L380" s="587"/>
      <c r="M380" s="587" t="str">
        <f t="shared" si="125"/>
        <v/>
      </c>
      <c r="N380" s="587"/>
      <c r="O380" s="587" t="str">
        <f t="shared" si="119"/>
        <v/>
      </c>
      <c r="P380" s="587"/>
      <c r="Q380" s="587" t="str">
        <f t="shared" si="111"/>
        <v/>
      </c>
      <c r="R380" s="587"/>
      <c r="S380" s="587" t="str">
        <f t="shared" si="120"/>
        <v/>
      </c>
      <c r="T380" s="587"/>
      <c r="U380" s="587" t="str">
        <f t="shared" si="121"/>
        <v/>
      </c>
      <c r="V380" s="587" t="s">
        <v>957</v>
      </c>
      <c r="W380" s="587">
        <f t="shared" si="122"/>
        <v>10.95</v>
      </c>
      <c r="X380" s="587"/>
      <c r="Y380" s="587" t="str">
        <f t="shared" si="117"/>
        <v/>
      </c>
      <c r="Z380" s="587"/>
      <c r="AA380" s="587" t="str">
        <f t="shared" si="113"/>
        <v/>
      </c>
      <c r="AB380" s="587"/>
      <c r="AC380" s="587" t="str">
        <f t="shared" si="114"/>
        <v/>
      </c>
      <c r="AD380" s="586"/>
      <c r="AE380" s="587" t="str">
        <f t="shared" si="112"/>
        <v/>
      </c>
    </row>
    <row r="381" spans="2:31">
      <c r="B381" s="586" t="s">
        <v>397</v>
      </c>
      <c r="C381" s="587">
        <v>1.7</v>
      </c>
      <c r="D381" s="588" t="s">
        <v>957</v>
      </c>
      <c r="E381" s="587">
        <v>1.25</v>
      </c>
      <c r="F381" s="587">
        <f>C381*E381</f>
        <v>2.125</v>
      </c>
      <c r="G381" s="587">
        <f>(C381+E381)*2</f>
        <v>5.9</v>
      </c>
      <c r="H381" s="589" t="s">
        <v>957</v>
      </c>
      <c r="I381" s="587">
        <f t="shared" si="118"/>
        <v>2.125</v>
      </c>
      <c r="J381" s="589" t="s">
        <v>957</v>
      </c>
      <c r="K381" s="587">
        <f t="shared" si="110"/>
        <v>5.9</v>
      </c>
      <c r="L381" s="587"/>
      <c r="M381" s="587" t="str">
        <f t="shared" si="125"/>
        <v/>
      </c>
      <c r="N381" s="587"/>
      <c r="O381" s="587" t="str">
        <f t="shared" si="119"/>
        <v/>
      </c>
      <c r="P381" s="587"/>
      <c r="Q381" s="587" t="str">
        <f t="shared" si="111"/>
        <v/>
      </c>
      <c r="R381" s="587"/>
      <c r="S381" s="587" t="str">
        <f t="shared" si="120"/>
        <v/>
      </c>
      <c r="T381" s="587"/>
      <c r="U381" s="587" t="str">
        <f t="shared" si="121"/>
        <v/>
      </c>
      <c r="V381" s="587" t="s">
        <v>957</v>
      </c>
      <c r="W381" s="587">
        <f t="shared" si="122"/>
        <v>2.125</v>
      </c>
      <c r="X381" s="587"/>
      <c r="Y381" s="587" t="str">
        <f t="shared" si="117"/>
        <v/>
      </c>
      <c r="Z381" s="587"/>
      <c r="AA381" s="587" t="str">
        <f t="shared" si="113"/>
        <v/>
      </c>
      <c r="AB381" s="587"/>
      <c r="AC381" s="587" t="str">
        <f t="shared" si="114"/>
        <v/>
      </c>
      <c r="AD381" s="586"/>
      <c r="AE381" s="587" t="str">
        <f t="shared" si="112"/>
        <v/>
      </c>
    </row>
    <row r="382" spans="2:31">
      <c r="B382" s="586" t="s">
        <v>521</v>
      </c>
      <c r="C382" s="587"/>
      <c r="D382" s="588"/>
      <c r="E382" s="587"/>
      <c r="F382" s="587">
        <v>10.95</v>
      </c>
      <c r="G382" s="587">
        <v>14.76</v>
      </c>
      <c r="H382" s="589" t="s">
        <v>957</v>
      </c>
      <c r="I382" s="587">
        <f t="shared" si="118"/>
        <v>10.95</v>
      </c>
      <c r="J382" s="589" t="s">
        <v>957</v>
      </c>
      <c r="K382" s="587">
        <f t="shared" si="110"/>
        <v>14.76</v>
      </c>
      <c r="L382" s="587"/>
      <c r="M382" s="587" t="str">
        <f t="shared" si="125"/>
        <v/>
      </c>
      <c r="N382" s="587"/>
      <c r="O382" s="587" t="str">
        <f t="shared" si="119"/>
        <v/>
      </c>
      <c r="P382" s="587"/>
      <c r="Q382" s="587" t="str">
        <f t="shared" si="111"/>
        <v/>
      </c>
      <c r="R382" s="587"/>
      <c r="S382" s="587" t="str">
        <f t="shared" si="120"/>
        <v/>
      </c>
      <c r="T382" s="587"/>
      <c r="U382" s="587" t="str">
        <f t="shared" si="121"/>
        <v/>
      </c>
      <c r="V382" s="587" t="s">
        <v>957</v>
      </c>
      <c r="W382" s="587">
        <f t="shared" si="122"/>
        <v>10.95</v>
      </c>
      <c r="X382" s="587"/>
      <c r="Y382" s="587" t="str">
        <f t="shared" si="117"/>
        <v/>
      </c>
      <c r="Z382" s="587"/>
      <c r="AA382" s="587" t="str">
        <f t="shared" si="113"/>
        <v/>
      </c>
      <c r="AB382" s="587"/>
      <c r="AC382" s="587" t="str">
        <f t="shared" si="114"/>
        <v/>
      </c>
      <c r="AD382" s="586"/>
      <c r="AE382" s="587" t="str">
        <f t="shared" si="112"/>
        <v/>
      </c>
    </row>
    <row r="383" spans="2:31">
      <c r="B383" s="586" t="s">
        <v>397</v>
      </c>
      <c r="C383" s="587">
        <v>1.7</v>
      </c>
      <c r="D383" s="588" t="s">
        <v>957</v>
      </c>
      <c r="E383" s="587">
        <v>1.25</v>
      </c>
      <c r="F383" s="587">
        <f>C383*E383</f>
        <v>2.125</v>
      </c>
      <c r="G383" s="587">
        <f>(C383+E383)*2</f>
        <v>5.9</v>
      </c>
      <c r="H383" s="589" t="s">
        <v>957</v>
      </c>
      <c r="I383" s="587">
        <f t="shared" si="118"/>
        <v>2.125</v>
      </c>
      <c r="J383" s="589" t="s">
        <v>957</v>
      </c>
      <c r="K383" s="587">
        <f t="shared" si="110"/>
        <v>5.9</v>
      </c>
      <c r="L383" s="587"/>
      <c r="M383" s="587" t="str">
        <f t="shared" si="125"/>
        <v/>
      </c>
      <c r="N383" s="587"/>
      <c r="O383" s="587" t="str">
        <f t="shared" si="119"/>
        <v/>
      </c>
      <c r="P383" s="587"/>
      <c r="Q383" s="587" t="str">
        <f t="shared" si="111"/>
        <v/>
      </c>
      <c r="R383" s="587"/>
      <c r="S383" s="587" t="str">
        <f t="shared" si="120"/>
        <v/>
      </c>
      <c r="T383" s="587"/>
      <c r="U383" s="587" t="str">
        <f t="shared" si="121"/>
        <v/>
      </c>
      <c r="V383" s="587" t="s">
        <v>957</v>
      </c>
      <c r="W383" s="587">
        <f t="shared" si="122"/>
        <v>2.125</v>
      </c>
      <c r="X383" s="587"/>
      <c r="Y383" s="587" t="str">
        <f t="shared" si="117"/>
        <v/>
      </c>
      <c r="Z383" s="587"/>
      <c r="AA383" s="587" t="str">
        <f t="shared" si="113"/>
        <v/>
      </c>
      <c r="AB383" s="587"/>
      <c r="AC383" s="587" t="str">
        <f t="shared" si="114"/>
        <v/>
      </c>
      <c r="AD383" s="586"/>
      <c r="AE383" s="587" t="str">
        <f t="shared" si="112"/>
        <v/>
      </c>
    </row>
    <row r="384" spans="2:31">
      <c r="B384" s="586" t="s">
        <v>522</v>
      </c>
      <c r="C384" s="587"/>
      <c r="D384" s="588"/>
      <c r="E384" s="587"/>
      <c r="F384" s="587">
        <v>10.95</v>
      </c>
      <c r="G384" s="587">
        <v>14.76</v>
      </c>
      <c r="H384" s="589" t="s">
        <v>957</v>
      </c>
      <c r="I384" s="587">
        <f t="shared" si="118"/>
        <v>10.95</v>
      </c>
      <c r="J384" s="589" t="s">
        <v>957</v>
      </c>
      <c r="K384" s="587">
        <f t="shared" si="110"/>
        <v>14.76</v>
      </c>
      <c r="L384" s="587"/>
      <c r="M384" s="587" t="str">
        <f t="shared" si="125"/>
        <v/>
      </c>
      <c r="N384" s="587"/>
      <c r="O384" s="587" t="str">
        <f t="shared" si="119"/>
        <v/>
      </c>
      <c r="P384" s="587"/>
      <c r="Q384" s="587" t="str">
        <f t="shared" si="111"/>
        <v/>
      </c>
      <c r="R384" s="587"/>
      <c r="S384" s="587" t="str">
        <f t="shared" si="120"/>
        <v/>
      </c>
      <c r="T384" s="587"/>
      <c r="U384" s="587" t="str">
        <f t="shared" si="121"/>
        <v/>
      </c>
      <c r="V384" s="587" t="s">
        <v>957</v>
      </c>
      <c r="W384" s="587">
        <f t="shared" si="122"/>
        <v>10.95</v>
      </c>
      <c r="X384" s="587"/>
      <c r="Y384" s="587" t="str">
        <f t="shared" si="117"/>
        <v/>
      </c>
      <c r="Z384" s="587"/>
      <c r="AA384" s="587" t="str">
        <f t="shared" si="113"/>
        <v/>
      </c>
      <c r="AB384" s="587"/>
      <c r="AC384" s="587" t="str">
        <f t="shared" si="114"/>
        <v/>
      </c>
      <c r="AD384" s="586"/>
      <c r="AE384" s="587" t="str">
        <f t="shared" si="112"/>
        <v/>
      </c>
    </row>
    <row r="385" spans="2:31">
      <c r="B385" s="586" t="s">
        <v>397</v>
      </c>
      <c r="C385" s="587">
        <v>1.7</v>
      </c>
      <c r="D385" s="588" t="s">
        <v>957</v>
      </c>
      <c r="E385" s="587">
        <v>1.25</v>
      </c>
      <c r="F385" s="587">
        <f>C385*E385</f>
        <v>2.125</v>
      </c>
      <c r="G385" s="587">
        <f>(C385+E385)*2</f>
        <v>5.9</v>
      </c>
      <c r="H385" s="589" t="s">
        <v>957</v>
      </c>
      <c r="I385" s="587">
        <f t="shared" si="118"/>
        <v>2.125</v>
      </c>
      <c r="J385" s="589" t="s">
        <v>957</v>
      </c>
      <c r="K385" s="587">
        <f t="shared" si="110"/>
        <v>5.9</v>
      </c>
      <c r="L385" s="587"/>
      <c r="M385" s="587" t="str">
        <f t="shared" si="125"/>
        <v/>
      </c>
      <c r="N385" s="587"/>
      <c r="O385" s="587" t="str">
        <f t="shared" si="119"/>
        <v/>
      </c>
      <c r="P385" s="587"/>
      <c r="Q385" s="587" t="str">
        <f t="shared" si="111"/>
        <v/>
      </c>
      <c r="R385" s="587"/>
      <c r="S385" s="587" t="str">
        <f t="shared" si="120"/>
        <v/>
      </c>
      <c r="T385" s="587"/>
      <c r="U385" s="587" t="str">
        <f t="shared" si="121"/>
        <v/>
      </c>
      <c r="V385" s="587" t="s">
        <v>957</v>
      </c>
      <c r="W385" s="587">
        <f t="shared" si="122"/>
        <v>2.125</v>
      </c>
      <c r="X385" s="587"/>
      <c r="Y385" s="587" t="str">
        <f t="shared" si="117"/>
        <v/>
      </c>
      <c r="Z385" s="587"/>
      <c r="AA385" s="587" t="str">
        <f t="shared" si="113"/>
        <v/>
      </c>
      <c r="AB385" s="587"/>
      <c r="AC385" s="587" t="str">
        <f t="shared" si="114"/>
        <v/>
      </c>
      <c r="AD385" s="586"/>
      <c r="AE385" s="587" t="str">
        <f t="shared" si="112"/>
        <v/>
      </c>
    </row>
    <row r="386" spans="2:31">
      <c r="B386" s="586" t="s">
        <v>523</v>
      </c>
      <c r="C386" s="587"/>
      <c r="D386" s="588"/>
      <c r="E386" s="587"/>
      <c r="F386" s="587">
        <v>10.95</v>
      </c>
      <c r="G386" s="587">
        <v>14.76</v>
      </c>
      <c r="H386" s="589" t="s">
        <v>957</v>
      </c>
      <c r="I386" s="587">
        <f t="shared" si="118"/>
        <v>10.95</v>
      </c>
      <c r="J386" s="589" t="s">
        <v>957</v>
      </c>
      <c r="K386" s="587">
        <f t="shared" si="110"/>
        <v>14.76</v>
      </c>
      <c r="L386" s="587"/>
      <c r="M386" s="587" t="str">
        <f t="shared" si="125"/>
        <v/>
      </c>
      <c r="N386" s="587"/>
      <c r="O386" s="587" t="str">
        <f t="shared" si="119"/>
        <v/>
      </c>
      <c r="P386" s="587"/>
      <c r="Q386" s="587" t="str">
        <f t="shared" si="111"/>
        <v/>
      </c>
      <c r="R386" s="587"/>
      <c r="S386" s="587" t="str">
        <f t="shared" si="120"/>
        <v/>
      </c>
      <c r="T386" s="587"/>
      <c r="U386" s="587" t="str">
        <f t="shared" si="121"/>
        <v/>
      </c>
      <c r="V386" s="587" t="s">
        <v>957</v>
      </c>
      <c r="W386" s="587">
        <f t="shared" si="122"/>
        <v>10.95</v>
      </c>
      <c r="X386" s="587"/>
      <c r="Y386" s="587" t="str">
        <f t="shared" si="117"/>
        <v/>
      </c>
      <c r="Z386" s="587"/>
      <c r="AA386" s="587" t="str">
        <f t="shared" si="113"/>
        <v/>
      </c>
      <c r="AB386" s="587"/>
      <c r="AC386" s="587" t="str">
        <f t="shared" si="114"/>
        <v/>
      </c>
      <c r="AD386" s="586"/>
      <c r="AE386" s="587" t="str">
        <f t="shared" si="112"/>
        <v/>
      </c>
    </row>
    <row r="387" spans="2:31">
      <c r="B387" s="586" t="s">
        <v>397</v>
      </c>
      <c r="C387" s="587">
        <v>1.7</v>
      </c>
      <c r="D387" s="588" t="s">
        <v>957</v>
      </c>
      <c r="E387" s="587">
        <v>1.25</v>
      </c>
      <c r="F387" s="587">
        <f>C387*E387</f>
        <v>2.125</v>
      </c>
      <c r="G387" s="587">
        <f>(C387+E387)*2</f>
        <v>5.9</v>
      </c>
      <c r="H387" s="589" t="s">
        <v>957</v>
      </c>
      <c r="I387" s="587">
        <f t="shared" si="118"/>
        <v>2.125</v>
      </c>
      <c r="J387" s="589" t="s">
        <v>957</v>
      </c>
      <c r="K387" s="587">
        <f t="shared" si="110"/>
        <v>5.9</v>
      </c>
      <c r="L387" s="587"/>
      <c r="M387" s="587" t="str">
        <f t="shared" si="125"/>
        <v/>
      </c>
      <c r="N387" s="587"/>
      <c r="O387" s="587" t="str">
        <f t="shared" si="119"/>
        <v/>
      </c>
      <c r="P387" s="587"/>
      <c r="Q387" s="587" t="str">
        <f t="shared" si="111"/>
        <v/>
      </c>
      <c r="R387" s="587"/>
      <c r="S387" s="587" t="str">
        <f t="shared" si="120"/>
        <v/>
      </c>
      <c r="T387" s="587"/>
      <c r="U387" s="587" t="str">
        <f t="shared" si="121"/>
        <v/>
      </c>
      <c r="V387" s="587" t="s">
        <v>957</v>
      </c>
      <c r="W387" s="587">
        <f t="shared" si="122"/>
        <v>2.125</v>
      </c>
      <c r="X387" s="587"/>
      <c r="Y387" s="587" t="str">
        <f t="shared" si="117"/>
        <v/>
      </c>
      <c r="Z387" s="587"/>
      <c r="AA387" s="587" t="str">
        <f t="shared" si="113"/>
        <v/>
      </c>
      <c r="AB387" s="587"/>
      <c r="AC387" s="587" t="str">
        <f t="shared" si="114"/>
        <v/>
      </c>
      <c r="AD387" s="586"/>
      <c r="AE387" s="587" t="str">
        <f t="shared" si="112"/>
        <v/>
      </c>
    </row>
    <row r="388" spans="2:31">
      <c r="B388" s="586" t="s">
        <v>524</v>
      </c>
      <c r="C388" s="587"/>
      <c r="D388" s="588"/>
      <c r="E388" s="587"/>
      <c r="F388" s="587">
        <v>10.95</v>
      </c>
      <c r="G388" s="587">
        <v>14.76</v>
      </c>
      <c r="H388" s="589" t="s">
        <v>957</v>
      </c>
      <c r="I388" s="587">
        <f t="shared" si="118"/>
        <v>10.95</v>
      </c>
      <c r="J388" s="589" t="s">
        <v>957</v>
      </c>
      <c r="K388" s="587">
        <f t="shared" si="110"/>
        <v>14.76</v>
      </c>
      <c r="L388" s="587"/>
      <c r="M388" s="587" t="str">
        <f t="shared" si="125"/>
        <v/>
      </c>
      <c r="N388" s="587"/>
      <c r="O388" s="587" t="str">
        <f t="shared" si="119"/>
        <v/>
      </c>
      <c r="P388" s="587"/>
      <c r="Q388" s="587" t="str">
        <f t="shared" si="111"/>
        <v/>
      </c>
      <c r="R388" s="587"/>
      <c r="S388" s="587" t="str">
        <f t="shared" si="120"/>
        <v/>
      </c>
      <c r="T388" s="587"/>
      <c r="U388" s="587" t="str">
        <f t="shared" si="121"/>
        <v/>
      </c>
      <c r="V388" s="587" t="s">
        <v>957</v>
      </c>
      <c r="W388" s="587">
        <f t="shared" si="122"/>
        <v>10.95</v>
      </c>
      <c r="X388" s="587"/>
      <c r="Y388" s="587" t="str">
        <f t="shared" si="117"/>
        <v/>
      </c>
      <c r="Z388" s="587"/>
      <c r="AA388" s="587" t="str">
        <f t="shared" si="113"/>
        <v/>
      </c>
      <c r="AB388" s="587"/>
      <c r="AC388" s="587" t="str">
        <f t="shared" si="114"/>
        <v/>
      </c>
      <c r="AD388" s="586"/>
      <c r="AE388" s="587" t="str">
        <f t="shared" si="112"/>
        <v/>
      </c>
    </row>
    <row r="389" spans="2:31">
      <c r="B389" s="586" t="s">
        <v>397</v>
      </c>
      <c r="C389" s="587">
        <v>1.7</v>
      </c>
      <c r="D389" s="588" t="s">
        <v>957</v>
      </c>
      <c r="E389" s="587">
        <v>1.25</v>
      </c>
      <c r="F389" s="587">
        <f>C389*E389</f>
        <v>2.125</v>
      </c>
      <c r="G389" s="587">
        <f>(C389+E389)*2</f>
        <v>5.9</v>
      </c>
      <c r="H389" s="589" t="s">
        <v>957</v>
      </c>
      <c r="I389" s="587">
        <f t="shared" si="118"/>
        <v>2.125</v>
      </c>
      <c r="J389" s="589" t="s">
        <v>957</v>
      </c>
      <c r="K389" s="587">
        <f t="shared" si="110"/>
        <v>5.9</v>
      </c>
      <c r="L389" s="587"/>
      <c r="M389" s="587" t="str">
        <f t="shared" si="125"/>
        <v/>
      </c>
      <c r="N389" s="587"/>
      <c r="O389" s="587" t="str">
        <f t="shared" si="119"/>
        <v/>
      </c>
      <c r="P389" s="587"/>
      <c r="Q389" s="587" t="str">
        <f t="shared" si="111"/>
        <v/>
      </c>
      <c r="R389" s="587"/>
      <c r="S389" s="587" t="str">
        <f t="shared" si="120"/>
        <v/>
      </c>
      <c r="T389" s="587"/>
      <c r="U389" s="587" t="str">
        <f t="shared" si="121"/>
        <v/>
      </c>
      <c r="V389" s="587" t="s">
        <v>957</v>
      </c>
      <c r="W389" s="587">
        <f t="shared" si="122"/>
        <v>2.125</v>
      </c>
      <c r="X389" s="587"/>
      <c r="Y389" s="587" t="str">
        <f t="shared" si="117"/>
        <v/>
      </c>
      <c r="Z389" s="587"/>
      <c r="AA389" s="587" t="str">
        <f t="shared" si="113"/>
        <v/>
      </c>
      <c r="AB389" s="587"/>
      <c r="AC389" s="587" t="str">
        <f t="shared" si="114"/>
        <v/>
      </c>
      <c r="AD389" s="586"/>
      <c r="AE389" s="587" t="str">
        <f t="shared" si="112"/>
        <v/>
      </c>
    </row>
    <row r="390" spans="2:31">
      <c r="B390" s="586" t="s">
        <v>525</v>
      </c>
      <c r="C390" s="587"/>
      <c r="D390" s="588"/>
      <c r="E390" s="587"/>
      <c r="F390" s="587">
        <v>10.95</v>
      </c>
      <c r="G390" s="587">
        <v>14.76</v>
      </c>
      <c r="H390" s="589" t="s">
        <v>957</v>
      </c>
      <c r="I390" s="587">
        <f t="shared" si="118"/>
        <v>10.95</v>
      </c>
      <c r="J390" s="589" t="s">
        <v>957</v>
      </c>
      <c r="K390" s="587">
        <f t="shared" si="110"/>
        <v>14.76</v>
      </c>
      <c r="L390" s="587"/>
      <c r="M390" s="587" t="str">
        <f t="shared" si="125"/>
        <v/>
      </c>
      <c r="N390" s="587"/>
      <c r="O390" s="587" t="str">
        <f t="shared" si="119"/>
        <v/>
      </c>
      <c r="P390" s="587"/>
      <c r="Q390" s="587" t="str">
        <f t="shared" si="111"/>
        <v/>
      </c>
      <c r="R390" s="587"/>
      <c r="S390" s="587" t="str">
        <f t="shared" si="120"/>
        <v/>
      </c>
      <c r="T390" s="587"/>
      <c r="U390" s="587" t="str">
        <f t="shared" si="121"/>
        <v/>
      </c>
      <c r="V390" s="587" t="s">
        <v>957</v>
      </c>
      <c r="W390" s="587">
        <f t="shared" si="122"/>
        <v>10.95</v>
      </c>
      <c r="X390" s="587"/>
      <c r="Y390" s="587" t="str">
        <f t="shared" si="117"/>
        <v/>
      </c>
      <c r="Z390" s="587"/>
      <c r="AA390" s="587" t="str">
        <f t="shared" si="113"/>
        <v/>
      </c>
      <c r="AB390" s="587"/>
      <c r="AC390" s="587" t="str">
        <f t="shared" si="114"/>
        <v/>
      </c>
      <c r="AD390" s="586"/>
      <c r="AE390" s="587" t="str">
        <f t="shared" si="112"/>
        <v/>
      </c>
    </row>
    <row r="391" spans="2:31">
      <c r="B391" s="586" t="s">
        <v>397</v>
      </c>
      <c r="C391" s="587">
        <v>1.7</v>
      </c>
      <c r="D391" s="588" t="s">
        <v>957</v>
      </c>
      <c r="E391" s="587">
        <v>1.25</v>
      </c>
      <c r="F391" s="587">
        <f t="shared" ref="F391:F400" si="126">C391*E391</f>
        <v>2.125</v>
      </c>
      <c r="G391" s="587">
        <f t="shared" ref="G391:G400" si="127">(C391+E391)*2</f>
        <v>5.9</v>
      </c>
      <c r="H391" s="589" t="s">
        <v>957</v>
      </c>
      <c r="I391" s="587">
        <f t="shared" si="118"/>
        <v>2.125</v>
      </c>
      <c r="J391" s="589" t="s">
        <v>957</v>
      </c>
      <c r="K391" s="587">
        <f t="shared" ref="K391:K454" si="128">IF(J391="x",G391,"")</f>
        <v>5.9</v>
      </c>
      <c r="L391" s="587"/>
      <c r="M391" s="587" t="str">
        <f t="shared" si="125"/>
        <v/>
      </c>
      <c r="N391" s="587"/>
      <c r="O391" s="587" t="str">
        <f t="shared" si="119"/>
        <v/>
      </c>
      <c r="P391" s="587"/>
      <c r="Q391" s="587" t="str">
        <f t="shared" ref="Q391:Q454" si="129">IF(P391="x",G391,"")</f>
        <v/>
      </c>
      <c r="R391" s="587"/>
      <c r="S391" s="587" t="str">
        <f t="shared" si="120"/>
        <v/>
      </c>
      <c r="T391" s="587"/>
      <c r="U391" s="587" t="str">
        <f t="shared" si="121"/>
        <v/>
      </c>
      <c r="V391" s="587" t="s">
        <v>957</v>
      </c>
      <c r="W391" s="587">
        <f t="shared" si="122"/>
        <v>2.125</v>
      </c>
      <c r="X391" s="587"/>
      <c r="Y391" s="587" t="str">
        <f t="shared" si="117"/>
        <v/>
      </c>
      <c r="Z391" s="587"/>
      <c r="AA391" s="587" t="str">
        <f t="shared" si="113"/>
        <v/>
      </c>
      <c r="AB391" s="587"/>
      <c r="AC391" s="587" t="str">
        <f t="shared" si="114"/>
        <v/>
      </c>
      <c r="AD391" s="586"/>
      <c r="AE391" s="587" t="str">
        <f t="shared" ref="AE391:AE454" si="130">IF(AD391="x",F391,"")</f>
        <v/>
      </c>
    </row>
    <row r="392" spans="2:31">
      <c r="B392" s="586" t="s">
        <v>526</v>
      </c>
      <c r="C392" s="587">
        <v>2.613</v>
      </c>
      <c r="D392" s="588" t="s">
        <v>957</v>
      </c>
      <c r="E392" s="587">
        <v>4.4859999999999998</v>
      </c>
      <c r="F392" s="587">
        <f t="shared" si="126"/>
        <v>11.721917999999999</v>
      </c>
      <c r="G392" s="587">
        <f t="shared" si="127"/>
        <v>14.198</v>
      </c>
      <c r="H392" s="589" t="s">
        <v>957</v>
      </c>
      <c r="I392" s="587">
        <f t="shared" si="118"/>
        <v>11.721917999999999</v>
      </c>
      <c r="J392" s="589" t="s">
        <v>957</v>
      </c>
      <c r="K392" s="587">
        <f t="shared" si="128"/>
        <v>14.198</v>
      </c>
      <c r="L392" s="587"/>
      <c r="M392" s="587" t="str">
        <f t="shared" si="125"/>
        <v/>
      </c>
      <c r="N392" s="587"/>
      <c r="O392" s="587" t="str">
        <f t="shared" si="119"/>
        <v/>
      </c>
      <c r="P392" s="587"/>
      <c r="Q392" s="587" t="str">
        <f t="shared" si="129"/>
        <v/>
      </c>
      <c r="R392" s="587"/>
      <c r="S392" s="587" t="str">
        <f t="shared" si="120"/>
        <v/>
      </c>
      <c r="T392" s="587"/>
      <c r="U392" s="587" t="str">
        <f t="shared" si="121"/>
        <v/>
      </c>
      <c r="V392" s="587" t="s">
        <v>957</v>
      </c>
      <c r="W392" s="587">
        <f t="shared" si="122"/>
        <v>11.721917999999999</v>
      </c>
      <c r="X392" s="587"/>
      <c r="Y392" s="587" t="str">
        <f t="shared" si="117"/>
        <v/>
      </c>
      <c r="Z392" s="587"/>
      <c r="AA392" s="587" t="str">
        <f t="shared" si="113"/>
        <v/>
      </c>
      <c r="AB392" s="587"/>
      <c r="AC392" s="587" t="str">
        <f t="shared" si="114"/>
        <v/>
      </c>
      <c r="AD392" s="586"/>
      <c r="AE392" s="587" t="str">
        <f t="shared" si="130"/>
        <v/>
      </c>
    </row>
    <row r="393" spans="2:31">
      <c r="B393" s="586" t="s">
        <v>527</v>
      </c>
      <c r="C393" s="587">
        <v>2.613</v>
      </c>
      <c r="D393" s="588" t="s">
        <v>957</v>
      </c>
      <c r="E393" s="587">
        <v>4.4859999999999998</v>
      </c>
      <c r="F393" s="587">
        <f t="shared" si="126"/>
        <v>11.721917999999999</v>
      </c>
      <c r="G393" s="587">
        <f t="shared" si="127"/>
        <v>14.198</v>
      </c>
      <c r="H393" s="589" t="s">
        <v>957</v>
      </c>
      <c r="I393" s="587">
        <f t="shared" si="118"/>
        <v>11.721917999999999</v>
      </c>
      <c r="J393" s="589" t="s">
        <v>957</v>
      </c>
      <c r="K393" s="587">
        <f t="shared" si="128"/>
        <v>14.198</v>
      </c>
      <c r="L393" s="587"/>
      <c r="M393" s="587" t="str">
        <f t="shared" si="125"/>
        <v/>
      </c>
      <c r="N393" s="587"/>
      <c r="O393" s="587" t="str">
        <f t="shared" si="119"/>
        <v/>
      </c>
      <c r="P393" s="587"/>
      <c r="Q393" s="587" t="str">
        <f t="shared" si="129"/>
        <v/>
      </c>
      <c r="R393" s="587"/>
      <c r="S393" s="587" t="str">
        <f t="shared" si="120"/>
        <v/>
      </c>
      <c r="T393" s="587"/>
      <c r="U393" s="587" t="str">
        <f t="shared" si="121"/>
        <v/>
      </c>
      <c r="V393" s="587"/>
      <c r="W393" s="587" t="str">
        <f t="shared" si="122"/>
        <v/>
      </c>
      <c r="X393" s="587"/>
      <c r="Y393" s="587" t="str">
        <f t="shared" si="117"/>
        <v/>
      </c>
      <c r="Z393" s="587" t="s">
        <v>952</v>
      </c>
      <c r="AA393" s="587">
        <f t="shared" si="113"/>
        <v>11.721917999999999</v>
      </c>
      <c r="AB393" s="587"/>
      <c r="AC393" s="587" t="str">
        <f t="shared" si="114"/>
        <v/>
      </c>
      <c r="AD393" s="586"/>
      <c r="AE393" s="587" t="str">
        <f t="shared" si="130"/>
        <v/>
      </c>
    </row>
    <row r="394" spans="2:31">
      <c r="B394" s="586" t="s">
        <v>528</v>
      </c>
      <c r="C394" s="587">
        <v>2.613</v>
      </c>
      <c r="D394" s="588" t="s">
        <v>957</v>
      </c>
      <c r="E394" s="587">
        <v>4.4859999999999998</v>
      </c>
      <c r="F394" s="587">
        <f t="shared" si="126"/>
        <v>11.721917999999999</v>
      </c>
      <c r="G394" s="587">
        <f t="shared" si="127"/>
        <v>14.198</v>
      </c>
      <c r="H394" s="589" t="s">
        <v>957</v>
      </c>
      <c r="I394" s="587">
        <f t="shared" si="118"/>
        <v>11.721917999999999</v>
      </c>
      <c r="J394" s="589" t="s">
        <v>957</v>
      </c>
      <c r="K394" s="587">
        <f t="shared" si="128"/>
        <v>14.198</v>
      </c>
      <c r="L394" s="587"/>
      <c r="M394" s="587" t="str">
        <f t="shared" si="125"/>
        <v/>
      </c>
      <c r="N394" s="587"/>
      <c r="O394" s="587" t="str">
        <f t="shared" si="119"/>
        <v/>
      </c>
      <c r="P394" s="587"/>
      <c r="Q394" s="587" t="str">
        <f t="shared" si="129"/>
        <v/>
      </c>
      <c r="R394" s="587"/>
      <c r="S394" s="587" t="str">
        <f t="shared" si="120"/>
        <v/>
      </c>
      <c r="T394" s="587"/>
      <c r="U394" s="587" t="str">
        <f t="shared" si="121"/>
        <v/>
      </c>
      <c r="V394" s="587" t="s">
        <v>957</v>
      </c>
      <c r="W394" s="587">
        <f t="shared" si="122"/>
        <v>11.721917999999999</v>
      </c>
      <c r="X394" s="587"/>
      <c r="Y394" s="587" t="str">
        <f t="shared" si="117"/>
        <v/>
      </c>
      <c r="Z394" s="587"/>
      <c r="AA394" s="587" t="str">
        <f t="shared" si="113"/>
        <v/>
      </c>
      <c r="AB394" s="587"/>
      <c r="AC394" s="587" t="str">
        <f t="shared" si="114"/>
        <v/>
      </c>
      <c r="AD394" s="586"/>
      <c r="AE394" s="587" t="str">
        <f t="shared" si="130"/>
        <v/>
      </c>
    </row>
    <row r="395" spans="2:31">
      <c r="B395" s="586" t="s">
        <v>299</v>
      </c>
      <c r="C395" s="587">
        <v>8.06</v>
      </c>
      <c r="D395" s="588" t="s">
        <v>957</v>
      </c>
      <c r="E395" s="587">
        <v>2.3359999999999999</v>
      </c>
      <c r="F395" s="587">
        <f t="shared" si="126"/>
        <v>18.82816</v>
      </c>
      <c r="G395" s="587">
        <f t="shared" si="127"/>
        <v>20.792000000000002</v>
      </c>
      <c r="H395" s="589" t="s">
        <v>957</v>
      </c>
      <c r="I395" s="587">
        <f t="shared" si="118"/>
        <v>18.82816</v>
      </c>
      <c r="J395" s="589" t="s">
        <v>957</v>
      </c>
      <c r="K395" s="587">
        <f t="shared" si="128"/>
        <v>20.792000000000002</v>
      </c>
      <c r="L395" s="587"/>
      <c r="M395" s="587" t="str">
        <f t="shared" si="125"/>
        <v/>
      </c>
      <c r="N395" s="587"/>
      <c r="O395" s="587" t="str">
        <f t="shared" si="119"/>
        <v/>
      </c>
      <c r="P395" s="587"/>
      <c r="Q395" s="587" t="str">
        <f t="shared" si="129"/>
        <v/>
      </c>
      <c r="R395" s="587"/>
      <c r="S395" s="587" t="str">
        <f t="shared" si="120"/>
        <v/>
      </c>
      <c r="T395" s="587"/>
      <c r="U395" s="587" t="str">
        <f t="shared" si="121"/>
        <v/>
      </c>
      <c r="V395" s="587" t="s">
        <v>957</v>
      </c>
      <c r="W395" s="587">
        <f t="shared" si="122"/>
        <v>18.82816</v>
      </c>
      <c r="X395" s="587"/>
      <c r="Y395" s="587" t="str">
        <f t="shared" si="117"/>
        <v/>
      </c>
      <c r="Z395" s="587"/>
      <c r="AA395" s="587" t="str">
        <f t="shared" si="113"/>
        <v/>
      </c>
      <c r="AB395" s="587"/>
      <c r="AC395" s="587" t="str">
        <f t="shared" si="114"/>
        <v/>
      </c>
      <c r="AD395" s="586"/>
      <c r="AE395" s="587" t="str">
        <f t="shared" si="130"/>
        <v/>
      </c>
    </row>
    <row r="396" spans="2:31">
      <c r="B396" s="586" t="s">
        <v>529</v>
      </c>
      <c r="C396" s="587">
        <v>2.1</v>
      </c>
      <c r="D396" s="588" t="s">
        <v>957</v>
      </c>
      <c r="E396" s="587">
        <v>4.1500000000000004</v>
      </c>
      <c r="F396" s="587">
        <f t="shared" si="126"/>
        <v>8.7150000000000016</v>
      </c>
      <c r="G396" s="587">
        <f t="shared" si="127"/>
        <v>12.5</v>
      </c>
      <c r="H396" s="589" t="s">
        <v>957</v>
      </c>
      <c r="I396" s="587">
        <f t="shared" si="118"/>
        <v>8.7150000000000016</v>
      </c>
      <c r="J396" s="589" t="s">
        <v>957</v>
      </c>
      <c r="K396" s="587">
        <f t="shared" si="128"/>
        <v>12.5</v>
      </c>
      <c r="L396" s="587"/>
      <c r="M396" s="587" t="str">
        <f t="shared" si="125"/>
        <v/>
      </c>
      <c r="N396" s="587"/>
      <c r="O396" s="587" t="str">
        <f t="shared" si="119"/>
        <v/>
      </c>
      <c r="P396" s="587"/>
      <c r="Q396" s="587" t="str">
        <f t="shared" si="129"/>
        <v/>
      </c>
      <c r="R396" s="587"/>
      <c r="S396" s="587" t="str">
        <f t="shared" si="120"/>
        <v/>
      </c>
      <c r="T396" s="587"/>
      <c r="U396" s="587" t="str">
        <f t="shared" si="121"/>
        <v/>
      </c>
      <c r="V396" s="587" t="s">
        <v>957</v>
      </c>
      <c r="W396" s="587">
        <f t="shared" si="122"/>
        <v>8.7150000000000016</v>
      </c>
      <c r="X396" s="587"/>
      <c r="Y396" s="587" t="str">
        <f t="shared" si="117"/>
        <v/>
      </c>
      <c r="Z396" s="587"/>
      <c r="AA396" s="587" t="str">
        <f t="shared" si="113"/>
        <v/>
      </c>
      <c r="AB396" s="587"/>
      <c r="AC396" s="587" t="str">
        <f t="shared" si="114"/>
        <v/>
      </c>
      <c r="AD396" s="586"/>
      <c r="AE396" s="587" t="str">
        <f t="shared" si="130"/>
        <v/>
      </c>
    </row>
    <row r="397" spans="2:31">
      <c r="B397" s="586" t="s">
        <v>496</v>
      </c>
      <c r="C397" s="587">
        <v>2.8620000000000001</v>
      </c>
      <c r="D397" s="588" t="s">
        <v>957</v>
      </c>
      <c r="E397" s="587">
        <v>2.649</v>
      </c>
      <c r="F397" s="587">
        <f t="shared" si="126"/>
        <v>7.5814380000000003</v>
      </c>
      <c r="G397" s="587">
        <f t="shared" si="127"/>
        <v>11.022</v>
      </c>
      <c r="H397" s="589" t="s">
        <v>957</v>
      </c>
      <c r="I397" s="587">
        <f t="shared" si="118"/>
        <v>7.5814380000000003</v>
      </c>
      <c r="J397" s="589" t="s">
        <v>957</v>
      </c>
      <c r="K397" s="587">
        <f t="shared" si="128"/>
        <v>11.022</v>
      </c>
      <c r="L397" s="587"/>
      <c r="M397" s="587" t="str">
        <f t="shared" si="125"/>
        <v/>
      </c>
      <c r="N397" s="587"/>
      <c r="O397" s="587" t="str">
        <f t="shared" si="119"/>
        <v/>
      </c>
      <c r="P397" s="587"/>
      <c r="Q397" s="587" t="str">
        <f t="shared" si="129"/>
        <v/>
      </c>
      <c r="R397" s="587"/>
      <c r="S397" s="587" t="str">
        <f t="shared" si="120"/>
        <v/>
      </c>
      <c r="T397" s="587"/>
      <c r="U397" s="587" t="str">
        <f t="shared" si="121"/>
        <v/>
      </c>
      <c r="V397" s="587" t="s">
        <v>957</v>
      </c>
      <c r="W397" s="587">
        <f t="shared" si="122"/>
        <v>7.5814380000000003</v>
      </c>
      <c r="X397" s="587"/>
      <c r="Y397" s="587" t="str">
        <f t="shared" si="117"/>
        <v/>
      </c>
      <c r="Z397" s="587"/>
      <c r="AA397" s="587" t="str">
        <f t="shared" si="113"/>
        <v/>
      </c>
      <c r="AB397" s="587"/>
      <c r="AC397" s="587" t="str">
        <f t="shared" si="114"/>
        <v/>
      </c>
      <c r="AD397" s="586"/>
      <c r="AE397" s="587" t="str">
        <f t="shared" si="130"/>
        <v/>
      </c>
    </row>
    <row r="398" spans="2:31">
      <c r="B398" s="586" t="s">
        <v>495</v>
      </c>
      <c r="C398" s="587">
        <v>3</v>
      </c>
      <c r="D398" s="588" t="s">
        <v>957</v>
      </c>
      <c r="E398" s="587">
        <v>4.9249999999999998</v>
      </c>
      <c r="F398" s="587">
        <f t="shared" si="126"/>
        <v>14.774999999999999</v>
      </c>
      <c r="G398" s="587">
        <f t="shared" si="127"/>
        <v>15.85</v>
      </c>
      <c r="H398" s="589" t="s">
        <v>957</v>
      </c>
      <c r="I398" s="587">
        <f t="shared" si="118"/>
        <v>14.774999999999999</v>
      </c>
      <c r="J398" s="589" t="s">
        <v>957</v>
      </c>
      <c r="K398" s="587">
        <f t="shared" si="128"/>
        <v>15.85</v>
      </c>
      <c r="L398" s="587"/>
      <c r="M398" s="587" t="str">
        <f t="shared" si="125"/>
        <v/>
      </c>
      <c r="N398" s="587"/>
      <c r="O398" s="587" t="str">
        <f t="shared" si="119"/>
        <v/>
      </c>
      <c r="P398" s="587"/>
      <c r="Q398" s="587" t="str">
        <f t="shared" si="129"/>
        <v/>
      </c>
      <c r="R398" s="587"/>
      <c r="S398" s="587" t="str">
        <f t="shared" si="120"/>
        <v/>
      </c>
      <c r="T398" s="587"/>
      <c r="U398" s="587" t="str">
        <f t="shared" si="121"/>
        <v/>
      </c>
      <c r="V398" s="587" t="s">
        <v>957</v>
      </c>
      <c r="W398" s="587">
        <f t="shared" si="122"/>
        <v>14.774999999999999</v>
      </c>
      <c r="X398" s="587"/>
      <c r="Y398" s="587" t="str">
        <f t="shared" si="117"/>
        <v/>
      </c>
      <c r="Z398" s="587"/>
      <c r="AA398" s="587" t="str">
        <f t="shared" ref="AA398:AA461" si="131">IF(Z398="x",F398,"")</f>
        <v/>
      </c>
      <c r="AB398" s="587"/>
      <c r="AC398" s="587" t="str">
        <f t="shared" ref="AC398:AC461" si="132">IF(AB398="x",F398,"")</f>
        <v/>
      </c>
      <c r="AD398" s="586"/>
      <c r="AE398" s="587" t="str">
        <f t="shared" si="130"/>
        <v/>
      </c>
    </row>
    <row r="399" spans="2:31">
      <c r="B399" s="586" t="s">
        <v>307</v>
      </c>
      <c r="C399" s="587">
        <v>2.25</v>
      </c>
      <c r="D399" s="588" t="s">
        <v>957</v>
      </c>
      <c r="E399" s="587">
        <v>3.65</v>
      </c>
      <c r="F399" s="587">
        <f t="shared" si="126"/>
        <v>8.2125000000000004</v>
      </c>
      <c r="G399" s="587">
        <f t="shared" si="127"/>
        <v>11.8</v>
      </c>
      <c r="H399" s="589"/>
      <c r="I399" s="587" t="str">
        <f t="shared" si="118"/>
        <v/>
      </c>
      <c r="J399" s="589"/>
      <c r="K399" s="587" t="str">
        <f t="shared" si="128"/>
        <v/>
      </c>
      <c r="L399" s="587" t="s">
        <v>952</v>
      </c>
      <c r="M399" s="587">
        <f t="shared" si="125"/>
        <v>8.2125000000000004</v>
      </c>
      <c r="N399" s="587"/>
      <c r="O399" s="587" t="str">
        <f t="shared" si="119"/>
        <v/>
      </c>
      <c r="P399" s="587"/>
      <c r="Q399" s="587" t="str">
        <f t="shared" si="129"/>
        <v/>
      </c>
      <c r="R399" s="587"/>
      <c r="S399" s="587" t="str">
        <f t="shared" si="120"/>
        <v/>
      </c>
      <c r="T399" s="587"/>
      <c r="U399" s="587" t="str">
        <f t="shared" si="121"/>
        <v/>
      </c>
      <c r="V399" s="587" t="s">
        <v>957</v>
      </c>
      <c r="W399" s="587">
        <f t="shared" si="122"/>
        <v>8.2125000000000004</v>
      </c>
      <c r="X399" s="587"/>
      <c r="Y399" s="587" t="str">
        <f t="shared" si="117"/>
        <v/>
      </c>
      <c r="Z399" s="587"/>
      <c r="AA399" s="587" t="str">
        <f t="shared" si="131"/>
        <v/>
      </c>
      <c r="AB399" s="587"/>
      <c r="AC399" s="587" t="str">
        <f t="shared" si="132"/>
        <v/>
      </c>
      <c r="AD399" s="586"/>
      <c r="AE399" s="587" t="str">
        <f t="shared" si="130"/>
        <v/>
      </c>
    </row>
    <row r="400" spans="2:31">
      <c r="B400" s="586" t="s">
        <v>396</v>
      </c>
      <c r="C400" s="587">
        <v>4.8869999999999996</v>
      </c>
      <c r="D400" s="588" t="s">
        <v>957</v>
      </c>
      <c r="E400" s="587">
        <v>3.37</v>
      </c>
      <c r="F400" s="587">
        <f t="shared" si="126"/>
        <v>16.469189999999998</v>
      </c>
      <c r="G400" s="587">
        <f t="shared" si="127"/>
        <v>16.513999999999999</v>
      </c>
      <c r="H400" s="589" t="s">
        <v>957</v>
      </c>
      <c r="I400" s="587">
        <f t="shared" si="118"/>
        <v>16.469189999999998</v>
      </c>
      <c r="J400" s="589" t="s">
        <v>957</v>
      </c>
      <c r="K400" s="587">
        <f t="shared" si="128"/>
        <v>16.513999999999999</v>
      </c>
      <c r="L400" s="587"/>
      <c r="M400" s="587" t="str">
        <f t="shared" si="125"/>
        <v/>
      </c>
      <c r="N400" s="587"/>
      <c r="O400" s="587" t="str">
        <f t="shared" si="119"/>
        <v/>
      </c>
      <c r="P400" s="587"/>
      <c r="Q400" s="587" t="str">
        <f t="shared" si="129"/>
        <v/>
      </c>
      <c r="R400" s="587"/>
      <c r="S400" s="587" t="str">
        <f t="shared" si="120"/>
        <v/>
      </c>
      <c r="T400" s="587"/>
      <c r="U400" s="587" t="str">
        <f t="shared" si="121"/>
        <v/>
      </c>
      <c r="V400" s="587" t="s">
        <v>957</v>
      </c>
      <c r="W400" s="587">
        <f t="shared" si="122"/>
        <v>16.469189999999998</v>
      </c>
      <c r="X400" s="587"/>
      <c r="Y400" s="587" t="str">
        <f t="shared" si="117"/>
        <v/>
      </c>
      <c r="Z400" s="587"/>
      <c r="AA400" s="587" t="str">
        <f t="shared" si="131"/>
        <v/>
      </c>
      <c r="AB400" s="587"/>
      <c r="AC400" s="587" t="str">
        <f t="shared" si="132"/>
        <v/>
      </c>
      <c r="AD400" s="586"/>
      <c r="AE400" s="587" t="str">
        <f t="shared" si="130"/>
        <v/>
      </c>
    </row>
    <row r="401" spans="2:31">
      <c r="B401" s="586" t="s">
        <v>500</v>
      </c>
      <c r="C401" s="587"/>
      <c r="D401" s="588"/>
      <c r="E401" s="587"/>
      <c r="F401" s="587">
        <v>23.5</v>
      </c>
      <c r="G401" s="587">
        <v>21.01</v>
      </c>
      <c r="H401" s="589" t="s">
        <v>957</v>
      </c>
      <c r="I401" s="587">
        <f t="shared" si="118"/>
        <v>23.5</v>
      </c>
      <c r="J401" s="589" t="s">
        <v>957</v>
      </c>
      <c r="K401" s="587">
        <f t="shared" si="128"/>
        <v>21.01</v>
      </c>
      <c r="L401" s="587"/>
      <c r="M401" s="587" t="str">
        <f t="shared" si="125"/>
        <v/>
      </c>
      <c r="N401" s="587"/>
      <c r="O401" s="587" t="str">
        <f t="shared" si="119"/>
        <v/>
      </c>
      <c r="P401" s="587"/>
      <c r="Q401" s="587" t="str">
        <f t="shared" si="129"/>
        <v/>
      </c>
      <c r="R401" s="587"/>
      <c r="S401" s="587" t="str">
        <f t="shared" si="120"/>
        <v/>
      </c>
      <c r="T401" s="587"/>
      <c r="U401" s="587" t="str">
        <f t="shared" si="121"/>
        <v/>
      </c>
      <c r="V401" s="587"/>
      <c r="W401" s="587" t="str">
        <f t="shared" si="122"/>
        <v/>
      </c>
      <c r="X401" s="587" t="s">
        <v>957</v>
      </c>
      <c r="Y401" s="587">
        <f t="shared" si="117"/>
        <v>23.5</v>
      </c>
      <c r="Z401" s="587"/>
      <c r="AA401" s="587" t="str">
        <f t="shared" si="131"/>
        <v/>
      </c>
      <c r="AB401" s="587"/>
      <c r="AC401" s="587" t="str">
        <f t="shared" si="132"/>
        <v/>
      </c>
      <c r="AD401" s="586"/>
      <c r="AE401" s="587" t="str">
        <f t="shared" si="130"/>
        <v/>
      </c>
    </row>
    <row r="402" spans="2:31">
      <c r="B402" s="586" t="s">
        <v>315</v>
      </c>
      <c r="C402" s="587"/>
      <c r="D402" s="588"/>
      <c r="E402" s="587"/>
      <c r="F402" s="587">
        <v>41.37</v>
      </c>
      <c r="G402" s="587">
        <v>33.68</v>
      </c>
      <c r="H402" s="589" t="s">
        <v>957</v>
      </c>
      <c r="I402" s="587">
        <f t="shared" si="118"/>
        <v>41.37</v>
      </c>
      <c r="J402" s="589" t="s">
        <v>957</v>
      </c>
      <c r="K402" s="587">
        <f t="shared" si="128"/>
        <v>33.68</v>
      </c>
      <c r="L402" s="587"/>
      <c r="M402" s="587" t="str">
        <f t="shared" si="125"/>
        <v/>
      </c>
      <c r="N402" s="587"/>
      <c r="O402" s="587" t="str">
        <f t="shared" si="119"/>
        <v/>
      </c>
      <c r="P402" s="587"/>
      <c r="Q402" s="587" t="str">
        <f t="shared" si="129"/>
        <v/>
      </c>
      <c r="R402" s="587"/>
      <c r="S402" s="587" t="str">
        <f t="shared" si="120"/>
        <v/>
      </c>
      <c r="T402" s="587"/>
      <c r="U402" s="587" t="str">
        <f t="shared" si="121"/>
        <v/>
      </c>
      <c r="V402" s="587"/>
      <c r="W402" s="587" t="str">
        <f t="shared" si="122"/>
        <v/>
      </c>
      <c r="X402" s="587" t="s">
        <v>957</v>
      </c>
      <c r="Y402" s="587">
        <f t="shared" si="117"/>
        <v>41.37</v>
      </c>
      <c r="Z402" s="587"/>
      <c r="AA402" s="587" t="str">
        <f t="shared" si="131"/>
        <v/>
      </c>
      <c r="AB402" s="587"/>
      <c r="AC402" s="587" t="str">
        <f t="shared" si="132"/>
        <v/>
      </c>
      <c r="AD402" s="586"/>
      <c r="AE402" s="587" t="str">
        <f t="shared" si="130"/>
        <v/>
      </c>
    </row>
    <row r="403" spans="2:31">
      <c r="B403" s="586" t="s">
        <v>430</v>
      </c>
      <c r="C403" s="587">
        <v>3.6749999999999998</v>
      </c>
      <c r="D403" s="588" t="s">
        <v>957</v>
      </c>
      <c r="E403" s="587">
        <v>5.4509999999999996</v>
      </c>
      <c r="F403" s="587">
        <f>C403*E403</f>
        <v>20.032424999999996</v>
      </c>
      <c r="G403" s="587">
        <f>(C403+E403)*2</f>
        <v>18.251999999999999</v>
      </c>
      <c r="H403" s="589" t="s">
        <v>957</v>
      </c>
      <c r="I403" s="587">
        <f t="shared" si="118"/>
        <v>20.032424999999996</v>
      </c>
      <c r="J403" s="589" t="s">
        <v>957</v>
      </c>
      <c r="K403" s="587">
        <f t="shared" si="128"/>
        <v>18.251999999999999</v>
      </c>
      <c r="L403" s="587"/>
      <c r="M403" s="587" t="str">
        <f t="shared" si="125"/>
        <v/>
      </c>
      <c r="N403" s="587"/>
      <c r="O403" s="587" t="str">
        <f t="shared" si="119"/>
        <v/>
      </c>
      <c r="P403" s="587"/>
      <c r="Q403" s="587" t="str">
        <f t="shared" si="129"/>
        <v/>
      </c>
      <c r="R403" s="587"/>
      <c r="S403" s="587" t="str">
        <f t="shared" si="120"/>
        <v/>
      </c>
      <c r="T403" s="587"/>
      <c r="U403" s="587" t="str">
        <f t="shared" si="121"/>
        <v/>
      </c>
      <c r="V403" s="587" t="s">
        <v>957</v>
      </c>
      <c r="W403" s="587">
        <f t="shared" si="122"/>
        <v>20.032424999999996</v>
      </c>
      <c r="X403" s="587"/>
      <c r="Y403" s="587" t="str">
        <f t="shared" ref="Y403:Y466" si="133">IF(X403="x",F403,"")</f>
        <v/>
      </c>
      <c r="Z403" s="587"/>
      <c r="AA403" s="587" t="str">
        <f t="shared" si="131"/>
        <v/>
      </c>
      <c r="AB403" s="587"/>
      <c r="AC403" s="587" t="str">
        <f t="shared" si="132"/>
        <v/>
      </c>
      <c r="AD403" s="586"/>
      <c r="AE403" s="587" t="str">
        <f t="shared" si="130"/>
        <v/>
      </c>
    </row>
    <row r="404" spans="2:31">
      <c r="B404" s="586" t="s">
        <v>428</v>
      </c>
      <c r="C404" s="587"/>
      <c r="D404" s="588"/>
      <c r="E404" s="587"/>
      <c r="F404" s="587">
        <v>4.57</v>
      </c>
      <c r="G404" s="587">
        <v>9.5399999999999991</v>
      </c>
      <c r="H404" s="589" t="s">
        <v>957</v>
      </c>
      <c r="I404" s="587">
        <f t="shared" si="118"/>
        <v>4.57</v>
      </c>
      <c r="J404" s="589" t="s">
        <v>957</v>
      </c>
      <c r="K404" s="587">
        <f t="shared" si="128"/>
        <v>9.5399999999999991</v>
      </c>
      <c r="L404" s="587"/>
      <c r="M404" s="587" t="str">
        <f t="shared" si="125"/>
        <v/>
      </c>
      <c r="N404" s="587"/>
      <c r="O404" s="587" t="str">
        <f t="shared" si="119"/>
        <v/>
      </c>
      <c r="P404" s="587"/>
      <c r="Q404" s="587" t="str">
        <f t="shared" si="129"/>
        <v/>
      </c>
      <c r="R404" s="587"/>
      <c r="S404" s="587" t="str">
        <f t="shared" si="120"/>
        <v/>
      </c>
      <c r="T404" s="587"/>
      <c r="U404" s="587" t="str">
        <f t="shared" si="121"/>
        <v/>
      </c>
      <c r="V404" s="587" t="s">
        <v>957</v>
      </c>
      <c r="W404" s="587">
        <f t="shared" si="122"/>
        <v>4.57</v>
      </c>
      <c r="X404" s="587"/>
      <c r="Y404" s="587" t="str">
        <f t="shared" si="133"/>
        <v/>
      </c>
      <c r="Z404" s="587"/>
      <c r="AA404" s="587" t="str">
        <f t="shared" si="131"/>
        <v/>
      </c>
      <c r="AB404" s="587"/>
      <c r="AC404" s="587" t="str">
        <f t="shared" si="132"/>
        <v/>
      </c>
      <c r="AD404" s="586"/>
      <c r="AE404" s="587" t="str">
        <f t="shared" si="130"/>
        <v/>
      </c>
    </row>
    <row r="405" spans="2:31">
      <c r="B405" s="586" t="s">
        <v>430</v>
      </c>
      <c r="C405" s="587">
        <v>3.6749999999999998</v>
      </c>
      <c r="D405" s="588" t="s">
        <v>957</v>
      </c>
      <c r="E405" s="587">
        <v>5.4509999999999996</v>
      </c>
      <c r="F405" s="587">
        <f>C405*E405</f>
        <v>20.032424999999996</v>
      </c>
      <c r="G405" s="587">
        <f>(C405+E405)*2</f>
        <v>18.251999999999999</v>
      </c>
      <c r="H405" s="589" t="s">
        <v>957</v>
      </c>
      <c r="I405" s="587">
        <f t="shared" si="118"/>
        <v>20.032424999999996</v>
      </c>
      <c r="J405" s="589" t="s">
        <v>957</v>
      </c>
      <c r="K405" s="587">
        <f t="shared" si="128"/>
        <v>18.251999999999999</v>
      </c>
      <c r="L405" s="587"/>
      <c r="M405" s="587" t="str">
        <f t="shared" si="125"/>
        <v/>
      </c>
      <c r="N405" s="587"/>
      <c r="O405" s="587" t="str">
        <f t="shared" si="119"/>
        <v/>
      </c>
      <c r="P405" s="587"/>
      <c r="Q405" s="587" t="str">
        <f t="shared" si="129"/>
        <v/>
      </c>
      <c r="R405" s="587"/>
      <c r="S405" s="587" t="str">
        <f t="shared" si="120"/>
        <v/>
      </c>
      <c r="T405" s="587"/>
      <c r="U405" s="587" t="str">
        <f t="shared" si="121"/>
        <v/>
      </c>
      <c r="V405" s="587" t="s">
        <v>957</v>
      </c>
      <c r="W405" s="587">
        <f t="shared" si="122"/>
        <v>20.032424999999996</v>
      </c>
      <c r="X405" s="587"/>
      <c r="Y405" s="587" t="str">
        <f t="shared" si="133"/>
        <v/>
      </c>
      <c r="Z405" s="587"/>
      <c r="AA405" s="587" t="str">
        <f t="shared" si="131"/>
        <v/>
      </c>
      <c r="AB405" s="587"/>
      <c r="AC405" s="587" t="str">
        <f t="shared" si="132"/>
        <v/>
      </c>
      <c r="AD405" s="586"/>
      <c r="AE405" s="587" t="str">
        <f t="shared" si="130"/>
        <v/>
      </c>
    </row>
    <row r="406" spans="2:31">
      <c r="B406" s="586" t="s">
        <v>428</v>
      </c>
      <c r="C406" s="587"/>
      <c r="D406" s="588"/>
      <c r="E406" s="587"/>
      <c r="F406" s="587">
        <v>4.57</v>
      </c>
      <c r="G406" s="587">
        <v>9.5399999999999991</v>
      </c>
      <c r="H406" s="589" t="s">
        <v>957</v>
      </c>
      <c r="I406" s="587">
        <f t="shared" si="118"/>
        <v>4.57</v>
      </c>
      <c r="J406" s="589" t="s">
        <v>957</v>
      </c>
      <c r="K406" s="587">
        <f t="shared" si="128"/>
        <v>9.5399999999999991</v>
      </c>
      <c r="L406" s="587"/>
      <c r="M406" s="587" t="str">
        <f t="shared" si="125"/>
        <v/>
      </c>
      <c r="N406" s="587"/>
      <c r="O406" s="587" t="str">
        <f t="shared" si="119"/>
        <v/>
      </c>
      <c r="P406" s="587"/>
      <c r="Q406" s="587" t="str">
        <f t="shared" si="129"/>
        <v/>
      </c>
      <c r="R406" s="587"/>
      <c r="S406" s="587" t="str">
        <f t="shared" si="120"/>
        <v/>
      </c>
      <c r="T406" s="587"/>
      <c r="U406" s="587" t="str">
        <f t="shared" si="121"/>
        <v/>
      </c>
      <c r="V406" s="587" t="s">
        <v>957</v>
      </c>
      <c r="W406" s="587">
        <f t="shared" si="122"/>
        <v>4.57</v>
      </c>
      <c r="X406" s="587"/>
      <c r="Y406" s="587" t="str">
        <f t="shared" si="133"/>
        <v/>
      </c>
      <c r="Z406" s="587"/>
      <c r="AA406" s="587" t="str">
        <f t="shared" si="131"/>
        <v/>
      </c>
      <c r="AB406" s="587"/>
      <c r="AC406" s="587" t="str">
        <f t="shared" si="132"/>
        <v/>
      </c>
      <c r="AD406" s="586"/>
      <c r="AE406" s="587" t="str">
        <f t="shared" si="130"/>
        <v/>
      </c>
    </row>
    <row r="407" spans="2:31">
      <c r="B407" s="586" t="s">
        <v>423</v>
      </c>
      <c r="C407" s="587">
        <v>2.4500000000000002</v>
      </c>
      <c r="D407" s="588" t="s">
        <v>957</v>
      </c>
      <c r="E407" s="587">
        <v>3.5750000000000002</v>
      </c>
      <c r="F407" s="587">
        <f>C407*E407</f>
        <v>8.7587500000000009</v>
      </c>
      <c r="G407" s="587">
        <f>(C407+E407)*2</f>
        <v>12.05</v>
      </c>
      <c r="H407" s="589"/>
      <c r="I407" s="587" t="str">
        <f t="shared" si="118"/>
        <v/>
      </c>
      <c r="J407" s="589"/>
      <c r="K407" s="587" t="str">
        <f t="shared" si="128"/>
        <v/>
      </c>
      <c r="L407" s="587"/>
      <c r="M407" s="587" t="str">
        <f t="shared" si="125"/>
        <v/>
      </c>
      <c r="N407" s="587" t="s">
        <v>957</v>
      </c>
      <c r="O407" s="587">
        <f t="shared" si="119"/>
        <v>8.7587500000000009</v>
      </c>
      <c r="P407" s="587" t="s">
        <v>957</v>
      </c>
      <c r="Q407" s="587">
        <f t="shared" si="129"/>
        <v>12.05</v>
      </c>
      <c r="R407" s="587"/>
      <c r="S407" s="587" t="str">
        <f t="shared" si="120"/>
        <v/>
      </c>
      <c r="T407" s="587"/>
      <c r="U407" s="587" t="str">
        <f t="shared" si="121"/>
        <v/>
      </c>
      <c r="V407" s="587" t="s">
        <v>957</v>
      </c>
      <c r="W407" s="587">
        <f t="shared" si="122"/>
        <v>8.7587500000000009</v>
      </c>
      <c r="X407" s="587"/>
      <c r="Y407" s="587" t="str">
        <f t="shared" si="133"/>
        <v/>
      </c>
      <c r="Z407" s="587"/>
      <c r="AA407" s="587" t="str">
        <f t="shared" si="131"/>
        <v/>
      </c>
      <c r="AB407" s="587"/>
      <c r="AC407" s="587" t="str">
        <f t="shared" si="132"/>
        <v/>
      </c>
      <c r="AD407" s="586"/>
      <c r="AE407" s="587" t="str">
        <f t="shared" si="130"/>
        <v/>
      </c>
    </row>
    <row r="408" spans="2:31">
      <c r="B408" s="586" t="s">
        <v>428</v>
      </c>
      <c r="C408" s="587">
        <v>3.4079999999999999</v>
      </c>
      <c r="D408" s="588" t="s">
        <v>957</v>
      </c>
      <c r="E408" s="587">
        <v>1.75</v>
      </c>
      <c r="F408" s="587">
        <f>C408*E408</f>
        <v>5.9639999999999995</v>
      </c>
      <c r="G408" s="587">
        <f>(C408+E408)*2</f>
        <v>10.315999999999999</v>
      </c>
      <c r="H408" s="589" t="s">
        <v>957</v>
      </c>
      <c r="I408" s="587">
        <f t="shared" si="118"/>
        <v>5.9639999999999995</v>
      </c>
      <c r="J408" s="589" t="s">
        <v>957</v>
      </c>
      <c r="K408" s="587">
        <f t="shared" si="128"/>
        <v>10.315999999999999</v>
      </c>
      <c r="L408" s="587"/>
      <c r="M408" s="587" t="str">
        <f t="shared" si="125"/>
        <v/>
      </c>
      <c r="N408" s="587"/>
      <c r="O408" s="587" t="str">
        <f t="shared" si="119"/>
        <v/>
      </c>
      <c r="P408" s="587"/>
      <c r="Q408" s="587" t="str">
        <f t="shared" si="129"/>
        <v/>
      </c>
      <c r="R408" s="587"/>
      <c r="S408" s="587" t="str">
        <f t="shared" si="120"/>
        <v/>
      </c>
      <c r="T408" s="587"/>
      <c r="U408" s="587" t="str">
        <f t="shared" si="121"/>
        <v/>
      </c>
      <c r="V408" s="587" t="s">
        <v>957</v>
      </c>
      <c r="W408" s="587">
        <f t="shared" si="122"/>
        <v>5.9639999999999995</v>
      </c>
      <c r="X408" s="587"/>
      <c r="Y408" s="587" t="str">
        <f t="shared" si="133"/>
        <v/>
      </c>
      <c r="Z408" s="587"/>
      <c r="AA408" s="587" t="str">
        <f t="shared" si="131"/>
        <v/>
      </c>
      <c r="AB408" s="587"/>
      <c r="AC408" s="587" t="str">
        <f t="shared" si="132"/>
        <v/>
      </c>
      <c r="AD408" s="586"/>
      <c r="AE408" s="587" t="str">
        <f t="shared" si="130"/>
        <v/>
      </c>
    </row>
    <row r="409" spans="2:31">
      <c r="B409" s="586" t="s">
        <v>476</v>
      </c>
      <c r="C409" s="587">
        <v>2.125</v>
      </c>
      <c r="D409" s="588" t="s">
        <v>957</v>
      </c>
      <c r="E409" s="587">
        <v>3.37</v>
      </c>
      <c r="F409" s="587">
        <f>C409*E409</f>
        <v>7.1612499999999999</v>
      </c>
      <c r="G409" s="587">
        <f>(C409+E409)*2</f>
        <v>10.99</v>
      </c>
      <c r="H409" s="589"/>
      <c r="I409" s="587" t="str">
        <f t="shared" si="118"/>
        <v/>
      </c>
      <c r="J409" s="589"/>
      <c r="K409" s="587" t="str">
        <f t="shared" si="128"/>
        <v/>
      </c>
      <c r="L409" s="587"/>
      <c r="M409" s="587" t="str">
        <f t="shared" si="125"/>
        <v/>
      </c>
      <c r="N409" s="587" t="s">
        <v>957</v>
      </c>
      <c r="O409" s="587">
        <f t="shared" si="119"/>
        <v>7.1612499999999999</v>
      </c>
      <c r="P409" s="587" t="s">
        <v>957</v>
      </c>
      <c r="Q409" s="587">
        <f t="shared" si="129"/>
        <v>10.99</v>
      </c>
      <c r="R409" s="587"/>
      <c r="S409" s="587" t="str">
        <f t="shared" si="120"/>
        <v/>
      </c>
      <c r="T409" s="587"/>
      <c r="U409" s="587" t="str">
        <f t="shared" si="121"/>
        <v/>
      </c>
      <c r="V409" s="587" t="s">
        <v>957</v>
      </c>
      <c r="W409" s="587">
        <f t="shared" si="122"/>
        <v>7.1612499999999999</v>
      </c>
      <c r="X409" s="587"/>
      <c r="Y409" s="587" t="str">
        <f t="shared" si="133"/>
        <v/>
      </c>
      <c r="Z409" s="587"/>
      <c r="AA409" s="587" t="str">
        <f t="shared" si="131"/>
        <v/>
      </c>
      <c r="AB409" s="587"/>
      <c r="AC409" s="587" t="str">
        <f t="shared" si="132"/>
        <v/>
      </c>
      <c r="AD409" s="586"/>
      <c r="AE409" s="587" t="str">
        <f t="shared" si="130"/>
        <v/>
      </c>
    </row>
    <row r="410" spans="2:31">
      <c r="B410" s="586" t="s">
        <v>530</v>
      </c>
      <c r="C410" s="587"/>
      <c r="D410" s="588"/>
      <c r="E410" s="587"/>
      <c r="F410" s="587">
        <v>418.18</v>
      </c>
      <c r="G410" s="587">
        <v>86.27</v>
      </c>
      <c r="H410" s="589"/>
      <c r="I410" s="587" t="str">
        <f t="shared" si="118"/>
        <v/>
      </c>
      <c r="J410" s="589"/>
      <c r="K410" s="587" t="str">
        <f t="shared" si="128"/>
        <v/>
      </c>
      <c r="L410" s="587"/>
      <c r="M410" s="587" t="str">
        <f t="shared" si="125"/>
        <v/>
      </c>
      <c r="N410" s="587" t="s">
        <v>957</v>
      </c>
      <c r="O410" s="587">
        <f t="shared" si="119"/>
        <v>418.18</v>
      </c>
      <c r="P410" s="587" t="s">
        <v>957</v>
      </c>
      <c r="Q410" s="587">
        <f t="shared" si="129"/>
        <v>86.27</v>
      </c>
      <c r="R410" s="587"/>
      <c r="S410" s="587" t="str">
        <f t="shared" si="120"/>
        <v/>
      </c>
      <c r="T410" s="587"/>
      <c r="U410" s="587" t="str">
        <f t="shared" si="121"/>
        <v/>
      </c>
      <c r="V410" s="587" t="s">
        <v>957</v>
      </c>
      <c r="W410" s="587">
        <f t="shared" si="122"/>
        <v>418.18</v>
      </c>
      <c r="X410" s="587"/>
      <c r="Y410" s="587" t="str">
        <f t="shared" si="133"/>
        <v/>
      </c>
      <c r="Z410" s="587"/>
      <c r="AA410" s="587" t="str">
        <f t="shared" si="131"/>
        <v/>
      </c>
      <c r="AB410" s="587"/>
      <c r="AC410" s="587" t="str">
        <f t="shared" si="132"/>
        <v/>
      </c>
      <c r="AD410" s="586"/>
      <c r="AE410" s="587" t="str">
        <f t="shared" si="130"/>
        <v/>
      </c>
    </row>
    <row r="411" spans="2:31">
      <c r="B411" s="586" t="s">
        <v>531</v>
      </c>
      <c r="C411" s="587">
        <v>5.5</v>
      </c>
      <c r="D411" s="588" t="s">
        <v>957</v>
      </c>
      <c r="E411" s="587">
        <v>3.25</v>
      </c>
      <c r="F411" s="587">
        <f t="shared" ref="F411:F417" si="134">C411*E411</f>
        <v>17.875</v>
      </c>
      <c r="G411" s="587">
        <f t="shared" ref="G411:G417" si="135">(C411+E411)*2</f>
        <v>17.5</v>
      </c>
      <c r="H411" s="589"/>
      <c r="I411" s="587" t="str">
        <f t="shared" si="118"/>
        <v/>
      </c>
      <c r="J411" s="589"/>
      <c r="K411" s="587" t="str">
        <f t="shared" si="128"/>
        <v/>
      </c>
      <c r="L411" s="587"/>
      <c r="M411" s="587" t="str">
        <f t="shared" si="125"/>
        <v/>
      </c>
      <c r="N411" s="587" t="s">
        <v>957</v>
      </c>
      <c r="O411" s="587">
        <f t="shared" si="119"/>
        <v>17.875</v>
      </c>
      <c r="P411" s="587" t="s">
        <v>957</v>
      </c>
      <c r="Q411" s="587">
        <f t="shared" si="129"/>
        <v>17.5</v>
      </c>
      <c r="R411" s="587"/>
      <c r="S411" s="587" t="str">
        <f t="shared" si="120"/>
        <v/>
      </c>
      <c r="T411" s="587"/>
      <c r="U411" s="587" t="str">
        <f t="shared" si="121"/>
        <v/>
      </c>
      <c r="V411" s="587" t="s">
        <v>957</v>
      </c>
      <c r="W411" s="587">
        <f t="shared" si="122"/>
        <v>17.875</v>
      </c>
      <c r="X411" s="587"/>
      <c r="Y411" s="587" t="str">
        <f t="shared" si="133"/>
        <v/>
      </c>
      <c r="Z411" s="587"/>
      <c r="AA411" s="587" t="str">
        <f t="shared" si="131"/>
        <v/>
      </c>
      <c r="AB411" s="587"/>
      <c r="AC411" s="587" t="str">
        <f t="shared" si="132"/>
        <v/>
      </c>
      <c r="AD411" s="586"/>
      <c r="AE411" s="587" t="str">
        <f t="shared" si="130"/>
        <v/>
      </c>
    </row>
    <row r="412" spans="2:31">
      <c r="B412" s="586" t="s">
        <v>532</v>
      </c>
      <c r="C412" s="587">
        <v>3.2</v>
      </c>
      <c r="D412" s="588" t="s">
        <v>957</v>
      </c>
      <c r="E412" s="587">
        <v>1.603</v>
      </c>
      <c r="F412" s="587">
        <f t="shared" si="134"/>
        <v>5.1295999999999999</v>
      </c>
      <c r="G412" s="587">
        <f t="shared" si="135"/>
        <v>9.6059999999999999</v>
      </c>
      <c r="H412" s="589" t="s">
        <v>957</v>
      </c>
      <c r="I412" s="587">
        <f t="shared" ref="I412:I420" si="136">IF(H412="x",F412,"")</f>
        <v>5.1295999999999999</v>
      </c>
      <c r="J412" s="589" t="s">
        <v>957</v>
      </c>
      <c r="K412" s="587">
        <f t="shared" si="128"/>
        <v>9.6059999999999999</v>
      </c>
      <c r="L412" s="587"/>
      <c r="M412" s="587" t="str">
        <f t="shared" si="125"/>
        <v/>
      </c>
      <c r="N412" s="587"/>
      <c r="O412" s="587" t="str">
        <f t="shared" ref="O412:O420" si="137">IF(N412="x",F412,"")</f>
        <v/>
      </c>
      <c r="P412" s="587"/>
      <c r="Q412" s="587" t="str">
        <f t="shared" si="129"/>
        <v/>
      </c>
      <c r="R412" s="587"/>
      <c r="S412" s="587" t="str">
        <f t="shared" ref="S412:S420" si="138">IF(R412="x",F412,"")</f>
        <v/>
      </c>
      <c r="T412" s="587"/>
      <c r="U412" s="587" t="str">
        <f t="shared" ref="U412:U420" si="139">IF(T412="x",F412,"")</f>
        <v/>
      </c>
      <c r="V412" s="587" t="s">
        <v>957</v>
      </c>
      <c r="W412" s="587">
        <f t="shared" ref="W412:W420" si="140">IF(V412="x",F412,"")</f>
        <v>5.1295999999999999</v>
      </c>
      <c r="X412" s="587"/>
      <c r="Y412" s="587" t="str">
        <f t="shared" si="133"/>
        <v/>
      </c>
      <c r="Z412" s="587"/>
      <c r="AA412" s="587" t="str">
        <f t="shared" si="131"/>
        <v/>
      </c>
      <c r="AB412" s="587"/>
      <c r="AC412" s="587" t="str">
        <f t="shared" si="132"/>
        <v/>
      </c>
      <c r="AD412" s="586"/>
      <c r="AE412" s="587" t="str">
        <f t="shared" si="130"/>
        <v/>
      </c>
    </row>
    <row r="413" spans="2:31">
      <c r="B413" s="586" t="s">
        <v>315</v>
      </c>
      <c r="C413" s="587">
        <v>2.15</v>
      </c>
      <c r="D413" s="588"/>
      <c r="E413" s="587">
        <v>1.603</v>
      </c>
      <c r="F413" s="587">
        <f t="shared" si="134"/>
        <v>3.44645</v>
      </c>
      <c r="G413" s="587">
        <f t="shared" si="135"/>
        <v>7.5060000000000002</v>
      </c>
      <c r="H413" s="589"/>
      <c r="I413" s="587" t="str">
        <f t="shared" si="136"/>
        <v/>
      </c>
      <c r="J413" s="589"/>
      <c r="K413" s="587" t="str">
        <f t="shared" si="128"/>
        <v/>
      </c>
      <c r="L413" s="587"/>
      <c r="M413" s="587" t="str">
        <f t="shared" si="125"/>
        <v/>
      </c>
      <c r="N413" s="587" t="s">
        <v>957</v>
      </c>
      <c r="O413" s="587">
        <f t="shared" si="137"/>
        <v>3.44645</v>
      </c>
      <c r="P413" s="587" t="s">
        <v>957</v>
      </c>
      <c r="Q413" s="587">
        <f t="shared" si="129"/>
        <v>7.5060000000000002</v>
      </c>
      <c r="R413" s="587"/>
      <c r="S413" s="587" t="str">
        <f t="shared" si="138"/>
        <v/>
      </c>
      <c r="T413" s="587"/>
      <c r="U413" s="587" t="str">
        <f t="shared" si="139"/>
        <v/>
      </c>
      <c r="V413" s="587" t="s">
        <v>957</v>
      </c>
      <c r="W413" s="587">
        <f t="shared" si="140"/>
        <v>3.44645</v>
      </c>
      <c r="X413" s="587"/>
      <c r="Y413" s="587" t="str">
        <f t="shared" si="133"/>
        <v/>
      </c>
      <c r="Z413" s="587"/>
      <c r="AA413" s="587" t="str">
        <f t="shared" si="131"/>
        <v/>
      </c>
      <c r="AB413" s="587"/>
      <c r="AC413" s="587" t="str">
        <f t="shared" si="132"/>
        <v/>
      </c>
      <c r="AD413" s="586"/>
      <c r="AE413" s="587" t="str">
        <f t="shared" si="130"/>
        <v/>
      </c>
    </row>
    <row r="414" spans="2:31">
      <c r="B414" s="586" t="s">
        <v>531</v>
      </c>
      <c r="C414" s="587">
        <v>5.5</v>
      </c>
      <c r="D414" s="588" t="s">
        <v>957</v>
      </c>
      <c r="E414" s="587">
        <v>3.25</v>
      </c>
      <c r="F414" s="587">
        <f t="shared" si="134"/>
        <v>17.875</v>
      </c>
      <c r="G414" s="587">
        <f t="shared" si="135"/>
        <v>17.5</v>
      </c>
      <c r="H414" s="589"/>
      <c r="I414" s="587" t="str">
        <f t="shared" si="136"/>
        <v/>
      </c>
      <c r="J414" s="589"/>
      <c r="K414" s="587" t="str">
        <f t="shared" si="128"/>
        <v/>
      </c>
      <c r="L414" s="587"/>
      <c r="M414" s="587" t="str">
        <f t="shared" si="125"/>
        <v/>
      </c>
      <c r="N414" s="587" t="s">
        <v>957</v>
      </c>
      <c r="O414" s="587">
        <f t="shared" si="137"/>
        <v>17.875</v>
      </c>
      <c r="P414" s="587" t="s">
        <v>957</v>
      </c>
      <c r="Q414" s="587">
        <f t="shared" si="129"/>
        <v>17.5</v>
      </c>
      <c r="R414" s="587"/>
      <c r="S414" s="587" t="str">
        <f t="shared" si="138"/>
        <v/>
      </c>
      <c r="T414" s="587"/>
      <c r="U414" s="587" t="str">
        <f t="shared" si="139"/>
        <v/>
      </c>
      <c r="V414" s="587" t="s">
        <v>957</v>
      </c>
      <c r="W414" s="587">
        <f t="shared" si="140"/>
        <v>17.875</v>
      </c>
      <c r="X414" s="587"/>
      <c r="Y414" s="587" t="str">
        <f t="shared" si="133"/>
        <v/>
      </c>
      <c r="Z414" s="587"/>
      <c r="AA414" s="587" t="str">
        <f t="shared" si="131"/>
        <v/>
      </c>
      <c r="AB414" s="587"/>
      <c r="AC414" s="587" t="str">
        <f t="shared" si="132"/>
        <v/>
      </c>
      <c r="AD414" s="586"/>
      <c r="AE414" s="587" t="str">
        <f t="shared" si="130"/>
        <v/>
      </c>
    </row>
    <row r="415" spans="2:31">
      <c r="B415" s="586" t="s">
        <v>532</v>
      </c>
      <c r="C415" s="587">
        <v>3.2</v>
      </c>
      <c r="D415" s="588" t="s">
        <v>957</v>
      </c>
      <c r="E415" s="587">
        <v>1.603</v>
      </c>
      <c r="F415" s="587">
        <f t="shared" si="134"/>
        <v>5.1295999999999999</v>
      </c>
      <c r="G415" s="587">
        <f t="shared" si="135"/>
        <v>9.6059999999999999</v>
      </c>
      <c r="H415" s="589" t="s">
        <v>957</v>
      </c>
      <c r="I415" s="587">
        <f t="shared" si="136"/>
        <v>5.1295999999999999</v>
      </c>
      <c r="J415" s="589" t="s">
        <v>957</v>
      </c>
      <c r="K415" s="587">
        <f t="shared" si="128"/>
        <v>9.6059999999999999</v>
      </c>
      <c r="L415" s="587"/>
      <c r="M415" s="587" t="str">
        <f t="shared" si="125"/>
        <v/>
      </c>
      <c r="N415" s="587"/>
      <c r="O415" s="587" t="str">
        <f t="shared" si="137"/>
        <v/>
      </c>
      <c r="P415" s="587"/>
      <c r="Q415" s="587" t="str">
        <f t="shared" si="129"/>
        <v/>
      </c>
      <c r="R415" s="587"/>
      <c r="S415" s="587" t="str">
        <f t="shared" si="138"/>
        <v/>
      </c>
      <c r="T415" s="587"/>
      <c r="U415" s="587" t="str">
        <f t="shared" si="139"/>
        <v/>
      </c>
      <c r="V415" s="587" t="s">
        <v>957</v>
      </c>
      <c r="W415" s="587">
        <f t="shared" si="140"/>
        <v>5.1295999999999999</v>
      </c>
      <c r="X415" s="587"/>
      <c r="Y415" s="587" t="str">
        <f t="shared" si="133"/>
        <v/>
      </c>
      <c r="Z415" s="587"/>
      <c r="AA415" s="587" t="str">
        <f t="shared" si="131"/>
        <v/>
      </c>
      <c r="AB415" s="587"/>
      <c r="AC415" s="587" t="str">
        <f t="shared" si="132"/>
        <v/>
      </c>
      <c r="AD415" s="586"/>
      <c r="AE415" s="587" t="str">
        <f t="shared" si="130"/>
        <v/>
      </c>
    </row>
    <row r="416" spans="2:31">
      <c r="B416" s="586" t="s">
        <v>315</v>
      </c>
      <c r="C416" s="587">
        <v>2.15</v>
      </c>
      <c r="D416" s="588"/>
      <c r="E416" s="587">
        <v>1.603</v>
      </c>
      <c r="F416" s="587">
        <f t="shared" si="134"/>
        <v>3.44645</v>
      </c>
      <c r="G416" s="587">
        <f t="shared" si="135"/>
        <v>7.5060000000000002</v>
      </c>
      <c r="H416" s="589"/>
      <c r="I416" s="587" t="str">
        <f t="shared" si="136"/>
        <v/>
      </c>
      <c r="J416" s="589"/>
      <c r="K416" s="587" t="str">
        <f t="shared" si="128"/>
        <v/>
      </c>
      <c r="L416" s="587"/>
      <c r="M416" s="587" t="str">
        <f t="shared" si="125"/>
        <v/>
      </c>
      <c r="N416" s="587" t="s">
        <v>957</v>
      </c>
      <c r="O416" s="587">
        <f t="shared" si="137"/>
        <v>3.44645</v>
      </c>
      <c r="P416" s="587" t="s">
        <v>957</v>
      </c>
      <c r="Q416" s="587">
        <f t="shared" si="129"/>
        <v>7.5060000000000002</v>
      </c>
      <c r="R416" s="587"/>
      <c r="S416" s="587" t="str">
        <f t="shared" si="138"/>
        <v/>
      </c>
      <c r="T416" s="587"/>
      <c r="U416" s="587" t="str">
        <f t="shared" si="139"/>
        <v/>
      </c>
      <c r="V416" s="587" t="s">
        <v>957</v>
      </c>
      <c r="W416" s="587">
        <f t="shared" si="140"/>
        <v>3.44645</v>
      </c>
      <c r="X416" s="587"/>
      <c r="Y416" s="587" t="str">
        <f t="shared" si="133"/>
        <v/>
      </c>
      <c r="Z416" s="587"/>
      <c r="AA416" s="587" t="str">
        <f t="shared" si="131"/>
        <v/>
      </c>
      <c r="AB416" s="587"/>
      <c r="AC416" s="587" t="str">
        <f t="shared" si="132"/>
        <v/>
      </c>
      <c r="AD416" s="586"/>
      <c r="AE416" s="587" t="str">
        <f t="shared" si="130"/>
        <v/>
      </c>
    </row>
    <row r="417" spans="2:31">
      <c r="B417" s="586" t="s">
        <v>437</v>
      </c>
      <c r="C417" s="587">
        <v>8.17</v>
      </c>
      <c r="D417" s="588"/>
      <c r="E417" s="587">
        <v>6.8</v>
      </c>
      <c r="F417" s="587">
        <f t="shared" si="134"/>
        <v>55.555999999999997</v>
      </c>
      <c r="G417" s="587">
        <f t="shared" si="135"/>
        <v>29.939999999999998</v>
      </c>
      <c r="H417" s="589"/>
      <c r="I417" s="587" t="str">
        <f t="shared" si="136"/>
        <v/>
      </c>
      <c r="J417" s="589"/>
      <c r="K417" s="587" t="str">
        <f t="shared" si="128"/>
        <v/>
      </c>
      <c r="L417" s="587"/>
      <c r="M417" s="587" t="str">
        <f t="shared" si="125"/>
        <v/>
      </c>
      <c r="N417" s="587"/>
      <c r="O417" s="587" t="str">
        <f t="shared" si="137"/>
        <v/>
      </c>
      <c r="P417" s="587"/>
      <c r="Q417" s="587" t="str">
        <f t="shared" si="129"/>
        <v/>
      </c>
      <c r="R417" s="587"/>
      <c r="S417" s="587" t="str">
        <f t="shared" si="138"/>
        <v/>
      </c>
      <c r="T417" s="587" t="s">
        <v>952</v>
      </c>
      <c r="U417" s="587">
        <f t="shared" si="139"/>
        <v>55.555999999999997</v>
      </c>
      <c r="V417" s="587"/>
      <c r="W417" s="587" t="str">
        <f t="shared" si="140"/>
        <v/>
      </c>
      <c r="X417" s="587"/>
      <c r="Y417" s="587" t="str">
        <f t="shared" si="133"/>
        <v/>
      </c>
      <c r="Z417" s="587"/>
      <c r="AA417" s="587" t="str">
        <f t="shared" si="131"/>
        <v/>
      </c>
      <c r="AB417" s="587"/>
      <c r="AC417" s="587" t="str">
        <f t="shared" si="132"/>
        <v/>
      </c>
      <c r="AD417" s="586"/>
      <c r="AE417" s="587" t="str">
        <f t="shared" si="130"/>
        <v/>
      </c>
    </row>
    <row r="418" spans="2:31">
      <c r="B418" s="590" t="s">
        <v>457</v>
      </c>
      <c r="C418" s="596">
        <v>3.5</v>
      </c>
      <c r="D418" s="597" t="s">
        <v>957</v>
      </c>
      <c r="E418" s="596">
        <v>6.62</v>
      </c>
      <c r="F418" s="596">
        <f>C418*E418</f>
        <v>23.17</v>
      </c>
      <c r="G418" s="596">
        <f>(C418+E418)*2</f>
        <v>20.240000000000002</v>
      </c>
      <c r="H418" s="589"/>
      <c r="I418" s="587" t="str">
        <f t="shared" si="136"/>
        <v/>
      </c>
      <c r="J418" s="589"/>
      <c r="K418" s="587" t="str">
        <f t="shared" si="128"/>
        <v/>
      </c>
      <c r="L418" s="587" t="s">
        <v>952</v>
      </c>
      <c r="M418" s="587">
        <f t="shared" si="125"/>
        <v>23.17</v>
      </c>
      <c r="N418" s="587"/>
      <c r="O418" s="587" t="str">
        <f t="shared" si="137"/>
        <v/>
      </c>
      <c r="P418" s="587"/>
      <c r="Q418" s="587" t="str">
        <f t="shared" si="129"/>
        <v/>
      </c>
      <c r="R418" s="587"/>
      <c r="S418" s="587" t="str">
        <f t="shared" si="138"/>
        <v/>
      </c>
      <c r="T418" s="587"/>
      <c r="U418" s="587" t="str">
        <f t="shared" si="139"/>
        <v/>
      </c>
      <c r="V418" s="587"/>
      <c r="W418" s="587" t="str">
        <f t="shared" si="140"/>
        <v/>
      </c>
      <c r="X418" s="587"/>
      <c r="Y418" s="587" t="str">
        <f t="shared" si="133"/>
        <v/>
      </c>
      <c r="Z418" s="587"/>
      <c r="AA418" s="587" t="str">
        <f t="shared" si="131"/>
        <v/>
      </c>
      <c r="AB418" s="587" t="s">
        <v>952</v>
      </c>
      <c r="AC418" s="587">
        <f t="shared" si="132"/>
        <v>23.17</v>
      </c>
      <c r="AD418" s="586"/>
      <c r="AE418" s="587" t="str">
        <f t="shared" si="130"/>
        <v/>
      </c>
    </row>
    <row r="419" spans="2:31">
      <c r="B419" s="590" t="s">
        <v>458</v>
      </c>
      <c r="C419" s="596">
        <v>3.5</v>
      </c>
      <c r="D419" s="597" t="s">
        <v>957</v>
      </c>
      <c r="E419" s="596">
        <v>6.62</v>
      </c>
      <c r="F419" s="596">
        <f>C419*E419</f>
        <v>23.17</v>
      </c>
      <c r="G419" s="596">
        <f>(C419+E419)*2</f>
        <v>20.240000000000002</v>
      </c>
      <c r="H419" s="589"/>
      <c r="I419" s="587" t="str">
        <f t="shared" si="136"/>
        <v/>
      </c>
      <c r="J419" s="589"/>
      <c r="K419" s="587" t="str">
        <f t="shared" si="128"/>
        <v/>
      </c>
      <c r="L419" s="587" t="s">
        <v>952</v>
      </c>
      <c r="M419" s="587">
        <f t="shared" si="125"/>
        <v>23.17</v>
      </c>
      <c r="N419" s="587"/>
      <c r="O419" s="587" t="str">
        <f t="shared" si="137"/>
        <v/>
      </c>
      <c r="P419" s="587"/>
      <c r="Q419" s="587" t="str">
        <f t="shared" si="129"/>
        <v/>
      </c>
      <c r="R419" s="587"/>
      <c r="S419" s="587" t="str">
        <f t="shared" si="138"/>
        <v/>
      </c>
      <c r="T419" s="587"/>
      <c r="U419" s="587" t="str">
        <f t="shared" si="139"/>
        <v/>
      </c>
      <c r="V419" s="587"/>
      <c r="W419" s="587" t="str">
        <f t="shared" si="140"/>
        <v/>
      </c>
      <c r="X419" s="587"/>
      <c r="Y419" s="587" t="str">
        <f t="shared" si="133"/>
        <v/>
      </c>
      <c r="Z419" s="587"/>
      <c r="AA419" s="587" t="str">
        <f t="shared" si="131"/>
        <v/>
      </c>
      <c r="AB419" s="587" t="s">
        <v>952</v>
      </c>
      <c r="AC419" s="587">
        <f t="shared" si="132"/>
        <v>23.17</v>
      </c>
      <c r="AD419" s="586"/>
      <c r="AE419" s="587" t="str">
        <f t="shared" si="130"/>
        <v/>
      </c>
    </row>
    <row r="420" spans="2:31">
      <c r="B420" s="590" t="s">
        <v>459</v>
      </c>
      <c r="C420" s="596">
        <v>2.9</v>
      </c>
      <c r="D420" s="597" t="s">
        <v>957</v>
      </c>
      <c r="E420" s="596">
        <v>6.65</v>
      </c>
      <c r="F420" s="596">
        <f>C420*E420</f>
        <v>19.285</v>
      </c>
      <c r="G420" s="596">
        <f>(C420+E420)*2</f>
        <v>19.100000000000001</v>
      </c>
      <c r="H420" s="589"/>
      <c r="I420" s="587" t="str">
        <f t="shared" si="136"/>
        <v/>
      </c>
      <c r="J420" s="589"/>
      <c r="K420" s="587" t="str">
        <f t="shared" si="128"/>
        <v/>
      </c>
      <c r="L420" s="587" t="s">
        <v>952</v>
      </c>
      <c r="M420" s="587">
        <f t="shared" si="125"/>
        <v>19.285</v>
      </c>
      <c r="N420" s="587"/>
      <c r="O420" s="587" t="str">
        <f t="shared" si="137"/>
        <v/>
      </c>
      <c r="P420" s="587"/>
      <c r="Q420" s="587" t="str">
        <f t="shared" si="129"/>
        <v/>
      </c>
      <c r="R420" s="587"/>
      <c r="S420" s="587" t="str">
        <f t="shared" si="138"/>
        <v/>
      </c>
      <c r="T420" s="587"/>
      <c r="U420" s="587" t="str">
        <f t="shared" si="139"/>
        <v/>
      </c>
      <c r="V420" s="587"/>
      <c r="W420" s="587" t="str">
        <f t="shared" si="140"/>
        <v/>
      </c>
      <c r="X420" s="587"/>
      <c r="Y420" s="587" t="str">
        <f t="shared" si="133"/>
        <v/>
      </c>
      <c r="Z420" s="587"/>
      <c r="AA420" s="587" t="str">
        <f t="shared" si="131"/>
        <v/>
      </c>
      <c r="AB420" s="587" t="s">
        <v>952</v>
      </c>
      <c r="AC420" s="587">
        <f t="shared" si="132"/>
        <v>19.285</v>
      </c>
      <c r="AD420" s="586"/>
      <c r="AE420" s="587" t="str">
        <f t="shared" si="130"/>
        <v/>
      </c>
    </row>
    <row r="421" spans="2:31">
      <c r="B421" s="582" t="s">
        <v>968</v>
      </c>
      <c r="C421" s="583"/>
      <c r="D421" s="583"/>
      <c r="E421" s="583"/>
      <c r="F421" s="583"/>
      <c r="G421" s="583"/>
      <c r="H421" s="584"/>
      <c r="I421" s="583"/>
      <c r="J421" s="584"/>
      <c r="K421" s="587" t="str">
        <f t="shared" si="128"/>
        <v/>
      </c>
      <c r="L421" s="583"/>
      <c r="M421" s="583"/>
      <c r="N421" s="583"/>
      <c r="O421" s="583"/>
      <c r="P421" s="583"/>
      <c r="Q421" s="587" t="str">
        <f t="shared" si="129"/>
        <v/>
      </c>
      <c r="R421" s="583"/>
      <c r="S421" s="583"/>
      <c r="T421" s="583"/>
      <c r="U421" s="583"/>
      <c r="V421" s="583"/>
      <c r="W421" s="583"/>
      <c r="X421" s="583"/>
      <c r="Y421" s="587" t="str">
        <f t="shared" si="133"/>
        <v/>
      </c>
      <c r="Z421" s="583"/>
      <c r="AA421" s="587" t="str">
        <f t="shared" si="131"/>
        <v/>
      </c>
      <c r="AB421" s="583"/>
      <c r="AC421" s="587" t="str">
        <f t="shared" si="132"/>
        <v/>
      </c>
      <c r="AD421" s="586"/>
      <c r="AE421" s="587" t="str">
        <f t="shared" si="130"/>
        <v/>
      </c>
    </row>
    <row r="422" spans="2:31">
      <c r="B422" s="586" t="s">
        <v>295</v>
      </c>
      <c r="C422" s="587"/>
      <c r="D422" s="588"/>
      <c r="E422" s="587"/>
      <c r="F422" s="587">
        <f>2.5*(13.75*4+2.15*2)+5.15*2*3</f>
        <v>179.15</v>
      </c>
      <c r="G422" s="587"/>
      <c r="H422" s="589"/>
      <c r="I422" s="587" t="str">
        <f t="shared" ref="I422:I485" si="141">IF(H422="x",F422,"")</f>
        <v/>
      </c>
      <c r="J422" s="589"/>
      <c r="K422" s="587" t="str">
        <f t="shared" si="128"/>
        <v/>
      </c>
      <c r="L422" s="587" t="s">
        <v>952</v>
      </c>
      <c r="M422" s="587">
        <f t="shared" si="125"/>
        <v>179.15</v>
      </c>
      <c r="N422" s="587"/>
      <c r="O422" s="587" t="str">
        <f t="shared" ref="O422:O485" si="142">IF(N422="x",F422,"")</f>
        <v/>
      </c>
      <c r="P422" s="587"/>
      <c r="Q422" s="587" t="str">
        <f t="shared" si="129"/>
        <v/>
      </c>
      <c r="R422" s="587"/>
      <c r="S422" s="587" t="str">
        <f t="shared" ref="S422:S485" si="143">IF(R422="x",F422,"")</f>
        <v/>
      </c>
      <c r="T422" s="587"/>
      <c r="U422" s="587" t="str">
        <f t="shared" ref="U422:U485" si="144">IF(T422="x",F422,"")</f>
        <v/>
      </c>
      <c r="V422" s="587"/>
      <c r="W422" s="587" t="str">
        <f t="shared" ref="W422:W485" si="145">IF(V422="x",F422,"")</f>
        <v/>
      </c>
      <c r="X422" s="587"/>
      <c r="Y422" s="587" t="str">
        <f t="shared" si="133"/>
        <v/>
      </c>
      <c r="Z422" s="587"/>
      <c r="AA422" s="587" t="str">
        <f t="shared" si="131"/>
        <v/>
      </c>
      <c r="AB422" s="587" t="s">
        <v>952</v>
      </c>
      <c r="AC422" s="587">
        <f t="shared" si="132"/>
        <v>179.15</v>
      </c>
      <c r="AD422" s="586"/>
      <c r="AE422" s="587" t="str">
        <f t="shared" si="130"/>
        <v/>
      </c>
    </row>
    <row r="423" spans="2:31">
      <c r="B423" s="586" t="s">
        <v>296</v>
      </c>
      <c r="C423" s="587"/>
      <c r="D423" s="588"/>
      <c r="E423" s="587"/>
      <c r="F423" s="587">
        <v>139.33000000000001</v>
      </c>
      <c r="G423" s="587">
        <v>64.38</v>
      </c>
      <c r="H423" s="589" t="s">
        <v>957</v>
      </c>
      <c r="I423" s="587">
        <f t="shared" si="141"/>
        <v>139.33000000000001</v>
      </c>
      <c r="J423" s="589" t="s">
        <v>957</v>
      </c>
      <c r="K423" s="587">
        <f t="shared" si="128"/>
        <v>64.38</v>
      </c>
      <c r="L423" s="587"/>
      <c r="M423" s="587" t="str">
        <f t="shared" si="125"/>
        <v/>
      </c>
      <c r="N423" s="587"/>
      <c r="O423" s="587" t="str">
        <f t="shared" si="142"/>
        <v/>
      </c>
      <c r="P423" s="587"/>
      <c r="Q423" s="587" t="str">
        <f t="shared" si="129"/>
        <v/>
      </c>
      <c r="R423" s="587"/>
      <c r="S423" s="587" t="str">
        <f t="shared" si="143"/>
        <v/>
      </c>
      <c r="T423" s="587"/>
      <c r="U423" s="587" t="str">
        <f t="shared" si="144"/>
        <v/>
      </c>
      <c r="V423" s="587"/>
      <c r="W423" s="587" t="str">
        <f t="shared" si="145"/>
        <v/>
      </c>
      <c r="X423" s="587" t="s">
        <v>957</v>
      </c>
      <c r="Y423" s="587">
        <f t="shared" si="133"/>
        <v>139.33000000000001</v>
      </c>
      <c r="Z423" s="587"/>
      <c r="AA423" s="587" t="str">
        <f t="shared" si="131"/>
        <v/>
      </c>
      <c r="AB423" s="587"/>
      <c r="AC423" s="587" t="str">
        <f t="shared" si="132"/>
        <v/>
      </c>
      <c r="AD423" s="586"/>
      <c r="AE423" s="587" t="str">
        <f t="shared" si="130"/>
        <v/>
      </c>
    </row>
    <row r="424" spans="2:31">
      <c r="B424" s="586" t="s">
        <v>533</v>
      </c>
      <c r="C424" s="587">
        <v>4.2119999999999997</v>
      </c>
      <c r="D424" s="588" t="s">
        <v>957</v>
      </c>
      <c r="E424" s="587">
        <v>9.82</v>
      </c>
      <c r="F424" s="587">
        <f>C424*E424</f>
        <v>41.361840000000001</v>
      </c>
      <c r="G424" s="587">
        <f>(C424+E424)*2</f>
        <v>28.064</v>
      </c>
      <c r="H424" s="589" t="s">
        <v>957</v>
      </c>
      <c r="I424" s="587">
        <f t="shared" si="141"/>
        <v>41.361840000000001</v>
      </c>
      <c r="J424" s="589" t="s">
        <v>957</v>
      </c>
      <c r="K424" s="587">
        <f t="shared" si="128"/>
        <v>28.064</v>
      </c>
      <c r="L424" s="587"/>
      <c r="M424" s="587" t="str">
        <f t="shared" si="125"/>
        <v/>
      </c>
      <c r="N424" s="587"/>
      <c r="O424" s="587" t="str">
        <f t="shared" si="142"/>
        <v/>
      </c>
      <c r="P424" s="587"/>
      <c r="Q424" s="587" t="str">
        <f t="shared" si="129"/>
        <v/>
      </c>
      <c r="R424" s="587"/>
      <c r="S424" s="587" t="str">
        <f t="shared" si="143"/>
        <v/>
      </c>
      <c r="T424" s="587"/>
      <c r="U424" s="587" t="str">
        <f t="shared" si="144"/>
        <v/>
      </c>
      <c r="V424" s="587" t="s">
        <v>957</v>
      </c>
      <c r="W424" s="587">
        <f t="shared" si="145"/>
        <v>41.361840000000001</v>
      </c>
      <c r="X424" s="587"/>
      <c r="Y424" s="587" t="str">
        <f t="shared" si="133"/>
        <v/>
      </c>
      <c r="Z424" s="587"/>
      <c r="AA424" s="587" t="str">
        <f t="shared" si="131"/>
        <v/>
      </c>
      <c r="AB424" s="587"/>
      <c r="AC424" s="587" t="str">
        <f t="shared" si="132"/>
        <v/>
      </c>
      <c r="AD424" s="586"/>
      <c r="AE424" s="587" t="str">
        <f t="shared" si="130"/>
        <v/>
      </c>
    </row>
    <row r="425" spans="2:31">
      <c r="B425" s="586" t="s">
        <v>297</v>
      </c>
      <c r="C425" s="587">
        <v>3</v>
      </c>
      <c r="D425" s="588" t="s">
        <v>957</v>
      </c>
      <c r="E425" s="587">
        <v>4.1500000000000004</v>
      </c>
      <c r="F425" s="587">
        <f>C425*E425</f>
        <v>12.450000000000001</v>
      </c>
      <c r="G425" s="587">
        <f>(C425+E425)*2</f>
        <v>14.3</v>
      </c>
      <c r="H425" s="589" t="s">
        <v>957</v>
      </c>
      <c r="I425" s="587">
        <f t="shared" si="141"/>
        <v>12.450000000000001</v>
      </c>
      <c r="J425" s="589" t="s">
        <v>957</v>
      </c>
      <c r="K425" s="587">
        <f t="shared" si="128"/>
        <v>14.3</v>
      </c>
      <c r="L425" s="587"/>
      <c r="M425" s="587" t="str">
        <f t="shared" si="125"/>
        <v/>
      </c>
      <c r="N425" s="587"/>
      <c r="O425" s="587" t="str">
        <f t="shared" si="142"/>
        <v/>
      </c>
      <c r="P425" s="587"/>
      <c r="Q425" s="587" t="str">
        <f t="shared" si="129"/>
        <v/>
      </c>
      <c r="R425" s="587"/>
      <c r="S425" s="587" t="str">
        <f t="shared" si="143"/>
        <v/>
      </c>
      <c r="T425" s="587"/>
      <c r="U425" s="587" t="str">
        <f t="shared" si="144"/>
        <v/>
      </c>
      <c r="V425" s="587"/>
      <c r="W425" s="587" t="str">
        <f t="shared" si="145"/>
        <v/>
      </c>
      <c r="X425" s="587" t="s">
        <v>957</v>
      </c>
      <c r="Y425" s="587">
        <f t="shared" si="133"/>
        <v>12.450000000000001</v>
      </c>
      <c r="Z425" s="587"/>
      <c r="AA425" s="587" t="str">
        <f t="shared" si="131"/>
        <v/>
      </c>
      <c r="AB425" s="587"/>
      <c r="AC425" s="587" t="str">
        <f t="shared" si="132"/>
        <v/>
      </c>
      <c r="AD425" s="586"/>
      <c r="AE425" s="587" t="str">
        <f t="shared" si="130"/>
        <v/>
      </c>
    </row>
    <row r="426" spans="2:31">
      <c r="B426" s="586" t="s">
        <v>408</v>
      </c>
      <c r="C426" s="587"/>
      <c r="D426" s="588"/>
      <c r="E426" s="587"/>
      <c r="F426" s="587">
        <v>53.02</v>
      </c>
      <c r="G426" s="587">
        <v>36.619999999999997</v>
      </c>
      <c r="H426" s="589" t="s">
        <v>957</v>
      </c>
      <c r="I426" s="587">
        <f t="shared" si="141"/>
        <v>53.02</v>
      </c>
      <c r="J426" s="589" t="s">
        <v>957</v>
      </c>
      <c r="K426" s="587">
        <f t="shared" si="128"/>
        <v>36.619999999999997</v>
      </c>
      <c r="L426" s="587"/>
      <c r="M426" s="587" t="str">
        <f t="shared" si="125"/>
        <v/>
      </c>
      <c r="N426" s="587"/>
      <c r="O426" s="587" t="str">
        <f t="shared" si="142"/>
        <v/>
      </c>
      <c r="P426" s="587"/>
      <c r="Q426" s="587" t="str">
        <f t="shared" si="129"/>
        <v/>
      </c>
      <c r="R426" s="587"/>
      <c r="S426" s="587" t="str">
        <f t="shared" si="143"/>
        <v/>
      </c>
      <c r="T426" s="587"/>
      <c r="U426" s="587" t="str">
        <f t="shared" si="144"/>
        <v/>
      </c>
      <c r="V426" s="587"/>
      <c r="W426" s="587" t="str">
        <f t="shared" si="145"/>
        <v/>
      </c>
      <c r="X426" s="587"/>
      <c r="Y426" s="587" t="str">
        <f t="shared" si="133"/>
        <v/>
      </c>
      <c r="Z426" s="587" t="s">
        <v>952</v>
      </c>
      <c r="AA426" s="587">
        <f t="shared" si="131"/>
        <v>53.02</v>
      </c>
      <c r="AB426" s="587"/>
      <c r="AC426" s="587" t="str">
        <f t="shared" si="132"/>
        <v/>
      </c>
      <c r="AD426" s="586"/>
      <c r="AE426" s="587" t="str">
        <f t="shared" si="130"/>
        <v/>
      </c>
    </row>
    <row r="427" spans="2:31">
      <c r="B427" s="586" t="s">
        <v>357</v>
      </c>
      <c r="C427" s="587">
        <v>1.95</v>
      </c>
      <c r="D427" s="588" t="s">
        <v>957</v>
      </c>
      <c r="E427" s="587">
        <v>1.6</v>
      </c>
      <c r="F427" s="587">
        <f>C427*E427</f>
        <v>3.12</v>
      </c>
      <c r="G427" s="587">
        <f>(C427+E427)*2</f>
        <v>7.1</v>
      </c>
      <c r="H427" s="589" t="s">
        <v>957</v>
      </c>
      <c r="I427" s="587">
        <f t="shared" si="141"/>
        <v>3.12</v>
      </c>
      <c r="J427" s="589" t="s">
        <v>957</v>
      </c>
      <c r="K427" s="587">
        <f t="shared" si="128"/>
        <v>7.1</v>
      </c>
      <c r="L427" s="587"/>
      <c r="M427" s="587" t="str">
        <f t="shared" si="125"/>
        <v/>
      </c>
      <c r="N427" s="587"/>
      <c r="O427" s="587" t="str">
        <f t="shared" si="142"/>
        <v/>
      </c>
      <c r="P427" s="587"/>
      <c r="Q427" s="587" t="str">
        <f t="shared" si="129"/>
        <v/>
      </c>
      <c r="R427" s="587"/>
      <c r="S427" s="587" t="str">
        <f t="shared" si="143"/>
        <v/>
      </c>
      <c r="T427" s="587"/>
      <c r="U427" s="587" t="str">
        <f t="shared" si="144"/>
        <v/>
      </c>
      <c r="V427" s="587" t="s">
        <v>957</v>
      </c>
      <c r="W427" s="587">
        <f t="shared" si="145"/>
        <v>3.12</v>
      </c>
      <c r="X427" s="587"/>
      <c r="Y427" s="587" t="str">
        <f t="shared" si="133"/>
        <v/>
      </c>
      <c r="Z427" s="587"/>
      <c r="AA427" s="587" t="str">
        <f t="shared" si="131"/>
        <v/>
      </c>
      <c r="AB427" s="587"/>
      <c r="AC427" s="587" t="str">
        <f t="shared" si="132"/>
        <v/>
      </c>
      <c r="AD427" s="586"/>
      <c r="AE427" s="587" t="str">
        <f t="shared" si="130"/>
        <v/>
      </c>
    </row>
    <row r="428" spans="2:31">
      <c r="B428" s="586" t="s">
        <v>356</v>
      </c>
      <c r="C428" s="587">
        <v>1.95</v>
      </c>
      <c r="D428" s="588" t="s">
        <v>957</v>
      </c>
      <c r="E428" s="587">
        <v>1.6</v>
      </c>
      <c r="F428" s="587">
        <f>C428*E428</f>
        <v>3.12</v>
      </c>
      <c r="G428" s="587">
        <f>(C428+E428)*2</f>
        <v>7.1</v>
      </c>
      <c r="H428" s="589" t="s">
        <v>957</v>
      </c>
      <c r="I428" s="587">
        <f t="shared" si="141"/>
        <v>3.12</v>
      </c>
      <c r="J428" s="589" t="s">
        <v>957</v>
      </c>
      <c r="K428" s="587">
        <f t="shared" si="128"/>
        <v>7.1</v>
      </c>
      <c r="L428" s="587"/>
      <c r="M428" s="587" t="str">
        <f t="shared" si="125"/>
        <v/>
      </c>
      <c r="N428" s="587"/>
      <c r="O428" s="587" t="str">
        <f t="shared" si="142"/>
        <v/>
      </c>
      <c r="P428" s="587"/>
      <c r="Q428" s="587" t="str">
        <f t="shared" si="129"/>
        <v/>
      </c>
      <c r="R428" s="587"/>
      <c r="S428" s="587" t="str">
        <f t="shared" si="143"/>
        <v/>
      </c>
      <c r="T428" s="587"/>
      <c r="U428" s="587" t="str">
        <f t="shared" si="144"/>
        <v/>
      </c>
      <c r="V428" s="587" t="s">
        <v>957</v>
      </c>
      <c r="W428" s="587">
        <f t="shared" si="145"/>
        <v>3.12</v>
      </c>
      <c r="X428" s="587"/>
      <c r="Y428" s="587" t="str">
        <f t="shared" si="133"/>
        <v/>
      </c>
      <c r="Z428" s="587"/>
      <c r="AA428" s="587" t="str">
        <f t="shared" si="131"/>
        <v/>
      </c>
      <c r="AB428" s="587"/>
      <c r="AC428" s="587" t="str">
        <f t="shared" si="132"/>
        <v/>
      </c>
      <c r="AD428" s="586"/>
      <c r="AE428" s="587" t="str">
        <f t="shared" si="130"/>
        <v/>
      </c>
    </row>
    <row r="429" spans="2:31">
      <c r="B429" s="586" t="s">
        <v>307</v>
      </c>
      <c r="C429" s="587">
        <v>2.25</v>
      </c>
      <c r="D429" s="588" t="s">
        <v>957</v>
      </c>
      <c r="E429" s="587">
        <v>3.65</v>
      </c>
      <c r="F429" s="587">
        <f>C429*E429</f>
        <v>8.2125000000000004</v>
      </c>
      <c r="G429" s="587">
        <f>(C429+E429)*2</f>
        <v>11.8</v>
      </c>
      <c r="H429" s="589"/>
      <c r="I429" s="587" t="str">
        <f t="shared" si="141"/>
        <v/>
      </c>
      <c r="J429" s="589"/>
      <c r="K429" s="587" t="str">
        <f t="shared" si="128"/>
        <v/>
      </c>
      <c r="L429" s="587" t="s">
        <v>952</v>
      </c>
      <c r="M429" s="587">
        <f t="shared" si="125"/>
        <v>8.2125000000000004</v>
      </c>
      <c r="N429" s="587"/>
      <c r="O429" s="587" t="str">
        <f t="shared" si="142"/>
        <v/>
      </c>
      <c r="P429" s="587"/>
      <c r="Q429" s="587" t="str">
        <f t="shared" si="129"/>
        <v/>
      </c>
      <c r="R429" s="587"/>
      <c r="S429" s="587" t="str">
        <f t="shared" si="143"/>
        <v/>
      </c>
      <c r="T429" s="587"/>
      <c r="U429" s="587" t="str">
        <f t="shared" si="144"/>
        <v/>
      </c>
      <c r="V429" s="587" t="s">
        <v>957</v>
      </c>
      <c r="W429" s="587">
        <f t="shared" si="145"/>
        <v>8.2125000000000004</v>
      </c>
      <c r="X429" s="587"/>
      <c r="Y429" s="587" t="str">
        <f t="shared" si="133"/>
        <v/>
      </c>
      <c r="Z429" s="587"/>
      <c r="AA429" s="587" t="str">
        <f t="shared" si="131"/>
        <v/>
      </c>
      <c r="AB429" s="587"/>
      <c r="AC429" s="587" t="str">
        <f t="shared" si="132"/>
        <v/>
      </c>
      <c r="AD429" s="586"/>
      <c r="AE429" s="587" t="str">
        <f t="shared" si="130"/>
        <v/>
      </c>
    </row>
    <row r="430" spans="2:31">
      <c r="B430" s="586" t="s">
        <v>534</v>
      </c>
      <c r="C430" s="587"/>
      <c r="D430" s="588"/>
      <c r="E430" s="587"/>
      <c r="F430" s="587">
        <v>37.72</v>
      </c>
      <c r="G430" s="587">
        <v>26.3</v>
      </c>
      <c r="H430" s="589" t="s">
        <v>957</v>
      </c>
      <c r="I430" s="587">
        <f t="shared" si="141"/>
        <v>37.72</v>
      </c>
      <c r="J430" s="589" t="s">
        <v>957</v>
      </c>
      <c r="K430" s="587">
        <f t="shared" si="128"/>
        <v>26.3</v>
      </c>
      <c r="L430" s="587"/>
      <c r="M430" s="587" t="str">
        <f t="shared" si="125"/>
        <v/>
      </c>
      <c r="N430" s="587"/>
      <c r="O430" s="587" t="str">
        <f t="shared" si="142"/>
        <v/>
      </c>
      <c r="P430" s="587"/>
      <c r="Q430" s="587" t="str">
        <f t="shared" si="129"/>
        <v/>
      </c>
      <c r="R430" s="587"/>
      <c r="S430" s="587" t="str">
        <f t="shared" si="143"/>
        <v/>
      </c>
      <c r="T430" s="587"/>
      <c r="U430" s="587" t="str">
        <f t="shared" si="144"/>
        <v/>
      </c>
      <c r="V430" s="587" t="s">
        <v>957</v>
      </c>
      <c r="W430" s="587">
        <f t="shared" si="145"/>
        <v>37.72</v>
      </c>
      <c r="X430" s="587"/>
      <c r="Y430" s="587" t="str">
        <f t="shared" si="133"/>
        <v/>
      </c>
      <c r="Z430" s="587"/>
      <c r="AA430" s="587" t="str">
        <f t="shared" si="131"/>
        <v/>
      </c>
      <c r="AB430" s="587"/>
      <c r="AC430" s="587" t="str">
        <f t="shared" si="132"/>
        <v/>
      </c>
      <c r="AD430" s="586"/>
      <c r="AE430" s="587" t="str">
        <f t="shared" si="130"/>
        <v/>
      </c>
    </row>
    <row r="431" spans="2:31">
      <c r="B431" s="586" t="s">
        <v>428</v>
      </c>
      <c r="C431" s="587"/>
      <c r="D431" s="588"/>
      <c r="E431" s="587"/>
      <c r="F431" s="587">
        <v>4.6500000000000004</v>
      </c>
      <c r="G431" s="587">
        <v>9.1999999999999993</v>
      </c>
      <c r="H431" s="589" t="s">
        <v>957</v>
      </c>
      <c r="I431" s="587">
        <f t="shared" si="141"/>
        <v>4.6500000000000004</v>
      </c>
      <c r="J431" s="589" t="s">
        <v>957</v>
      </c>
      <c r="K431" s="587">
        <f t="shared" si="128"/>
        <v>9.1999999999999993</v>
      </c>
      <c r="L431" s="587"/>
      <c r="M431" s="587" t="str">
        <f t="shared" si="125"/>
        <v/>
      </c>
      <c r="N431" s="587"/>
      <c r="O431" s="587" t="str">
        <f t="shared" si="142"/>
        <v/>
      </c>
      <c r="P431" s="587"/>
      <c r="Q431" s="587" t="str">
        <f t="shared" si="129"/>
        <v/>
      </c>
      <c r="R431" s="587"/>
      <c r="S431" s="587" t="str">
        <f t="shared" si="143"/>
        <v/>
      </c>
      <c r="T431" s="587"/>
      <c r="U431" s="587" t="str">
        <f t="shared" si="144"/>
        <v/>
      </c>
      <c r="V431" s="587" t="s">
        <v>957</v>
      </c>
      <c r="W431" s="587">
        <f t="shared" si="145"/>
        <v>4.6500000000000004</v>
      </c>
      <c r="X431" s="587"/>
      <c r="Y431" s="587" t="str">
        <f t="shared" si="133"/>
        <v/>
      </c>
      <c r="Z431" s="587"/>
      <c r="AA431" s="587" t="str">
        <f t="shared" si="131"/>
        <v/>
      </c>
      <c r="AB431" s="587"/>
      <c r="AC431" s="587" t="str">
        <f t="shared" si="132"/>
        <v/>
      </c>
      <c r="AD431" s="586"/>
      <c r="AE431" s="587" t="str">
        <f t="shared" si="130"/>
        <v/>
      </c>
    </row>
    <row r="432" spans="2:31">
      <c r="B432" s="586" t="s">
        <v>535</v>
      </c>
      <c r="C432" s="587"/>
      <c r="D432" s="588"/>
      <c r="E432" s="587"/>
      <c r="F432" s="587">
        <v>37.72</v>
      </c>
      <c r="G432" s="587">
        <v>26.3</v>
      </c>
      <c r="H432" s="589" t="s">
        <v>957</v>
      </c>
      <c r="I432" s="587">
        <f t="shared" si="141"/>
        <v>37.72</v>
      </c>
      <c r="J432" s="589" t="s">
        <v>957</v>
      </c>
      <c r="K432" s="587">
        <f t="shared" si="128"/>
        <v>26.3</v>
      </c>
      <c r="L432" s="587"/>
      <c r="M432" s="587" t="str">
        <f t="shared" si="125"/>
        <v/>
      </c>
      <c r="N432" s="587"/>
      <c r="O432" s="587" t="str">
        <f t="shared" si="142"/>
        <v/>
      </c>
      <c r="P432" s="587"/>
      <c r="Q432" s="587" t="str">
        <f t="shared" si="129"/>
        <v/>
      </c>
      <c r="R432" s="587"/>
      <c r="S432" s="587" t="str">
        <f t="shared" si="143"/>
        <v/>
      </c>
      <c r="T432" s="587"/>
      <c r="U432" s="587" t="str">
        <f t="shared" si="144"/>
        <v/>
      </c>
      <c r="V432" s="587" t="s">
        <v>957</v>
      </c>
      <c r="W432" s="587">
        <f t="shared" si="145"/>
        <v>37.72</v>
      </c>
      <c r="X432" s="587"/>
      <c r="Y432" s="587" t="str">
        <f t="shared" si="133"/>
        <v/>
      </c>
      <c r="Z432" s="587"/>
      <c r="AA432" s="587" t="str">
        <f t="shared" si="131"/>
        <v/>
      </c>
      <c r="AB432" s="587"/>
      <c r="AC432" s="587" t="str">
        <f t="shared" si="132"/>
        <v/>
      </c>
      <c r="AD432" s="586"/>
      <c r="AE432" s="587" t="str">
        <f t="shared" si="130"/>
        <v/>
      </c>
    </row>
    <row r="433" spans="2:31">
      <c r="B433" s="586" t="s">
        <v>428</v>
      </c>
      <c r="C433" s="587"/>
      <c r="D433" s="588"/>
      <c r="E433" s="587"/>
      <c r="F433" s="587">
        <v>4.6500000000000004</v>
      </c>
      <c r="G433" s="587">
        <v>9.1999999999999993</v>
      </c>
      <c r="H433" s="589" t="s">
        <v>957</v>
      </c>
      <c r="I433" s="587">
        <f t="shared" si="141"/>
        <v>4.6500000000000004</v>
      </c>
      <c r="J433" s="589" t="s">
        <v>957</v>
      </c>
      <c r="K433" s="587">
        <f t="shared" si="128"/>
        <v>9.1999999999999993</v>
      </c>
      <c r="L433" s="587"/>
      <c r="M433" s="587" t="str">
        <f t="shared" si="125"/>
        <v/>
      </c>
      <c r="N433" s="587"/>
      <c r="O433" s="587" t="str">
        <f t="shared" si="142"/>
        <v/>
      </c>
      <c r="P433" s="587"/>
      <c r="Q433" s="587" t="str">
        <f t="shared" si="129"/>
        <v/>
      </c>
      <c r="R433" s="587"/>
      <c r="S433" s="587" t="str">
        <f t="shared" si="143"/>
        <v/>
      </c>
      <c r="T433" s="587"/>
      <c r="U433" s="587" t="str">
        <f t="shared" si="144"/>
        <v/>
      </c>
      <c r="V433" s="587" t="s">
        <v>957</v>
      </c>
      <c r="W433" s="587">
        <f t="shared" si="145"/>
        <v>4.6500000000000004</v>
      </c>
      <c r="X433" s="587"/>
      <c r="Y433" s="587" t="str">
        <f t="shared" si="133"/>
        <v/>
      </c>
      <c r="Z433" s="587"/>
      <c r="AA433" s="587" t="str">
        <f t="shared" si="131"/>
        <v/>
      </c>
      <c r="AB433" s="587"/>
      <c r="AC433" s="587" t="str">
        <f t="shared" si="132"/>
        <v/>
      </c>
      <c r="AD433" s="586"/>
      <c r="AE433" s="587" t="str">
        <f t="shared" si="130"/>
        <v/>
      </c>
    </row>
    <row r="434" spans="2:31">
      <c r="B434" s="586" t="s">
        <v>536</v>
      </c>
      <c r="C434" s="587"/>
      <c r="D434" s="588"/>
      <c r="E434" s="587"/>
      <c r="F434" s="587">
        <v>37.72</v>
      </c>
      <c r="G434" s="587">
        <v>26.3</v>
      </c>
      <c r="H434" s="589" t="s">
        <v>957</v>
      </c>
      <c r="I434" s="587">
        <f t="shared" si="141"/>
        <v>37.72</v>
      </c>
      <c r="J434" s="589" t="s">
        <v>957</v>
      </c>
      <c r="K434" s="587">
        <f t="shared" si="128"/>
        <v>26.3</v>
      </c>
      <c r="L434" s="587"/>
      <c r="M434" s="587" t="str">
        <f t="shared" si="125"/>
        <v/>
      </c>
      <c r="N434" s="587"/>
      <c r="O434" s="587" t="str">
        <f t="shared" si="142"/>
        <v/>
      </c>
      <c r="P434" s="587"/>
      <c r="Q434" s="587" t="str">
        <f t="shared" si="129"/>
        <v/>
      </c>
      <c r="R434" s="587"/>
      <c r="S434" s="587" t="str">
        <f t="shared" si="143"/>
        <v/>
      </c>
      <c r="T434" s="587"/>
      <c r="U434" s="587" t="str">
        <f t="shared" si="144"/>
        <v/>
      </c>
      <c r="V434" s="587" t="s">
        <v>957</v>
      </c>
      <c r="W434" s="587">
        <f t="shared" si="145"/>
        <v>37.72</v>
      </c>
      <c r="X434" s="587"/>
      <c r="Y434" s="587" t="str">
        <f t="shared" si="133"/>
        <v/>
      </c>
      <c r="Z434" s="587"/>
      <c r="AA434" s="587" t="str">
        <f t="shared" si="131"/>
        <v/>
      </c>
      <c r="AB434" s="587"/>
      <c r="AC434" s="587" t="str">
        <f t="shared" si="132"/>
        <v/>
      </c>
      <c r="AD434" s="586"/>
      <c r="AE434" s="587" t="str">
        <f t="shared" si="130"/>
        <v/>
      </c>
    </row>
    <row r="435" spans="2:31">
      <c r="B435" s="586" t="s">
        <v>428</v>
      </c>
      <c r="C435" s="587"/>
      <c r="D435" s="588"/>
      <c r="E435" s="587"/>
      <c r="F435" s="587">
        <v>4.6500000000000004</v>
      </c>
      <c r="G435" s="587">
        <v>9.1999999999999993</v>
      </c>
      <c r="H435" s="589" t="s">
        <v>957</v>
      </c>
      <c r="I435" s="587">
        <f t="shared" si="141"/>
        <v>4.6500000000000004</v>
      </c>
      <c r="J435" s="589" t="s">
        <v>957</v>
      </c>
      <c r="K435" s="587">
        <f t="shared" si="128"/>
        <v>9.1999999999999993</v>
      </c>
      <c r="L435" s="587"/>
      <c r="M435" s="587" t="str">
        <f t="shared" si="125"/>
        <v/>
      </c>
      <c r="N435" s="587"/>
      <c r="O435" s="587" t="str">
        <f t="shared" si="142"/>
        <v/>
      </c>
      <c r="P435" s="587"/>
      <c r="Q435" s="587" t="str">
        <f t="shared" si="129"/>
        <v/>
      </c>
      <c r="R435" s="587"/>
      <c r="S435" s="587" t="str">
        <f t="shared" si="143"/>
        <v/>
      </c>
      <c r="T435" s="587"/>
      <c r="U435" s="587" t="str">
        <f t="shared" si="144"/>
        <v/>
      </c>
      <c r="V435" s="587" t="s">
        <v>957</v>
      </c>
      <c r="W435" s="587">
        <f t="shared" si="145"/>
        <v>4.6500000000000004</v>
      </c>
      <c r="X435" s="587"/>
      <c r="Y435" s="587" t="str">
        <f t="shared" si="133"/>
        <v/>
      </c>
      <c r="Z435" s="587"/>
      <c r="AA435" s="587" t="str">
        <f t="shared" si="131"/>
        <v/>
      </c>
      <c r="AB435" s="587"/>
      <c r="AC435" s="587" t="str">
        <f t="shared" si="132"/>
        <v/>
      </c>
      <c r="AD435" s="586"/>
      <c r="AE435" s="587" t="str">
        <f t="shared" si="130"/>
        <v/>
      </c>
    </row>
    <row r="436" spans="2:31">
      <c r="B436" s="586" t="s">
        <v>537</v>
      </c>
      <c r="C436" s="587"/>
      <c r="D436" s="588"/>
      <c r="E436" s="587"/>
      <c r="F436" s="587">
        <v>37.72</v>
      </c>
      <c r="G436" s="587">
        <v>26.3</v>
      </c>
      <c r="H436" s="589" t="s">
        <v>957</v>
      </c>
      <c r="I436" s="587">
        <f t="shared" si="141"/>
        <v>37.72</v>
      </c>
      <c r="J436" s="589" t="s">
        <v>957</v>
      </c>
      <c r="K436" s="587">
        <f t="shared" si="128"/>
        <v>26.3</v>
      </c>
      <c r="L436" s="587"/>
      <c r="M436" s="587" t="str">
        <f t="shared" si="125"/>
        <v/>
      </c>
      <c r="N436" s="587"/>
      <c r="O436" s="587" t="str">
        <f t="shared" si="142"/>
        <v/>
      </c>
      <c r="P436" s="587"/>
      <c r="Q436" s="587" t="str">
        <f t="shared" si="129"/>
        <v/>
      </c>
      <c r="R436" s="587"/>
      <c r="S436" s="587" t="str">
        <f t="shared" si="143"/>
        <v/>
      </c>
      <c r="T436" s="587"/>
      <c r="U436" s="587" t="str">
        <f t="shared" si="144"/>
        <v/>
      </c>
      <c r="V436" s="587" t="s">
        <v>957</v>
      </c>
      <c r="W436" s="587">
        <f t="shared" si="145"/>
        <v>37.72</v>
      </c>
      <c r="X436" s="587"/>
      <c r="Y436" s="587" t="str">
        <f t="shared" si="133"/>
        <v/>
      </c>
      <c r="Z436" s="587"/>
      <c r="AA436" s="587" t="str">
        <f t="shared" si="131"/>
        <v/>
      </c>
      <c r="AB436" s="587"/>
      <c r="AC436" s="587" t="str">
        <f t="shared" si="132"/>
        <v/>
      </c>
      <c r="AD436" s="586"/>
      <c r="AE436" s="587" t="str">
        <f t="shared" si="130"/>
        <v/>
      </c>
    </row>
    <row r="437" spans="2:31">
      <c r="B437" s="586" t="s">
        <v>428</v>
      </c>
      <c r="C437" s="587"/>
      <c r="D437" s="588"/>
      <c r="E437" s="587"/>
      <c r="F437" s="587">
        <v>4.6500000000000004</v>
      </c>
      <c r="G437" s="587">
        <v>9.1999999999999993</v>
      </c>
      <c r="H437" s="589" t="s">
        <v>957</v>
      </c>
      <c r="I437" s="587">
        <f t="shared" si="141"/>
        <v>4.6500000000000004</v>
      </c>
      <c r="J437" s="589" t="s">
        <v>957</v>
      </c>
      <c r="K437" s="587">
        <f t="shared" si="128"/>
        <v>9.1999999999999993</v>
      </c>
      <c r="L437" s="587"/>
      <c r="M437" s="587" t="str">
        <f t="shared" si="125"/>
        <v/>
      </c>
      <c r="N437" s="587"/>
      <c r="O437" s="587" t="str">
        <f t="shared" si="142"/>
        <v/>
      </c>
      <c r="P437" s="587"/>
      <c r="Q437" s="587" t="str">
        <f t="shared" si="129"/>
        <v/>
      </c>
      <c r="R437" s="587"/>
      <c r="S437" s="587" t="str">
        <f t="shared" si="143"/>
        <v/>
      </c>
      <c r="T437" s="587"/>
      <c r="U437" s="587" t="str">
        <f t="shared" si="144"/>
        <v/>
      </c>
      <c r="V437" s="587" t="s">
        <v>957</v>
      </c>
      <c r="W437" s="587">
        <f t="shared" si="145"/>
        <v>4.6500000000000004</v>
      </c>
      <c r="X437" s="587"/>
      <c r="Y437" s="587" t="str">
        <f t="shared" si="133"/>
        <v/>
      </c>
      <c r="Z437" s="587"/>
      <c r="AA437" s="587" t="str">
        <f t="shared" si="131"/>
        <v/>
      </c>
      <c r="AB437" s="587"/>
      <c r="AC437" s="587" t="str">
        <f t="shared" si="132"/>
        <v/>
      </c>
      <c r="AD437" s="586"/>
      <c r="AE437" s="587" t="str">
        <f t="shared" si="130"/>
        <v/>
      </c>
    </row>
    <row r="438" spans="2:31">
      <c r="B438" s="586" t="s">
        <v>538</v>
      </c>
      <c r="C438" s="587"/>
      <c r="D438" s="588"/>
      <c r="E438" s="587"/>
      <c r="F438" s="587">
        <v>36.79</v>
      </c>
      <c r="G438" s="587">
        <v>25.43</v>
      </c>
      <c r="H438" s="589" t="s">
        <v>957</v>
      </c>
      <c r="I438" s="587">
        <f t="shared" si="141"/>
        <v>36.79</v>
      </c>
      <c r="J438" s="589" t="s">
        <v>957</v>
      </c>
      <c r="K438" s="587">
        <f t="shared" si="128"/>
        <v>25.43</v>
      </c>
      <c r="L438" s="587"/>
      <c r="M438" s="587" t="str">
        <f t="shared" si="125"/>
        <v/>
      </c>
      <c r="N438" s="587"/>
      <c r="O438" s="587" t="str">
        <f t="shared" si="142"/>
        <v/>
      </c>
      <c r="P438" s="587"/>
      <c r="Q438" s="587" t="str">
        <f t="shared" si="129"/>
        <v/>
      </c>
      <c r="R438" s="587"/>
      <c r="S438" s="587" t="str">
        <f t="shared" si="143"/>
        <v/>
      </c>
      <c r="T438" s="587"/>
      <c r="U438" s="587" t="str">
        <f t="shared" si="144"/>
        <v/>
      </c>
      <c r="V438" s="587" t="s">
        <v>957</v>
      </c>
      <c r="W438" s="587">
        <f t="shared" si="145"/>
        <v>36.79</v>
      </c>
      <c r="X438" s="587"/>
      <c r="Y438" s="587" t="str">
        <f t="shared" si="133"/>
        <v/>
      </c>
      <c r="Z438" s="587"/>
      <c r="AA438" s="587" t="str">
        <f t="shared" si="131"/>
        <v/>
      </c>
      <c r="AB438" s="587"/>
      <c r="AC438" s="587" t="str">
        <f t="shared" si="132"/>
        <v/>
      </c>
      <c r="AD438" s="586"/>
      <c r="AE438" s="587" t="str">
        <f t="shared" si="130"/>
        <v/>
      </c>
    </row>
    <row r="439" spans="2:31">
      <c r="B439" s="586" t="s">
        <v>428</v>
      </c>
      <c r="C439" s="587"/>
      <c r="D439" s="588"/>
      <c r="E439" s="587"/>
      <c r="F439" s="587">
        <v>4.6500000000000004</v>
      </c>
      <c r="G439" s="587">
        <v>9.1999999999999993</v>
      </c>
      <c r="H439" s="589" t="s">
        <v>957</v>
      </c>
      <c r="I439" s="587">
        <f t="shared" si="141"/>
        <v>4.6500000000000004</v>
      </c>
      <c r="J439" s="589" t="s">
        <v>957</v>
      </c>
      <c r="K439" s="587">
        <f t="shared" si="128"/>
        <v>9.1999999999999993</v>
      </c>
      <c r="L439" s="587"/>
      <c r="M439" s="587" t="str">
        <f t="shared" ref="M439:M502" si="146">IF(L439="x",$F439,"")</f>
        <v/>
      </c>
      <c r="N439" s="587"/>
      <c r="O439" s="587" t="str">
        <f t="shared" si="142"/>
        <v/>
      </c>
      <c r="P439" s="587"/>
      <c r="Q439" s="587" t="str">
        <f t="shared" si="129"/>
        <v/>
      </c>
      <c r="R439" s="587"/>
      <c r="S439" s="587" t="str">
        <f t="shared" si="143"/>
        <v/>
      </c>
      <c r="T439" s="587"/>
      <c r="U439" s="587" t="str">
        <f t="shared" si="144"/>
        <v/>
      </c>
      <c r="V439" s="587" t="s">
        <v>957</v>
      </c>
      <c r="W439" s="587">
        <f t="shared" si="145"/>
        <v>4.6500000000000004</v>
      </c>
      <c r="X439" s="587"/>
      <c r="Y439" s="587" t="str">
        <f t="shared" si="133"/>
        <v/>
      </c>
      <c r="Z439" s="587"/>
      <c r="AA439" s="587" t="str">
        <f t="shared" si="131"/>
        <v/>
      </c>
      <c r="AB439" s="587"/>
      <c r="AC439" s="587" t="str">
        <f t="shared" si="132"/>
        <v/>
      </c>
      <c r="AD439" s="586"/>
      <c r="AE439" s="587" t="str">
        <f t="shared" si="130"/>
        <v/>
      </c>
    </row>
    <row r="440" spans="2:31">
      <c r="B440" s="586" t="s">
        <v>421</v>
      </c>
      <c r="C440" s="587">
        <v>5.15</v>
      </c>
      <c r="D440" s="588" t="s">
        <v>957</v>
      </c>
      <c r="E440" s="587">
        <v>2.23</v>
      </c>
      <c r="F440" s="587">
        <f>C440*E440</f>
        <v>11.484500000000001</v>
      </c>
      <c r="G440" s="587">
        <f>(C440+E440)*2</f>
        <v>14.760000000000002</v>
      </c>
      <c r="H440" s="589" t="s">
        <v>957</v>
      </c>
      <c r="I440" s="587">
        <f t="shared" si="141"/>
        <v>11.484500000000001</v>
      </c>
      <c r="J440" s="589" t="s">
        <v>957</v>
      </c>
      <c r="K440" s="587">
        <f t="shared" si="128"/>
        <v>14.760000000000002</v>
      </c>
      <c r="L440" s="587"/>
      <c r="M440" s="587" t="str">
        <f t="shared" si="146"/>
        <v/>
      </c>
      <c r="N440" s="587"/>
      <c r="O440" s="587" t="str">
        <f t="shared" si="142"/>
        <v/>
      </c>
      <c r="P440" s="587"/>
      <c r="Q440" s="587" t="str">
        <f t="shared" si="129"/>
        <v/>
      </c>
      <c r="R440" s="587"/>
      <c r="S440" s="587" t="str">
        <f t="shared" si="143"/>
        <v/>
      </c>
      <c r="T440" s="587"/>
      <c r="U440" s="587" t="str">
        <f t="shared" si="144"/>
        <v/>
      </c>
      <c r="V440" s="587" t="s">
        <v>957</v>
      </c>
      <c r="W440" s="587">
        <f t="shared" si="145"/>
        <v>11.484500000000001</v>
      </c>
      <c r="X440" s="587"/>
      <c r="Y440" s="587" t="str">
        <f t="shared" si="133"/>
        <v/>
      </c>
      <c r="Z440" s="587"/>
      <c r="AA440" s="587" t="str">
        <f t="shared" si="131"/>
        <v/>
      </c>
      <c r="AB440" s="587"/>
      <c r="AC440" s="587" t="str">
        <f t="shared" si="132"/>
        <v/>
      </c>
      <c r="AD440" s="586"/>
      <c r="AE440" s="587" t="str">
        <f t="shared" si="130"/>
        <v/>
      </c>
    </row>
    <row r="441" spans="2:31">
      <c r="B441" s="586" t="s">
        <v>473</v>
      </c>
      <c r="C441" s="587">
        <v>5.15</v>
      </c>
      <c r="D441" s="588" t="s">
        <v>957</v>
      </c>
      <c r="E441" s="587">
        <v>2.609</v>
      </c>
      <c r="F441" s="587">
        <f>C441*E441</f>
        <v>13.436350000000001</v>
      </c>
      <c r="G441" s="587">
        <f>(C441+E441)*2</f>
        <v>15.518000000000001</v>
      </c>
      <c r="H441" s="589" t="s">
        <v>957</v>
      </c>
      <c r="I441" s="587">
        <f t="shared" si="141"/>
        <v>13.436350000000001</v>
      </c>
      <c r="J441" s="589" t="s">
        <v>957</v>
      </c>
      <c r="K441" s="587">
        <f t="shared" si="128"/>
        <v>15.518000000000001</v>
      </c>
      <c r="L441" s="587"/>
      <c r="M441" s="587" t="str">
        <f t="shared" si="146"/>
        <v/>
      </c>
      <c r="N441" s="587"/>
      <c r="O441" s="587" t="str">
        <f t="shared" si="142"/>
        <v/>
      </c>
      <c r="P441" s="587"/>
      <c r="Q441" s="587" t="str">
        <f t="shared" si="129"/>
        <v/>
      </c>
      <c r="R441" s="587"/>
      <c r="S441" s="587" t="str">
        <f t="shared" si="143"/>
        <v/>
      </c>
      <c r="T441" s="587"/>
      <c r="U441" s="587" t="str">
        <f t="shared" si="144"/>
        <v/>
      </c>
      <c r="V441" s="587" t="s">
        <v>957</v>
      </c>
      <c r="W441" s="587">
        <f t="shared" si="145"/>
        <v>13.436350000000001</v>
      </c>
      <c r="X441" s="587"/>
      <c r="Y441" s="587" t="str">
        <f t="shared" si="133"/>
        <v/>
      </c>
      <c r="Z441" s="587"/>
      <c r="AA441" s="587" t="str">
        <f t="shared" si="131"/>
        <v/>
      </c>
      <c r="AB441" s="587"/>
      <c r="AC441" s="587" t="str">
        <f t="shared" si="132"/>
        <v/>
      </c>
      <c r="AD441" s="586"/>
      <c r="AE441" s="587" t="str">
        <f t="shared" si="130"/>
        <v/>
      </c>
    </row>
    <row r="442" spans="2:31">
      <c r="B442" s="586" t="s">
        <v>430</v>
      </c>
      <c r="C442" s="587">
        <v>5.15</v>
      </c>
      <c r="D442" s="588" t="s">
        <v>957</v>
      </c>
      <c r="E442" s="587">
        <v>3.5</v>
      </c>
      <c r="F442" s="587">
        <f>C442*E442</f>
        <v>18.025000000000002</v>
      </c>
      <c r="G442" s="587">
        <f>(C442+E442)*2</f>
        <v>17.3</v>
      </c>
      <c r="H442" s="589" t="s">
        <v>957</v>
      </c>
      <c r="I442" s="587">
        <f t="shared" si="141"/>
        <v>18.025000000000002</v>
      </c>
      <c r="J442" s="589" t="s">
        <v>957</v>
      </c>
      <c r="K442" s="587">
        <f t="shared" si="128"/>
        <v>17.3</v>
      </c>
      <c r="L442" s="587"/>
      <c r="M442" s="587" t="str">
        <f t="shared" si="146"/>
        <v/>
      </c>
      <c r="N442" s="587"/>
      <c r="O442" s="587" t="str">
        <f t="shared" si="142"/>
        <v/>
      </c>
      <c r="P442" s="587"/>
      <c r="Q442" s="587" t="str">
        <f t="shared" si="129"/>
        <v/>
      </c>
      <c r="R442" s="587"/>
      <c r="S442" s="587" t="str">
        <f t="shared" si="143"/>
        <v/>
      </c>
      <c r="T442" s="587"/>
      <c r="U442" s="587" t="str">
        <f t="shared" si="144"/>
        <v/>
      </c>
      <c r="V442" s="587" t="s">
        <v>957</v>
      </c>
      <c r="W442" s="587">
        <f t="shared" si="145"/>
        <v>18.025000000000002</v>
      </c>
      <c r="X442" s="587"/>
      <c r="Y442" s="587" t="str">
        <f t="shared" si="133"/>
        <v/>
      </c>
      <c r="Z442" s="587"/>
      <c r="AA442" s="587" t="str">
        <f t="shared" si="131"/>
        <v/>
      </c>
      <c r="AB442" s="587"/>
      <c r="AC442" s="587" t="str">
        <f t="shared" si="132"/>
        <v/>
      </c>
      <c r="AD442" s="586"/>
      <c r="AE442" s="587" t="str">
        <f t="shared" si="130"/>
        <v/>
      </c>
    </row>
    <row r="443" spans="2:31">
      <c r="B443" s="586" t="s">
        <v>428</v>
      </c>
      <c r="C443" s="587"/>
      <c r="D443" s="588"/>
      <c r="E443" s="587"/>
      <c r="F443" s="587">
        <v>3.84</v>
      </c>
      <c r="G443" s="587">
        <v>8.26</v>
      </c>
      <c r="H443" s="589" t="s">
        <v>957</v>
      </c>
      <c r="I443" s="587">
        <f t="shared" si="141"/>
        <v>3.84</v>
      </c>
      <c r="J443" s="589" t="s">
        <v>957</v>
      </c>
      <c r="K443" s="587">
        <f t="shared" si="128"/>
        <v>8.26</v>
      </c>
      <c r="L443" s="587"/>
      <c r="M443" s="587" t="str">
        <f t="shared" si="146"/>
        <v/>
      </c>
      <c r="N443" s="587"/>
      <c r="O443" s="587" t="str">
        <f t="shared" si="142"/>
        <v/>
      </c>
      <c r="P443" s="587"/>
      <c r="Q443" s="587" t="str">
        <f t="shared" si="129"/>
        <v/>
      </c>
      <c r="R443" s="587"/>
      <c r="S443" s="587" t="str">
        <f t="shared" si="143"/>
        <v/>
      </c>
      <c r="T443" s="587"/>
      <c r="U443" s="587" t="str">
        <f t="shared" si="144"/>
        <v/>
      </c>
      <c r="V443" s="587" t="s">
        <v>957</v>
      </c>
      <c r="W443" s="587">
        <f t="shared" si="145"/>
        <v>3.84</v>
      </c>
      <c r="X443" s="587"/>
      <c r="Y443" s="587" t="str">
        <f t="shared" si="133"/>
        <v/>
      </c>
      <c r="Z443" s="587"/>
      <c r="AA443" s="587" t="str">
        <f t="shared" si="131"/>
        <v/>
      </c>
      <c r="AB443" s="587"/>
      <c r="AC443" s="587" t="str">
        <f t="shared" si="132"/>
        <v/>
      </c>
      <c r="AD443" s="586"/>
      <c r="AE443" s="587" t="str">
        <f t="shared" si="130"/>
        <v/>
      </c>
    </row>
    <row r="444" spans="2:31">
      <c r="B444" s="586" t="s">
        <v>430</v>
      </c>
      <c r="C444" s="587">
        <v>5.15</v>
      </c>
      <c r="D444" s="588" t="s">
        <v>957</v>
      </c>
      <c r="E444" s="587">
        <v>3.5</v>
      </c>
      <c r="F444" s="587">
        <f>C444*E444</f>
        <v>18.025000000000002</v>
      </c>
      <c r="G444" s="587">
        <f>(C444+E444)*2</f>
        <v>17.3</v>
      </c>
      <c r="H444" s="589" t="s">
        <v>957</v>
      </c>
      <c r="I444" s="587">
        <f t="shared" si="141"/>
        <v>18.025000000000002</v>
      </c>
      <c r="J444" s="589" t="s">
        <v>957</v>
      </c>
      <c r="K444" s="587">
        <f t="shared" si="128"/>
        <v>17.3</v>
      </c>
      <c r="L444" s="587"/>
      <c r="M444" s="587" t="str">
        <f t="shared" si="146"/>
        <v/>
      </c>
      <c r="N444" s="587"/>
      <c r="O444" s="587" t="str">
        <f t="shared" si="142"/>
        <v/>
      </c>
      <c r="P444" s="587"/>
      <c r="Q444" s="587" t="str">
        <f t="shared" si="129"/>
        <v/>
      </c>
      <c r="R444" s="587"/>
      <c r="S444" s="587" t="str">
        <f t="shared" si="143"/>
        <v/>
      </c>
      <c r="T444" s="587"/>
      <c r="U444" s="587" t="str">
        <f t="shared" si="144"/>
        <v/>
      </c>
      <c r="V444" s="587" t="s">
        <v>957</v>
      </c>
      <c r="W444" s="587">
        <f t="shared" si="145"/>
        <v>18.025000000000002</v>
      </c>
      <c r="X444" s="587"/>
      <c r="Y444" s="587" t="str">
        <f t="shared" si="133"/>
        <v/>
      </c>
      <c r="Z444" s="587"/>
      <c r="AA444" s="587" t="str">
        <f t="shared" si="131"/>
        <v/>
      </c>
      <c r="AB444" s="587"/>
      <c r="AC444" s="587" t="str">
        <f t="shared" si="132"/>
        <v/>
      </c>
      <c r="AD444" s="586"/>
      <c r="AE444" s="587" t="str">
        <f t="shared" si="130"/>
        <v/>
      </c>
    </row>
    <row r="445" spans="2:31">
      <c r="B445" s="586" t="s">
        <v>428</v>
      </c>
      <c r="C445" s="587"/>
      <c r="D445" s="588"/>
      <c r="E445" s="587"/>
      <c r="F445" s="587">
        <v>3.84</v>
      </c>
      <c r="G445" s="587">
        <v>8.26</v>
      </c>
      <c r="H445" s="589" t="s">
        <v>957</v>
      </c>
      <c r="I445" s="587">
        <f t="shared" si="141"/>
        <v>3.84</v>
      </c>
      <c r="J445" s="589" t="s">
        <v>957</v>
      </c>
      <c r="K445" s="587">
        <f t="shared" si="128"/>
        <v>8.26</v>
      </c>
      <c r="L445" s="587"/>
      <c r="M445" s="587" t="str">
        <f t="shared" si="146"/>
        <v/>
      </c>
      <c r="N445" s="587"/>
      <c r="O445" s="587" t="str">
        <f t="shared" si="142"/>
        <v/>
      </c>
      <c r="P445" s="587"/>
      <c r="Q445" s="587" t="str">
        <f t="shared" si="129"/>
        <v/>
      </c>
      <c r="R445" s="587"/>
      <c r="S445" s="587" t="str">
        <f t="shared" si="143"/>
        <v/>
      </c>
      <c r="T445" s="587"/>
      <c r="U445" s="587" t="str">
        <f t="shared" si="144"/>
        <v/>
      </c>
      <c r="V445" s="587" t="s">
        <v>957</v>
      </c>
      <c r="W445" s="587">
        <f t="shared" si="145"/>
        <v>3.84</v>
      </c>
      <c r="X445" s="587"/>
      <c r="Y445" s="587" t="str">
        <f t="shared" si="133"/>
        <v/>
      </c>
      <c r="Z445" s="587"/>
      <c r="AA445" s="587" t="str">
        <f t="shared" si="131"/>
        <v/>
      </c>
      <c r="AB445" s="587"/>
      <c r="AC445" s="587" t="str">
        <f t="shared" si="132"/>
        <v/>
      </c>
      <c r="AD445" s="586"/>
      <c r="AE445" s="587" t="str">
        <f t="shared" si="130"/>
        <v/>
      </c>
    </row>
    <row r="446" spans="2:31">
      <c r="B446" s="586" t="s">
        <v>473</v>
      </c>
      <c r="C446" s="587">
        <v>5.15</v>
      </c>
      <c r="D446" s="588" t="s">
        <v>957</v>
      </c>
      <c r="E446" s="587">
        <v>2.609</v>
      </c>
      <c r="F446" s="587">
        <f>C446*E446</f>
        <v>13.436350000000001</v>
      </c>
      <c r="G446" s="587">
        <f>(C446+E446)*2</f>
        <v>15.518000000000001</v>
      </c>
      <c r="H446" s="589" t="s">
        <v>957</v>
      </c>
      <c r="I446" s="587">
        <f t="shared" si="141"/>
        <v>13.436350000000001</v>
      </c>
      <c r="J446" s="589" t="s">
        <v>957</v>
      </c>
      <c r="K446" s="587">
        <f t="shared" si="128"/>
        <v>15.518000000000001</v>
      </c>
      <c r="L446" s="587"/>
      <c r="M446" s="587" t="str">
        <f t="shared" si="146"/>
        <v/>
      </c>
      <c r="N446" s="587"/>
      <c r="O446" s="587" t="str">
        <f t="shared" si="142"/>
        <v/>
      </c>
      <c r="P446" s="587"/>
      <c r="Q446" s="587" t="str">
        <f t="shared" si="129"/>
        <v/>
      </c>
      <c r="R446" s="587"/>
      <c r="S446" s="587" t="str">
        <f t="shared" si="143"/>
        <v/>
      </c>
      <c r="T446" s="587"/>
      <c r="U446" s="587" t="str">
        <f t="shared" si="144"/>
        <v/>
      </c>
      <c r="V446" s="587" t="s">
        <v>957</v>
      </c>
      <c r="W446" s="587">
        <f t="shared" si="145"/>
        <v>13.436350000000001</v>
      </c>
      <c r="X446" s="587"/>
      <c r="Y446" s="587" t="str">
        <f t="shared" si="133"/>
        <v/>
      </c>
      <c r="Z446" s="587"/>
      <c r="AA446" s="587" t="str">
        <f t="shared" si="131"/>
        <v/>
      </c>
      <c r="AB446" s="587"/>
      <c r="AC446" s="587" t="str">
        <f t="shared" si="132"/>
        <v/>
      </c>
      <c r="AD446" s="586"/>
      <c r="AE446" s="587" t="str">
        <f t="shared" si="130"/>
        <v/>
      </c>
    </row>
    <row r="447" spans="2:31">
      <c r="B447" s="586" t="s">
        <v>421</v>
      </c>
      <c r="C447" s="587">
        <v>5.15</v>
      </c>
      <c r="D447" s="588" t="s">
        <v>957</v>
      </c>
      <c r="E447" s="587">
        <v>2.23</v>
      </c>
      <c r="F447" s="587">
        <f>C447*E447</f>
        <v>11.484500000000001</v>
      </c>
      <c r="G447" s="587">
        <f>(C447+E447)*2</f>
        <v>14.760000000000002</v>
      </c>
      <c r="H447" s="589" t="s">
        <v>957</v>
      </c>
      <c r="I447" s="587">
        <f t="shared" si="141"/>
        <v>11.484500000000001</v>
      </c>
      <c r="J447" s="589" t="s">
        <v>957</v>
      </c>
      <c r="K447" s="587">
        <f t="shared" si="128"/>
        <v>14.760000000000002</v>
      </c>
      <c r="L447" s="587"/>
      <c r="M447" s="587" t="str">
        <f t="shared" si="146"/>
        <v/>
      </c>
      <c r="N447" s="587"/>
      <c r="O447" s="587" t="str">
        <f t="shared" si="142"/>
        <v/>
      </c>
      <c r="P447" s="587"/>
      <c r="Q447" s="587" t="str">
        <f t="shared" si="129"/>
        <v/>
      </c>
      <c r="R447" s="587"/>
      <c r="S447" s="587" t="str">
        <f t="shared" si="143"/>
        <v/>
      </c>
      <c r="T447" s="587"/>
      <c r="U447" s="587" t="str">
        <f t="shared" si="144"/>
        <v/>
      </c>
      <c r="V447" s="587" t="s">
        <v>957</v>
      </c>
      <c r="W447" s="587">
        <f t="shared" si="145"/>
        <v>11.484500000000001</v>
      </c>
      <c r="X447" s="587"/>
      <c r="Y447" s="587" t="str">
        <f t="shared" si="133"/>
        <v/>
      </c>
      <c r="Z447" s="587"/>
      <c r="AA447" s="587" t="str">
        <f t="shared" si="131"/>
        <v/>
      </c>
      <c r="AB447" s="587"/>
      <c r="AC447" s="587" t="str">
        <f t="shared" si="132"/>
        <v/>
      </c>
      <c r="AD447" s="586"/>
      <c r="AE447" s="587" t="str">
        <f t="shared" si="130"/>
        <v/>
      </c>
    </row>
    <row r="448" spans="2:31">
      <c r="B448" s="586" t="s">
        <v>539</v>
      </c>
      <c r="C448" s="587"/>
      <c r="D448" s="588"/>
      <c r="E448" s="587"/>
      <c r="F448" s="587">
        <v>40.78</v>
      </c>
      <c r="G448" s="587">
        <v>27.22</v>
      </c>
      <c r="H448" s="589" t="s">
        <v>957</v>
      </c>
      <c r="I448" s="587">
        <f t="shared" si="141"/>
        <v>40.78</v>
      </c>
      <c r="J448" s="589" t="s">
        <v>957</v>
      </c>
      <c r="K448" s="587">
        <f t="shared" si="128"/>
        <v>27.22</v>
      </c>
      <c r="L448" s="587"/>
      <c r="M448" s="587" t="str">
        <f t="shared" si="146"/>
        <v/>
      </c>
      <c r="N448" s="587"/>
      <c r="O448" s="587" t="str">
        <f t="shared" si="142"/>
        <v/>
      </c>
      <c r="P448" s="587"/>
      <c r="Q448" s="587" t="str">
        <f t="shared" si="129"/>
        <v/>
      </c>
      <c r="R448" s="587"/>
      <c r="S448" s="587" t="str">
        <f t="shared" si="143"/>
        <v/>
      </c>
      <c r="T448" s="587"/>
      <c r="U448" s="587" t="str">
        <f t="shared" si="144"/>
        <v/>
      </c>
      <c r="V448" s="587" t="s">
        <v>957</v>
      </c>
      <c r="W448" s="587">
        <f t="shared" si="145"/>
        <v>40.78</v>
      </c>
      <c r="X448" s="587"/>
      <c r="Y448" s="587" t="str">
        <f t="shared" si="133"/>
        <v/>
      </c>
      <c r="Z448" s="587"/>
      <c r="AA448" s="587" t="str">
        <f t="shared" si="131"/>
        <v/>
      </c>
      <c r="AB448" s="587"/>
      <c r="AC448" s="587" t="str">
        <f t="shared" si="132"/>
        <v/>
      </c>
      <c r="AD448" s="586"/>
      <c r="AE448" s="587" t="str">
        <f t="shared" si="130"/>
        <v/>
      </c>
    </row>
    <row r="449" spans="2:31">
      <c r="B449" s="586" t="s">
        <v>428</v>
      </c>
      <c r="C449" s="587"/>
      <c r="D449" s="588"/>
      <c r="E449" s="587"/>
      <c r="F449" s="587">
        <v>4.6500000000000004</v>
      </c>
      <c r="G449" s="587">
        <v>9.1999999999999993</v>
      </c>
      <c r="H449" s="589" t="s">
        <v>957</v>
      </c>
      <c r="I449" s="587">
        <f t="shared" si="141"/>
        <v>4.6500000000000004</v>
      </c>
      <c r="J449" s="589" t="s">
        <v>957</v>
      </c>
      <c r="K449" s="587">
        <f t="shared" si="128"/>
        <v>9.1999999999999993</v>
      </c>
      <c r="L449" s="587"/>
      <c r="M449" s="587" t="str">
        <f t="shared" si="146"/>
        <v/>
      </c>
      <c r="N449" s="587"/>
      <c r="O449" s="587" t="str">
        <f t="shared" si="142"/>
        <v/>
      </c>
      <c r="P449" s="587"/>
      <c r="Q449" s="587" t="str">
        <f t="shared" si="129"/>
        <v/>
      </c>
      <c r="R449" s="587"/>
      <c r="S449" s="587" t="str">
        <f t="shared" si="143"/>
        <v/>
      </c>
      <c r="T449" s="587"/>
      <c r="U449" s="587" t="str">
        <f t="shared" si="144"/>
        <v/>
      </c>
      <c r="V449" s="587" t="s">
        <v>957</v>
      </c>
      <c r="W449" s="587">
        <f t="shared" si="145"/>
        <v>4.6500000000000004</v>
      </c>
      <c r="X449" s="587"/>
      <c r="Y449" s="587" t="str">
        <f t="shared" si="133"/>
        <v/>
      </c>
      <c r="Z449" s="587"/>
      <c r="AA449" s="587" t="str">
        <f t="shared" si="131"/>
        <v/>
      </c>
      <c r="AB449" s="587"/>
      <c r="AC449" s="587" t="str">
        <f t="shared" si="132"/>
        <v/>
      </c>
      <c r="AD449" s="586"/>
      <c r="AE449" s="587" t="str">
        <f t="shared" si="130"/>
        <v/>
      </c>
    </row>
    <row r="450" spans="2:31">
      <c r="B450" s="586" t="s">
        <v>540</v>
      </c>
      <c r="C450" s="587"/>
      <c r="D450" s="588"/>
      <c r="E450" s="587"/>
      <c r="F450" s="587">
        <v>40.78</v>
      </c>
      <c r="G450" s="587">
        <v>27.22</v>
      </c>
      <c r="H450" s="589" t="s">
        <v>957</v>
      </c>
      <c r="I450" s="587">
        <f t="shared" si="141"/>
        <v>40.78</v>
      </c>
      <c r="J450" s="589" t="s">
        <v>957</v>
      </c>
      <c r="K450" s="587">
        <f t="shared" si="128"/>
        <v>27.22</v>
      </c>
      <c r="L450" s="587"/>
      <c r="M450" s="587" t="str">
        <f t="shared" si="146"/>
        <v/>
      </c>
      <c r="N450" s="587"/>
      <c r="O450" s="587" t="str">
        <f t="shared" si="142"/>
        <v/>
      </c>
      <c r="P450" s="587"/>
      <c r="Q450" s="587" t="str">
        <f t="shared" si="129"/>
        <v/>
      </c>
      <c r="R450" s="587"/>
      <c r="S450" s="587" t="str">
        <f t="shared" si="143"/>
        <v/>
      </c>
      <c r="T450" s="587"/>
      <c r="U450" s="587" t="str">
        <f t="shared" si="144"/>
        <v/>
      </c>
      <c r="V450" s="587" t="s">
        <v>957</v>
      </c>
      <c r="W450" s="587">
        <f t="shared" si="145"/>
        <v>40.78</v>
      </c>
      <c r="X450" s="587"/>
      <c r="Y450" s="587" t="str">
        <f t="shared" si="133"/>
        <v/>
      </c>
      <c r="Z450" s="587"/>
      <c r="AA450" s="587" t="str">
        <f t="shared" si="131"/>
        <v/>
      </c>
      <c r="AB450" s="587"/>
      <c r="AC450" s="587" t="str">
        <f t="shared" si="132"/>
        <v/>
      </c>
      <c r="AD450" s="586"/>
      <c r="AE450" s="587" t="str">
        <f t="shared" si="130"/>
        <v/>
      </c>
    </row>
    <row r="451" spans="2:31">
      <c r="B451" s="586" t="s">
        <v>428</v>
      </c>
      <c r="C451" s="587"/>
      <c r="D451" s="588"/>
      <c r="E451" s="587"/>
      <c r="F451" s="587">
        <v>4.6500000000000004</v>
      </c>
      <c r="G451" s="587">
        <v>9.1999999999999993</v>
      </c>
      <c r="H451" s="589" t="s">
        <v>957</v>
      </c>
      <c r="I451" s="587">
        <f t="shared" si="141"/>
        <v>4.6500000000000004</v>
      </c>
      <c r="J451" s="589" t="s">
        <v>957</v>
      </c>
      <c r="K451" s="587">
        <f t="shared" si="128"/>
        <v>9.1999999999999993</v>
      </c>
      <c r="L451" s="587"/>
      <c r="M451" s="587" t="str">
        <f t="shared" si="146"/>
        <v/>
      </c>
      <c r="N451" s="587"/>
      <c r="O451" s="587" t="str">
        <f t="shared" si="142"/>
        <v/>
      </c>
      <c r="P451" s="587"/>
      <c r="Q451" s="587" t="str">
        <f t="shared" si="129"/>
        <v/>
      </c>
      <c r="R451" s="587"/>
      <c r="S451" s="587" t="str">
        <f t="shared" si="143"/>
        <v/>
      </c>
      <c r="T451" s="587"/>
      <c r="U451" s="587" t="str">
        <f t="shared" si="144"/>
        <v/>
      </c>
      <c r="V451" s="587" t="s">
        <v>957</v>
      </c>
      <c r="W451" s="587">
        <f t="shared" si="145"/>
        <v>4.6500000000000004</v>
      </c>
      <c r="X451" s="587"/>
      <c r="Y451" s="587" t="str">
        <f t="shared" si="133"/>
        <v/>
      </c>
      <c r="Z451" s="587"/>
      <c r="AA451" s="587" t="str">
        <f t="shared" si="131"/>
        <v/>
      </c>
      <c r="AB451" s="587"/>
      <c r="AC451" s="587" t="str">
        <f t="shared" si="132"/>
        <v/>
      </c>
      <c r="AD451" s="586"/>
      <c r="AE451" s="587" t="str">
        <f t="shared" si="130"/>
        <v/>
      </c>
    </row>
    <row r="452" spans="2:31">
      <c r="B452" s="586" t="s">
        <v>541</v>
      </c>
      <c r="C452" s="587"/>
      <c r="D452" s="588"/>
      <c r="E452" s="587"/>
      <c r="F452" s="587">
        <v>40.78</v>
      </c>
      <c r="G452" s="587">
        <v>27.22</v>
      </c>
      <c r="H452" s="589" t="s">
        <v>957</v>
      </c>
      <c r="I452" s="587">
        <f t="shared" si="141"/>
        <v>40.78</v>
      </c>
      <c r="J452" s="589" t="s">
        <v>957</v>
      </c>
      <c r="K452" s="587">
        <f t="shared" si="128"/>
        <v>27.22</v>
      </c>
      <c r="L452" s="587"/>
      <c r="M452" s="587" t="str">
        <f t="shared" si="146"/>
        <v/>
      </c>
      <c r="N452" s="587"/>
      <c r="O452" s="587" t="str">
        <f t="shared" si="142"/>
        <v/>
      </c>
      <c r="P452" s="587"/>
      <c r="Q452" s="587" t="str">
        <f t="shared" si="129"/>
        <v/>
      </c>
      <c r="R452" s="587"/>
      <c r="S452" s="587" t="str">
        <f t="shared" si="143"/>
        <v/>
      </c>
      <c r="T452" s="587"/>
      <c r="U452" s="587" t="str">
        <f t="shared" si="144"/>
        <v/>
      </c>
      <c r="V452" s="587" t="s">
        <v>957</v>
      </c>
      <c r="W452" s="587">
        <f t="shared" si="145"/>
        <v>40.78</v>
      </c>
      <c r="X452" s="587"/>
      <c r="Y452" s="587" t="str">
        <f t="shared" si="133"/>
        <v/>
      </c>
      <c r="Z452" s="587"/>
      <c r="AA452" s="587" t="str">
        <f t="shared" si="131"/>
        <v/>
      </c>
      <c r="AB452" s="587"/>
      <c r="AC452" s="587" t="str">
        <f t="shared" si="132"/>
        <v/>
      </c>
      <c r="AD452" s="586"/>
      <c r="AE452" s="587" t="str">
        <f t="shared" si="130"/>
        <v/>
      </c>
    </row>
    <row r="453" spans="2:31">
      <c r="B453" s="586" t="s">
        <v>428</v>
      </c>
      <c r="C453" s="587"/>
      <c r="D453" s="588"/>
      <c r="E453" s="587"/>
      <c r="F453" s="587">
        <v>4.6500000000000004</v>
      </c>
      <c r="G453" s="587">
        <v>9.1999999999999993</v>
      </c>
      <c r="H453" s="589" t="s">
        <v>957</v>
      </c>
      <c r="I453" s="587">
        <f t="shared" si="141"/>
        <v>4.6500000000000004</v>
      </c>
      <c r="J453" s="589" t="s">
        <v>957</v>
      </c>
      <c r="K453" s="587">
        <f t="shared" si="128"/>
        <v>9.1999999999999993</v>
      </c>
      <c r="L453" s="587"/>
      <c r="M453" s="587" t="str">
        <f t="shared" si="146"/>
        <v/>
      </c>
      <c r="N453" s="587"/>
      <c r="O453" s="587" t="str">
        <f t="shared" si="142"/>
        <v/>
      </c>
      <c r="P453" s="587"/>
      <c r="Q453" s="587" t="str">
        <f t="shared" si="129"/>
        <v/>
      </c>
      <c r="R453" s="587"/>
      <c r="S453" s="587" t="str">
        <f t="shared" si="143"/>
        <v/>
      </c>
      <c r="T453" s="587"/>
      <c r="U453" s="587" t="str">
        <f t="shared" si="144"/>
        <v/>
      </c>
      <c r="V453" s="587" t="s">
        <v>957</v>
      </c>
      <c r="W453" s="587">
        <f t="shared" si="145"/>
        <v>4.6500000000000004</v>
      </c>
      <c r="X453" s="587"/>
      <c r="Y453" s="587" t="str">
        <f t="shared" si="133"/>
        <v/>
      </c>
      <c r="Z453" s="587"/>
      <c r="AA453" s="587" t="str">
        <f t="shared" si="131"/>
        <v/>
      </c>
      <c r="AB453" s="587"/>
      <c r="AC453" s="587" t="str">
        <f t="shared" si="132"/>
        <v/>
      </c>
      <c r="AD453" s="586"/>
      <c r="AE453" s="587" t="str">
        <f t="shared" si="130"/>
        <v/>
      </c>
    </row>
    <row r="454" spans="2:31">
      <c r="B454" s="586" t="s">
        <v>542</v>
      </c>
      <c r="C454" s="587"/>
      <c r="D454" s="588"/>
      <c r="E454" s="587"/>
      <c r="F454" s="587">
        <v>40.78</v>
      </c>
      <c r="G454" s="587">
        <v>27.22</v>
      </c>
      <c r="H454" s="589" t="s">
        <v>957</v>
      </c>
      <c r="I454" s="587">
        <f t="shared" si="141"/>
        <v>40.78</v>
      </c>
      <c r="J454" s="589" t="s">
        <v>957</v>
      </c>
      <c r="K454" s="587">
        <f t="shared" si="128"/>
        <v>27.22</v>
      </c>
      <c r="L454" s="587"/>
      <c r="M454" s="587" t="str">
        <f t="shared" si="146"/>
        <v/>
      </c>
      <c r="N454" s="587"/>
      <c r="O454" s="587" t="str">
        <f t="shared" si="142"/>
        <v/>
      </c>
      <c r="P454" s="587"/>
      <c r="Q454" s="587" t="str">
        <f t="shared" si="129"/>
        <v/>
      </c>
      <c r="R454" s="587"/>
      <c r="S454" s="587" t="str">
        <f t="shared" si="143"/>
        <v/>
      </c>
      <c r="T454" s="587"/>
      <c r="U454" s="587" t="str">
        <f t="shared" si="144"/>
        <v/>
      </c>
      <c r="V454" s="587" t="s">
        <v>957</v>
      </c>
      <c r="W454" s="587">
        <f t="shared" si="145"/>
        <v>40.78</v>
      </c>
      <c r="X454" s="587"/>
      <c r="Y454" s="587" t="str">
        <f t="shared" si="133"/>
        <v/>
      </c>
      <c r="Z454" s="587"/>
      <c r="AA454" s="587" t="str">
        <f t="shared" si="131"/>
        <v/>
      </c>
      <c r="AB454" s="587"/>
      <c r="AC454" s="587" t="str">
        <f t="shared" si="132"/>
        <v/>
      </c>
      <c r="AD454" s="586"/>
      <c r="AE454" s="587" t="str">
        <f t="shared" si="130"/>
        <v/>
      </c>
    </row>
    <row r="455" spans="2:31">
      <c r="B455" s="586" t="s">
        <v>428</v>
      </c>
      <c r="C455" s="587"/>
      <c r="D455" s="588"/>
      <c r="E455" s="587"/>
      <c r="F455" s="587">
        <v>4.6500000000000004</v>
      </c>
      <c r="G455" s="587">
        <v>9.1999999999999993</v>
      </c>
      <c r="H455" s="589" t="s">
        <v>957</v>
      </c>
      <c r="I455" s="587">
        <f t="shared" si="141"/>
        <v>4.6500000000000004</v>
      </c>
      <c r="J455" s="589" t="s">
        <v>957</v>
      </c>
      <c r="K455" s="587">
        <f t="shared" ref="K455:K518" si="147">IF(J455="x",G455,"")</f>
        <v>9.1999999999999993</v>
      </c>
      <c r="L455" s="587"/>
      <c r="M455" s="587" t="str">
        <f t="shared" si="146"/>
        <v/>
      </c>
      <c r="N455" s="587"/>
      <c r="O455" s="587" t="str">
        <f t="shared" si="142"/>
        <v/>
      </c>
      <c r="P455" s="587"/>
      <c r="Q455" s="587" t="str">
        <f t="shared" ref="Q455:Q518" si="148">IF(P455="x",G455,"")</f>
        <v/>
      </c>
      <c r="R455" s="587"/>
      <c r="S455" s="587" t="str">
        <f t="shared" si="143"/>
        <v/>
      </c>
      <c r="T455" s="587"/>
      <c r="U455" s="587" t="str">
        <f t="shared" si="144"/>
        <v/>
      </c>
      <c r="V455" s="587" t="s">
        <v>957</v>
      </c>
      <c r="W455" s="587">
        <f t="shared" si="145"/>
        <v>4.6500000000000004</v>
      </c>
      <c r="X455" s="587"/>
      <c r="Y455" s="587" t="str">
        <f t="shared" si="133"/>
        <v/>
      </c>
      <c r="Z455" s="587"/>
      <c r="AA455" s="587" t="str">
        <f t="shared" si="131"/>
        <v/>
      </c>
      <c r="AB455" s="587"/>
      <c r="AC455" s="587" t="str">
        <f t="shared" si="132"/>
        <v/>
      </c>
      <c r="AD455" s="586"/>
      <c r="AE455" s="587" t="str">
        <f t="shared" ref="AE455:AE518" si="149">IF(AD455="x",F455,"")</f>
        <v/>
      </c>
    </row>
    <row r="456" spans="2:31">
      <c r="B456" s="586" t="s">
        <v>472</v>
      </c>
      <c r="C456" s="587">
        <v>2.0619999999999998</v>
      </c>
      <c r="D456" s="588" t="s">
        <v>957</v>
      </c>
      <c r="E456" s="587">
        <v>2.85</v>
      </c>
      <c r="F456" s="587">
        <f t="shared" ref="F456:F462" si="150">C456*E456</f>
        <v>5.8766999999999996</v>
      </c>
      <c r="G456" s="587">
        <f t="shared" ref="G456:G462" si="151">(C456+E456)*2</f>
        <v>9.8239999999999998</v>
      </c>
      <c r="H456" s="589" t="s">
        <v>957</v>
      </c>
      <c r="I456" s="587">
        <f t="shared" si="141"/>
        <v>5.8766999999999996</v>
      </c>
      <c r="J456" s="589" t="s">
        <v>957</v>
      </c>
      <c r="K456" s="587">
        <f t="shared" si="147"/>
        <v>9.8239999999999998</v>
      </c>
      <c r="L456" s="587"/>
      <c r="M456" s="587" t="str">
        <f t="shared" si="146"/>
        <v/>
      </c>
      <c r="N456" s="587"/>
      <c r="O456" s="587" t="str">
        <f t="shared" si="142"/>
        <v/>
      </c>
      <c r="P456" s="587"/>
      <c r="Q456" s="587" t="str">
        <f t="shared" si="148"/>
        <v/>
      </c>
      <c r="R456" s="587"/>
      <c r="S456" s="587" t="str">
        <f t="shared" si="143"/>
        <v/>
      </c>
      <c r="T456" s="587"/>
      <c r="U456" s="587" t="str">
        <f t="shared" si="144"/>
        <v/>
      </c>
      <c r="V456" s="587" t="s">
        <v>957</v>
      </c>
      <c r="W456" s="587">
        <f t="shared" si="145"/>
        <v>5.8766999999999996</v>
      </c>
      <c r="X456" s="587"/>
      <c r="Y456" s="587" t="str">
        <f t="shared" si="133"/>
        <v/>
      </c>
      <c r="Z456" s="587"/>
      <c r="AA456" s="587" t="str">
        <f t="shared" si="131"/>
        <v/>
      </c>
      <c r="AB456" s="587"/>
      <c r="AC456" s="587" t="str">
        <f t="shared" si="132"/>
        <v/>
      </c>
      <c r="AD456" s="586"/>
      <c r="AE456" s="587" t="str">
        <f t="shared" si="149"/>
        <v/>
      </c>
    </row>
    <row r="457" spans="2:31">
      <c r="B457" s="586" t="s">
        <v>308</v>
      </c>
      <c r="C457" s="587">
        <v>4.3120000000000003</v>
      </c>
      <c r="D457" s="588" t="s">
        <v>957</v>
      </c>
      <c r="E457" s="587">
        <v>2.5</v>
      </c>
      <c r="F457" s="587">
        <f t="shared" si="150"/>
        <v>10.780000000000001</v>
      </c>
      <c r="G457" s="587">
        <f t="shared" si="151"/>
        <v>13.624000000000001</v>
      </c>
      <c r="H457" s="589" t="s">
        <v>957</v>
      </c>
      <c r="I457" s="587">
        <f t="shared" si="141"/>
        <v>10.780000000000001</v>
      </c>
      <c r="J457" s="589" t="s">
        <v>957</v>
      </c>
      <c r="K457" s="587">
        <f t="shared" si="147"/>
        <v>13.624000000000001</v>
      </c>
      <c r="L457" s="587"/>
      <c r="M457" s="587" t="str">
        <f t="shared" si="146"/>
        <v/>
      </c>
      <c r="N457" s="587"/>
      <c r="O457" s="587" t="str">
        <f t="shared" si="142"/>
        <v/>
      </c>
      <c r="P457" s="587"/>
      <c r="Q457" s="587" t="str">
        <f t="shared" si="148"/>
        <v/>
      </c>
      <c r="R457" s="587"/>
      <c r="S457" s="587" t="str">
        <f t="shared" si="143"/>
        <v/>
      </c>
      <c r="T457" s="587"/>
      <c r="U457" s="587" t="str">
        <f t="shared" si="144"/>
        <v/>
      </c>
      <c r="V457" s="587" t="s">
        <v>957</v>
      </c>
      <c r="W457" s="587">
        <f t="shared" si="145"/>
        <v>10.780000000000001</v>
      </c>
      <c r="X457" s="587"/>
      <c r="Y457" s="587" t="str">
        <f t="shared" si="133"/>
        <v/>
      </c>
      <c r="Z457" s="587"/>
      <c r="AA457" s="587" t="str">
        <f t="shared" si="131"/>
        <v/>
      </c>
      <c r="AB457" s="587"/>
      <c r="AC457" s="587" t="str">
        <f t="shared" si="132"/>
        <v/>
      </c>
      <c r="AD457" s="586"/>
      <c r="AE457" s="587" t="str">
        <f t="shared" si="149"/>
        <v/>
      </c>
    </row>
    <row r="458" spans="2:31">
      <c r="B458" s="586" t="s">
        <v>299</v>
      </c>
      <c r="C458" s="587">
        <v>4.3120000000000003</v>
      </c>
      <c r="D458" s="588" t="s">
        <v>957</v>
      </c>
      <c r="E458" s="587">
        <v>2.5</v>
      </c>
      <c r="F458" s="587">
        <f t="shared" si="150"/>
        <v>10.780000000000001</v>
      </c>
      <c r="G458" s="587">
        <f t="shared" si="151"/>
        <v>13.624000000000001</v>
      </c>
      <c r="H458" s="589" t="s">
        <v>957</v>
      </c>
      <c r="I458" s="587">
        <f t="shared" si="141"/>
        <v>10.780000000000001</v>
      </c>
      <c r="J458" s="589" t="s">
        <v>957</v>
      </c>
      <c r="K458" s="587">
        <f t="shared" si="147"/>
        <v>13.624000000000001</v>
      </c>
      <c r="L458" s="587"/>
      <c r="M458" s="587" t="str">
        <f t="shared" si="146"/>
        <v/>
      </c>
      <c r="N458" s="587"/>
      <c r="O458" s="587" t="str">
        <f t="shared" si="142"/>
        <v/>
      </c>
      <c r="P458" s="587"/>
      <c r="Q458" s="587" t="str">
        <f t="shared" si="148"/>
        <v/>
      </c>
      <c r="R458" s="587"/>
      <c r="S458" s="587" t="str">
        <f t="shared" si="143"/>
        <v/>
      </c>
      <c r="T458" s="587"/>
      <c r="U458" s="587" t="str">
        <f t="shared" si="144"/>
        <v/>
      </c>
      <c r="V458" s="587" t="s">
        <v>957</v>
      </c>
      <c r="W458" s="587">
        <f t="shared" si="145"/>
        <v>10.780000000000001</v>
      </c>
      <c r="X458" s="587"/>
      <c r="Y458" s="587" t="str">
        <f t="shared" si="133"/>
        <v/>
      </c>
      <c r="Z458" s="587"/>
      <c r="AA458" s="587" t="str">
        <f t="shared" si="131"/>
        <v/>
      </c>
      <c r="AB458" s="587"/>
      <c r="AC458" s="587" t="str">
        <f t="shared" si="132"/>
        <v/>
      </c>
      <c r="AD458" s="586"/>
      <c r="AE458" s="587" t="str">
        <f t="shared" si="149"/>
        <v/>
      </c>
    </row>
    <row r="459" spans="2:31">
      <c r="B459" s="586" t="s">
        <v>423</v>
      </c>
      <c r="C459" s="587">
        <v>4.3120000000000003</v>
      </c>
      <c r="D459" s="588" t="s">
        <v>957</v>
      </c>
      <c r="E459" s="587">
        <v>3</v>
      </c>
      <c r="F459" s="587">
        <f t="shared" si="150"/>
        <v>12.936</v>
      </c>
      <c r="G459" s="587">
        <f t="shared" si="151"/>
        <v>14.624000000000001</v>
      </c>
      <c r="H459" s="589" t="s">
        <v>957</v>
      </c>
      <c r="I459" s="587">
        <f t="shared" si="141"/>
        <v>12.936</v>
      </c>
      <c r="J459" s="589" t="s">
        <v>957</v>
      </c>
      <c r="K459" s="587">
        <f t="shared" si="147"/>
        <v>14.624000000000001</v>
      </c>
      <c r="L459" s="587"/>
      <c r="M459" s="587" t="str">
        <f t="shared" si="146"/>
        <v/>
      </c>
      <c r="N459" s="587"/>
      <c r="O459" s="587" t="str">
        <f t="shared" si="142"/>
        <v/>
      </c>
      <c r="P459" s="587"/>
      <c r="Q459" s="587" t="str">
        <f t="shared" si="148"/>
        <v/>
      </c>
      <c r="R459" s="587"/>
      <c r="S459" s="587" t="str">
        <f t="shared" si="143"/>
        <v/>
      </c>
      <c r="T459" s="587"/>
      <c r="U459" s="587" t="str">
        <f t="shared" si="144"/>
        <v/>
      </c>
      <c r="V459" s="587" t="s">
        <v>957</v>
      </c>
      <c r="W459" s="587">
        <f t="shared" si="145"/>
        <v>12.936</v>
      </c>
      <c r="X459" s="587"/>
      <c r="Y459" s="587" t="str">
        <f t="shared" si="133"/>
        <v/>
      </c>
      <c r="Z459" s="587"/>
      <c r="AA459" s="587" t="str">
        <f t="shared" si="131"/>
        <v/>
      </c>
      <c r="AB459" s="587"/>
      <c r="AC459" s="587" t="str">
        <f t="shared" si="132"/>
        <v/>
      </c>
      <c r="AD459" s="586"/>
      <c r="AE459" s="587" t="str">
        <f t="shared" si="149"/>
        <v/>
      </c>
    </row>
    <row r="460" spans="2:31">
      <c r="B460" s="586" t="s">
        <v>543</v>
      </c>
      <c r="C460" s="587">
        <v>2.3119999999999998</v>
      </c>
      <c r="D460" s="588" t="s">
        <v>957</v>
      </c>
      <c r="E460" s="587">
        <v>4.8639999999999999</v>
      </c>
      <c r="F460" s="587">
        <f t="shared" si="150"/>
        <v>11.245567999999999</v>
      </c>
      <c r="G460" s="587">
        <f t="shared" si="151"/>
        <v>14.352</v>
      </c>
      <c r="H460" s="589" t="s">
        <v>957</v>
      </c>
      <c r="I460" s="587">
        <f t="shared" si="141"/>
        <v>11.245567999999999</v>
      </c>
      <c r="J460" s="589" t="s">
        <v>957</v>
      </c>
      <c r="K460" s="587">
        <f t="shared" si="147"/>
        <v>14.352</v>
      </c>
      <c r="L460" s="587"/>
      <c r="M460" s="587" t="str">
        <f t="shared" si="146"/>
        <v/>
      </c>
      <c r="N460" s="587"/>
      <c r="O460" s="587" t="str">
        <f t="shared" si="142"/>
        <v/>
      </c>
      <c r="P460" s="587"/>
      <c r="Q460" s="587" t="str">
        <f t="shared" si="148"/>
        <v/>
      </c>
      <c r="R460" s="587"/>
      <c r="S460" s="587" t="str">
        <f t="shared" si="143"/>
        <v/>
      </c>
      <c r="T460" s="587"/>
      <c r="U460" s="587" t="str">
        <f t="shared" si="144"/>
        <v/>
      </c>
      <c r="V460" s="587" t="s">
        <v>957</v>
      </c>
      <c r="W460" s="587">
        <f t="shared" si="145"/>
        <v>11.245567999999999</v>
      </c>
      <c r="X460" s="587"/>
      <c r="Y460" s="587" t="str">
        <f t="shared" si="133"/>
        <v/>
      </c>
      <c r="Z460" s="587"/>
      <c r="AA460" s="587" t="str">
        <f t="shared" si="131"/>
        <v/>
      </c>
      <c r="AB460" s="587"/>
      <c r="AC460" s="587" t="str">
        <f t="shared" si="132"/>
        <v/>
      </c>
      <c r="AD460" s="586"/>
      <c r="AE460" s="587" t="str">
        <f t="shared" si="149"/>
        <v/>
      </c>
    </row>
    <row r="461" spans="2:31">
      <c r="B461" s="586" t="s">
        <v>544</v>
      </c>
      <c r="C461" s="587">
        <v>2.3119999999999998</v>
      </c>
      <c r="D461" s="588" t="s">
        <v>957</v>
      </c>
      <c r="E461" s="587">
        <v>4.8639999999999999</v>
      </c>
      <c r="F461" s="587">
        <f t="shared" si="150"/>
        <v>11.245567999999999</v>
      </c>
      <c r="G461" s="587">
        <f t="shared" si="151"/>
        <v>14.352</v>
      </c>
      <c r="H461" s="589" t="s">
        <v>957</v>
      </c>
      <c r="I461" s="587">
        <f t="shared" si="141"/>
        <v>11.245567999999999</v>
      </c>
      <c r="J461" s="589" t="s">
        <v>957</v>
      </c>
      <c r="K461" s="587">
        <f t="shared" si="147"/>
        <v>14.352</v>
      </c>
      <c r="L461" s="587"/>
      <c r="M461" s="587" t="str">
        <f t="shared" si="146"/>
        <v/>
      </c>
      <c r="N461" s="587"/>
      <c r="O461" s="587" t="str">
        <f t="shared" si="142"/>
        <v/>
      </c>
      <c r="P461" s="587"/>
      <c r="Q461" s="587" t="str">
        <f t="shared" si="148"/>
        <v/>
      </c>
      <c r="R461" s="587"/>
      <c r="S461" s="587" t="str">
        <f t="shared" si="143"/>
        <v/>
      </c>
      <c r="T461" s="587"/>
      <c r="U461" s="587" t="str">
        <f t="shared" si="144"/>
        <v/>
      </c>
      <c r="V461" s="587" t="s">
        <v>957</v>
      </c>
      <c r="W461" s="587">
        <f t="shared" si="145"/>
        <v>11.245567999999999</v>
      </c>
      <c r="X461" s="587"/>
      <c r="Y461" s="587" t="str">
        <f t="shared" si="133"/>
        <v/>
      </c>
      <c r="Z461" s="587"/>
      <c r="AA461" s="587" t="str">
        <f t="shared" si="131"/>
        <v/>
      </c>
      <c r="AB461" s="587"/>
      <c r="AC461" s="587" t="str">
        <f t="shared" si="132"/>
        <v/>
      </c>
      <c r="AD461" s="586"/>
      <c r="AE461" s="587" t="str">
        <f t="shared" si="149"/>
        <v/>
      </c>
    </row>
    <row r="462" spans="2:31">
      <c r="B462" s="586" t="s">
        <v>476</v>
      </c>
      <c r="C462" s="587">
        <v>2.3119999999999998</v>
      </c>
      <c r="D462" s="588" t="s">
        <v>957</v>
      </c>
      <c r="E462" s="587">
        <v>4.8639999999999999</v>
      </c>
      <c r="F462" s="587">
        <f t="shared" si="150"/>
        <v>11.245567999999999</v>
      </c>
      <c r="G462" s="587">
        <f t="shared" si="151"/>
        <v>14.352</v>
      </c>
      <c r="H462" s="589" t="s">
        <v>957</v>
      </c>
      <c r="I462" s="587">
        <f t="shared" si="141"/>
        <v>11.245567999999999</v>
      </c>
      <c r="J462" s="589" t="s">
        <v>957</v>
      </c>
      <c r="K462" s="587">
        <f t="shared" si="147"/>
        <v>14.352</v>
      </c>
      <c r="L462" s="587"/>
      <c r="M462" s="587" t="str">
        <f t="shared" si="146"/>
        <v/>
      </c>
      <c r="N462" s="587"/>
      <c r="O462" s="587" t="str">
        <f t="shared" si="142"/>
        <v/>
      </c>
      <c r="P462" s="587"/>
      <c r="Q462" s="587" t="str">
        <f t="shared" si="148"/>
        <v/>
      </c>
      <c r="R462" s="587"/>
      <c r="S462" s="587" t="str">
        <f t="shared" si="143"/>
        <v/>
      </c>
      <c r="T462" s="587"/>
      <c r="U462" s="587" t="str">
        <f t="shared" si="144"/>
        <v/>
      </c>
      <c r="V462" s="587" t="s">
        <v>957</v>
      </c>
      <c r="W462" s="587">
        <f t="shared" si="145"/>
        <v>11.245567999999999</v>
      </c>
      <c r="X462" s="587"/>
      <c r="Y462" s="587" t="str">
        <f t="shared" si="133"/>
        <v/>
      </c>
      <c r="Z462" s="587"/>
      <c r="AA462" s="587" t="str">
        <f t="shared" ref="AA462:AA525" si="152">IF(Z462="x",F462,"")</f>
        <v/>
      </c>
      <c r="AB462" s="587"/>
      <c r="AC462" s="587" t="str">
        <f t="shared" ref="AC462:AC525" si="153">IF(AB462="x",F462,"")</f>
        <v/>
      </c>
      <c r="AD462" s="586"/>
      <c r="AE462" s="587" t="str">
        <f t="shared" si="149"/>
        <v/>
      </c>
    </row>
    <row r="463" spans="2:31">
      <c r="B463" s="586" t="s">
        <v>545</v>
      </c>
      <c r="C463" s="587"/>
      <c r="D463" s="588"/>
      <c r="E463" s="587"/>
      <c r="F463" s="587">
        <v>28.427</v>
      </c>
      <c r="G463" s="587">
        <v>24.34</v>
      </c>
      <c r="H463" s="589" t="s">
        <v>957</v>
      </c>
      <c r="I463" s="587">
        <f t="shared" si="141"/>
        <v>28.427</v>
      </c>
      <c r="J463" s="589" t="s">
        <v>957</v>
      </c>
      <c r="K463" s="587">
        <f t="shared" si="147"/>
        <v>24.34</v>
      </c>
      <c r="L463" s="587"/>
      <c r="M463" s="587" t="str">
        <f t="shared" si="146"/>
        <v/>
      </c>
      <c r="N463" s="587"/>
      <c r="O463" s="587" t="str">
        <f t="shared" si="142"/>
        <v/>
      </c>
      <c r="P463" s="587"/>
      <c r="Q463" s="587" t="str">
        <f t="shared" si="148"/>
        <v/>
      </c>
      <c r="R463" s="587"/>
      <c r="S463" s="587" t="str">
        <f t="shared" si="143"/>
        <v/>
      </c>
      <c r="T463" s="587"/>
      <c r="U463" s="587" t="str">
        <f t="shared" si="144"/>
        <v/>
      </c>
      <c r="V463" s="587" t="s">
        <v>957</v>
      </c>
      <c r="W463" s="587">
        <f t="shared" si="145"/>
        <v>28.427</v>
      </c>
      <c r="X463" s="587"/>
      <c r="Y463" s="587" t="str">
        <f t="shared" si="133"/>
        <v/>
      </c>
      <c r="Z463" s="587"/>
      <c r="AA463" s="587" t="str">
        <f t="shared" si="152"/>
        <v/>
      </c>
      <c r="AB463" s="587"/>
      <c r="AC463" s="587" t="str">
        <f t="shared" si="153"/>
        <v/>
      </c>
      <c r="AD463" s="586"/>
      <c r="AE463" s="587" t="str">
        <f t="shared" si="149"/>
        <v/>
      </c>
    </row>
    <row r="464" spans="2:31">
      <c r="B464" s="586" t="s">
        <v>546</v>
      </c>
      <c r="C464" s="587">
        <v>2.8</v>
      </c>
      <c r="D464" s="588" t="s">
        <v>957</v>
      </c>
      <c r="E464" s="587">
        <v>1.6</v>
      </c>
      <c r="F464" s="587">
        <f>C464*E464</f>
        <v>4.4799999999999995</v>
      </c>
      <c r="G464" s="587">
        <f>(C464+E464)*2</f>
        <v>8.8000000000000007</v>
      </c>
      <c r="H464" s="589" t="s">
        <v>957</v>
      </c>
      <c r="I464" s="587">
        <f t="shared" si="141"/>
        <v>4.4799999999999995</v>
      </c>
      <c r="J464" s="589" t="s">
        <v>957</v>
      </c>
      <c r="K464" s="587">
        <f t="shared" si="147"/>
        <v>8.8000000000000007</v>
      </c>
      <c r="L464" s="587"/>
      <c r="M464" s="587" t="str">
        <f t="shared" si="146"/>
        <v/>
      </c>
      <c r="N464" s="587"/>
      <c r="O464" s="587" t="str">
        <f t="shared" si="142"/>
        <v/>
      </c>
      <c r="P464" s="587"/>
      <c r="Q464" s="587" t="str">
        <f t="shared" si="148"/>
        <v/>
      </c>
      <c r="R464" s="587"/>
      <c r="S464" s="587" t="str">
        <f t="shared" si="143"/>
        <v/>
      </c>
      <c r="T464" s="587"/>
      <c r="U464" s="587" t="str">
        <f t="shared" si="144"/>
        <v/>
      </c>
      <c r="V464" s="587" t="s">
        <v>957</v>
      </c>
      <c r="W464" s="587">
        <f t="shared" si="145"/>
        <v>4.4799999999999995</v>
      </c>
      <c r="X464" s="587"/>
      <c r="Y464" s="587" t="str">
        <f t="shared" si="133"/>
        <v/>
      </c>
      <c r="Z464" s="587"/>
      <c r="AA464" s="587" t="str">
        <f t="shared" si="152"/>
        <v/>
      </c>
      <c r="AB464" s="587"/>
      <c r="AC464" s="587" t="str">
        <f t="shared" si="153"/>
        <v/>
      </c>
      <c r="AD464" s="586"/>
      <c r="AE464" s="587" t="str">
        <f t="shared" si="149"/>
        <v/>
      </c>
    </row>
    <row r="465" spans="2:31">
      <c r="B465" s="586" t="s">
        <v>547</v>
      </c>
      <c r="C465" s="587">
        <v>2.8</v>
      </c>
      <c r="D465" s="588" t="s">
        <v>957</v>
      </c>
      <c r="E465" s="587">
        <v>1.6</v>
      </c>
      <c r="F465" s="587">
        <f>C465*E465</f>
        <v>4.4799999999999995</v>
      </c>
      <c r="G465" s="587">
        <f>(C465+E465)*2</f>
        <v>8.8000000000000007</v>
      </c>
      <c r="H465" s="589" t="s">
        <v>957</v>
      </c>
      <c r="I465" s="587">
        <f t="shared" si="141"/>
        <v>4.4799999999999995</v>
      </c>
      <c r="J465" s="589" t="s">
        <v>957</v>
      </c>
      <c r="K465" s="587">
        <f t="shared" si="147"/>
        <v>8.8000000000000007</v>
      </c>
      <c r="L465" s="587"/>
      <c r="M465" s="587" t="str">
        <f t="shared" si="146"/>
        <v/>
      </c>
      <c r="N465" s="587"/>
      <c r="O465" s="587" t="str">
        <f t="shared" si="142"/>
        <v/>
      </c>
      <c r="P465" s="587"/>
      <c r="Q465" s="587" t="str">
        <f t="shared" si="148"/>
        <v/>
      </c>
      <c r="R465" s="587"/>
      <c r="S465" s="587" t="str">
        <f t="shared" si="143"/>
        <v/>
      </c>
      <c r="T465" s="587"/>
      <c r="U465" s="587" t="str">
        <f t="shared" si="144"/>
        <v/>
      </c>
      <c r="V465" s="587" t="s">
        <v>957</v>
      </c>
      <c r="W465" s="587">
        <f t="shared" si="145"/>
        <v>4.4799999999999995</v>
      </c>
      <c r="X465" s="587"/>
      <c r="Y465" s="587" t="str">
        <f t="shared" si="133"/>
        <v/>
      </c>
      <c r="Z465" s="587"/>
      <c r="AA465" s="587" t="str">
        <f t="shared" si="152"/>
        <v/>
      </c>
      <c r="AB465" s="587"/>
      <c r="AC465" s="587" t="str">
        <f t="shared" si="153"/>
        <v/>
      </c>
      <c r="AD465" s="586"/>
      <c r="AE465" s="587" t="str">
        <f t="shared" si="149"/>
        <v/>
      </c>
    </row>
    <row r="466" spans="2:31">
      <c r="B466" s="586" t="s">
        <v>548</v>
      </c>
      <c r="C466" s="587"/>
      <c r="D466" s="588"/>
      <c r="E466" s="587"/>
      <c r="F466" s="587">
        <v>28.427</v>
      </c>
      <c r="G466" s="587">
        <v>24.34</v>
      </c>
      <c r="H466" s="589" t="s">
        <v>957</v>
      </c>
      <c r="I466" s="587">
        <f t="shared" si="141"/>
        <v>28.427</v>
      </c>
      <c r="J466" s="589" t="s">
        <v>957</v>
      </c>
      <c r="K466" s="587">
        <f t="shared" si="147"/>
        <v>24.34</v>
      </c>
      <c r="L466" s="587"/>
      <c r="M466" s="587" t="str">
        <f t="shared" si="146"/>
        <v/>
      </c>
      <c r="N466" s="587"/>
      <c r="O466" s="587" t="str">
        <f t="shared" si="142"/>
        <v/>
      </c>
      <c r="P466" s="587"/>
      <c r="Q466" s="587" t="str">
        <f t="shared" si="148"/>
        <v/>
      </c>
      <c r="R466" s="587"/>
      <c r="S466" s="587" t="str">
        <f t="shared" si="143"/>
        <v/>
      </c>
      <c r="T466" s="587"/>
      <c r="U466" s="587" t="str">
        <f t="shared" si="144"/>
        <v/>
      </c>
      <c r="V466" s="587" t="s">
        <v>957</v>
      </c>
      <c r="W466" s="587">
        <f t="shared" si="145"/>
        <v>28.427</v>
      </c>
      <c r="X466" s="587"/>
      <c r="Y466" s="587" t="str">
        <f t="shared" si="133"/>
        <v/>
      </c>
      <c r="Z466" s="587"/>
      <c r="AA466" s="587" t="str">
        <f t="shared" si="152"/>
        <v/>
      </c>
      <c r="AB466" s="587"/>
      <c r="AC466" s="587" t="str">
        <f t="shared" si="153"/>
        <v/>
      </c>
      <c r="AD466" s="586"/>
      <c r="AE466" s="587" t="str">
        <f t="shared" si="149"/>
        <v/>
      </c>
    </row>
    <row r="467" spans="2:31">
      <c r="B467" s="586" t="s">
        <v>549</v>
      </c>
      <c r="C467" s="587">
        <v>2.4</v>
      </c>
      <c r="D467" s="588" t="s">
        <v>957</v>
      </c>
      <c r="E467" s="587">
        <v>4.8650000000000002</v>
      </c>
      <c r="F467" s="587">
        <f>C467*E467</f>
        <v>11.676</v>
      </c>
      <c r="G467" s="587">
        <f>(C467+E467)*2</f>
        <v>14.530000000000001</v>
      </c>
      <c r="H467" s="589" t="s">
        <v>957</v>
      </c>
      <c r="I467" s="587">
        <f t="shared" si="141"/>
        <v>11.676</v>
      </c>
      <c r="J467" s="589" t="s">
        <v>957</v>
      </c>
      <c r="K467" s="587">
        <f t="shared" si="147"/>
        <v>14.530000000000001</v>
      </c>
      <c r="L467" s="587"/>
      <c r="M467" s="587" t="str">
        <f t="shared" si="146"/>
        <v/>
      </c>
      <c r="N467" s="587"/>
      <c r="O467" s="587" t="str">
        <f t="shared" si="142"/>
        <v/>
      </c>
      <c r="P467" s="587"/>
      <c r="Q467" s="587" t="str">
        <f t="shared" si="148"/>
        <v/>
      </c>
      <c r="R467" s="587"/>
      <c r="S467" s="587" t="str">
        <f t="shared" si="143"/>
        <v/>
      </c>
      <c r="T467" s="587"/>
      <c r="U467" s="587" t="str">
        <f t="shared" si="144"/>
        <v/>
      </c>
      <c r="V467" s="587" t="s">
        <v>957</v>
      </c>
      <c r="W467" s="587">
        <f t="shared" si="145"/>
        <v>11.676</v>
      </c>
      <c r="X467" s="587"/>
      <c r="Y467" s="587" t="str">
        <f t="shared" ref="Y467:Y530" si="154">IF(X467="x",F467,"")</f>
        <v/>
      </c>
      <c r="Z467" s="587"/>
      <c r="AA467" s="587" t="str">
        <f t="shared" si="152"/>
        <v/>
      </c>
      <c r="AB467" s="587"/>
      <c r="AC467" s="587" t="str">
        <f t="shared" si="153"/>
        <v/>
      </c>
      <c r="AD467" s="586"/>
      <c r="AE467" s="587" t="str">
        <f t="shared" si="149"/>
        <v/>
      </c>
    </row>
    <row r="468" spans="2:31">
      <c r="B468" s="586" t="s">
        <v>550</v>
      </c>
      <c r="C468" s="587"/>
      <c r="D468" s="588"/>
      <c r="E468" s="587"/>
      <c r="F468" s="587">
        <v>16.940000000000001</v>
      </c>
      <c r="G468" s="587">
        <v>19.155000000000001</v>
      </c>
      <c r="H468" s="589" t="s">
        <v>957</v>
      </c>
      <c r="I468" s="587">
        <f t="shared" si="141"/>
        <v>16.940000000000001</v>
      </c>
      <c r="J468" s="589" t="s">
        <v>957</v>
      </c>
      <c r="K468" s="587">
        <f t="shared" si="147"/>
        <v>19.155000000000001</v>
      </c>
      <c r="L468" s="587"/>
      <c r="M468" s="587" t="str">
        <f t="shared" si="146"/>
        <v/>
      </c>
      <c r="N468" s="587"/>
      <c r="O468" s="587" t="str">
        <f t="shared" si="142"/>
        <v/>
      </c>
      <c r="P468" s="587"/>
      <c r="Q468" s="587" t="str">
        <f t="shared" si="148"/>
        <v/>
      </c>
      <c r="R468" s="587"/>
      <c r="S468" s="587" t="str">
        <f t="shared" si="143"/>
        <v/>
      </c>
      <c r="T468" s="587"/>
      <c r="U468" s="587" t="str">
        <f t="shared" si="144"/>
        <v/>
      </c>
      <c r="V468" s="587" t="s">
        <v>957</v>
      </c>
      <c r="W468" s="587">
        <f t="shared" si="145"/>
        <v>16.940000000000001</v>
      </c>
      <c r="X468" s="587"/>
      <c r="Y468" s="587" t="str">
        <f t="shared" si="154"/>
        <v/>
      </c>
      <c r="Z468" s="587"/>
      <c r="AA468" s="587" t="str">
        <f t="shared" si="152"/>
        <v/>
      </c>
      <c r="AB468" s="587"/>
      <c r="AC468" s="587" t="str">
        <f t="shared" si="153"/>
        <v/>
      </c>
      <c r="AD468" s="586"/>
      <c r="AE468" s="587" t="str">
        <f t="shared" si="149"/>
        <v/>
      </c>
    </row>
    <row r="469" spans="2:31">
      <c r="B469" s="586" t="s">
        <v>428</v>
      </c>
      <c r="C469" s="587">
        <v>1.75</v>
      </c>
      <c r="D469" s="588"/>
      <c r="E469" s="587">
        <v>2.9990000000000001</v>
      </c>
      <c r="F469" s="587">
        <f>C469*E469</f>
        <v>5.2482500000000005</v>
      </c>
      <c r="G469" s="587">
        <f>(C469+E469)*2</f>
        <v>9.4980000000000011</v>
      </c>
      <c r="H469" s="589" t="s">
        <v>957</v>
      </c>
      <c r="I469" s="587">
        <f t="shared" si="141"/>
        <v>5.2482500000000005</v>
      </c>
      <c r="J469" s="589" t="s">
        <v>957</v>
      </c>
      <c r="K469" s="587">
        <f t="shared" si="147"/>
        <v>9.4980000000000011</v>
      </c>
      <c r="L469" s="587"/>
      <c r="M469" s="587" t="str">
        <f t="shared" si="146"/>
        <v/>
      </c>
      <c r="N469" s="587"/>
      <c r="O469" s="587" t="str">
        <f t="shared" si="142"/>
        <v/>
      </c>
      <c r="P469" s="587"/>
      <c r="Q469" s="587" t="str">
        <f t="shared" si="148"/>
        <v/>
      </c>
      <c r="R469" s="587"/>
      <c r="S469" s="587" t="str">
        <f t="shared" si="143"/>
        <v/>
      </c>
      <c r="T469" s="587"/>
      <c r="U469" s="587" t="str">
        <f t="shared" si="144"/>
        <v/>
      </c>
      <c r="V469" s="587" t="s">
        <v>957</v>
      </c>
      <c r="W469" s="587">
        <f t="shared" si="145"/>
        <v>5.2482500000000005</v>
      </c>
      <c r="X469" s="587"/>
      <c r="Y469" s="587" t="str">
        <f t="shared" si="154"/>
        <v/>
      </c>
      <c r="Z469" s="587"/>
      <c r="AA469" s="587" t="str">
        <f t="shared" si="152"/>
        <v/>
      </c>
      <c r="AB469" s="587"/>
      <c r="AC469" s="587" t="str">
        <f t="shared" si="153"/>
        <v/>
      </c>
      <c r="AD469" s="586"/>
      <c r="AE469" s="587" t="str">
        <f t="shared" si="149"/>
        <v/>
      </c>
    </row>
    <row r="470" spans="2:31">
      <c r="B470" s="586" t="s">
        <v>551</v>
      </c>
      <c r="C470" s="587"/>
      <c r="D470" s="588"/>
      <c r="E470" s="587"/>
      <c r="F470" s="587">
        <v>37.72</v>
      </c>
      <c r="G470" s="587">
        <v>26.3</v>
      </c>
      <c r="H470" s="589" t="s">
        <v>957</v>
      </c>
      <c r="I470" s="587">
        <f t="shared" si="141"/>
        <v>37.72</v>
      </c>
      <c r="J470" s="589" t="s">
        <v>957</v>
      </c>
      <c r="K470" s="587">
        <f t="shared" si="147"/>
        <v>26.3</v>
      </c>
      <c r="L470" s="587"/>
      <c r="M470" s="587" t="str">
        <f t="shared" si="146"/>
        <v/>
      </c>
      <c r="N470" s="587"/>
      <c r="O470" s="587" t="str">
        <f t="shared" si="142"/>
        <v/>
      </c>
      <c r="P470" s="587"/>
      <c r="Q470" s="587" t="str">
        <f t="shared" si="148"/>
        <v/>
      </c>
      <c r="R470" s="587"/>
      <c r="S470" s="587" t="str">
        <f t="shared" si="143"/>
        <v/>
      </c>
      <c r="T470" s="587"/>
      <c r="U470" s="587" t="str">
        <f t="shared" si="144"/>
        <v/>
      </c>
      <c r="V470" s="587" t="s">
        <v>957</v>
      </c>
      <c r="W470" s="587">
        <f t="shared" si="145"/>
        <v>37.72</v>
      </c>
      <c r="X470" s="587"/>
      <c r="Y470" s="587" t="str">
        <f t="shared" si="154"/>
        <v/>
      </c>
      <c r="Z470" s="587"/>
      <c r="AA470" s="587" t="str">
        <f t="shared" si="152"/>
        <v/>
      </c>
      <c r="AB470" s="587"/>
      <c r="AC470" s="587" t="str">
        <f t="shared" si="153"/>
        <v/>
      </c>
      <c r="AD470" s="586"/>
      <c r="AE470" s="587" t="str">
        <f t="shared" si="149"/>
        <v/>
      </c>
    </row>
    <row r="471" spans="2:31">
      <c r="B471" s="586" t="s">
        <v>428</v>
      </c>
      <c r="C471" s="587"/>
      <c r="D471" s="588"/>
      <c r="E471" s="587"/>
      <c r="F471" s="587">
        <v>4.6500000000000004</v>
      </c>
      <c r="G471" s="587">
        <v>9.1999999999999993</v>
      </c>
      <c r="H471" s="589" t="s">
        <v>957</v>
      </c>
      <c r="I471" s="587">
        <f t="shared" si="141"/>
        <v>4.6500000000000004</v>
      </c>
      <c r="J471" s="589" t="s">
        <v>957</v>
      </c>
      <c r="K471" s="587">
        <f t="shared" si="147"/>
        <v>9.1999999999999993</v>
      </c>
      <c r="L471" s="587"/>
      <c r="M471" s="587" t="str">
        <f t="shared" si="146"/>
        <v/>
      </c>
      <c r="N471" s="587"/>
      <c r="O471" s="587" t="str">
        <f t="shared" si="142"/>
        <v/>
      </c>
      <c r="P471" s="587"/>
      <c r="Q471" s="587" t="str">
        <f t="shared" si="148"/>
        <v/>
      </c>
      <c r="R471" s="587"/>
      <c r="S471" s="587" t="str">
        <f t="shared" si="143"/>
        <v/>
      </c>
      <c r="T471" s="587"/>
      <c r="U471" s="587" t="str">
        <f t="shared" si="144"/>
        <v/>
      </c>
      <c r="V471" s="587" t="s">
        <v>957</v>
      </c>
      <c r="W471" s="587">
        <f t="shared" si="145"/>
        <v>4.6500000000000004</v>
      </c>
      <c r="X471" s="587"/>
      <c r="Y471" s="587" t="str">
        <f t="shared" si="154"/>
        <v/>
      </c>
      <c r="Z471" s="587"/>
      <c r="AA471" s="587" t="str">
        <f t="shared" si="152"/>
        <v/>
      </c>
      <c r="AB471" s="587"/>
      <c r="AC471" s="587" t="str">
        <f t="shared" si="153"/>
        <v/>
      </c>
      <c r="AD471" s="586"/>
      <c r="AE471" s="587" t="str">
        <f t="shared" si="149"/>
        <v/>
      </c>
    </row>
    <row r="472" spans="2:31">
      <c r="B472" s="586" t="s">
        <v>552</v>
      </c>
      <c r="C472" s="587"/>
      <c r="D472" s="588"/>
      <c r="E472" s="587"/>
      <c r="F472" s="587">
        <v>37.72</v>
      </c>
      <c r="G472" s="587">
        <v>26.3</v>
      </c>
      <c r="H472" s="589" t="s">
        <v>957</v>
      </c>
      <c r="I472" s="587">
        <f t="shared" si="141"/>
        <v>37.72</v>
      </c>
      <c r="J472" s="589" t="s">
        <v>957</v>
      </c>
      <c r="K472" s="587">
        <f t="shared" si="147"/>
        <v>26.3</v>
      </c>
      <c r="L472" s="587"/>
      <c r="M472" s="587" t="str">
        <f t="shared" si="146"/>
        <v/>
      </c>
      <c r="N472" s="587"/>
      <c r="O472" s="587" t="str">
        <f t="shared" si="142"/>
        <v/>
      </c>
      <c r="P472" s="587"/>
      <c r="Q472" s="587" t="str">
        <f t="shared" si="148"/>
        <v/>
      </c>
      <c r="R472" s="587"/>
      <c r="S472" s="587" t="str">
        <f t="shared" si="143"/>
        <v/>
      </c>
      <c r="T472" s="587"/>
      <c r="U472" s="587" t="str">
        <f t="shared" si="144"/>
        <v/>
      </c>
      <c r="V472" s="587" t="s">
        <v>957</v>
      </c>
      <c r="W472" s="587">
        <f t="shared" si="145"/>
        <v>37.72</v>
      </c>
      <c r="X472" s="587"/>
      <c r="Y472" s="587" t="str">
        <f t="shared" si="154"/>
        <v/>
      </c>
      <c r="Z472" s="587"/>
      <c r="AA472" s="587" t="str">
        <f t="shared" si="152"/>
        <v/>
      </c>
      <c r="AB472" s="587"/>
      <c r="AC472" s="587" t="str">
        <f t="shared" si="153"/>
        <v/>
      </c>
      <c r="AD472" s="586"/>
      <c r="AE472" s="587" t="str">
        <f t="shared" si="149"/>
        <v/>
      </c>
    </row>
    <row r="473" spans="2:31">
      <c r="B473" s="586" t="s">
        <v>428</v>
      </c>
      <c r="C473" s="587"/>
      <c r="D473" s="588"/>
      <c r="E473" s="587"/>
      <c r="F473" s="587">
        <v>4.6500000000000004</v>
      </c>
      <c r="G473" s="587">
        <v>9.1999999999999993</v>
      </c>
      <c r="H473" s="589" t="s">
        <v>957</v>
      </c>
      <c r="I473" s="587">
        <f t="shared" si="141"/>
        <v>4.6500000000000004</v>
      </c>
      <c r="J473" s="589" t="s">
        <v>957</v>
      </c>
      <c r="K473" s="587">
        <f t="shared" si="147"/>
        <v>9.1999999999999993</v>
      </c>
      <c r="L473" s="587"/>
      <c r="M473" s="587" t="str">
        <f t="shared" si="146"/>
        <v/>
      </c>
      <c r="N473" s="587"/>
      <c r="O473" s="587" t="str">
        <f t="shared" si="142"/>
        <v/>
      </c>
      <c r="P473" s="587"/>
      <c r="Q473" s="587" t="str">
        <f t="shared" si="148"/>
        <v/>
      </c>
      <c r="R473" s="587"/>
      <c r="S473" s="587" t="str">
        <f t="shared" si="143"/>
        <v/>
      </c>
      <c r="T473" s="587"/>
      <c r="U473" s="587" t="str">
        <f t="shared" si="144"/>
        <v/>
      </c>
      <c r="V473" s="587" t="s">
        <v>957</v>
      </c>
      <c r="W473" s="587">
        <f t="shared" si="145"/>
        <v>4.6500000000000004</v>
      </c>
      <c r="X473" s="587"/>
      <c r="Y473" s="587" t="str">
        <f t="shared" si="154"/>
        <v/>
      </c>
      <c r="Z473" s="587"/>
      <c r="AA473" s="587" t="str">
        <f t="shared" si="152"/>
        <v/>
      </c>
      <c r="AB473" s="587"/>
      <c r="AC473" s="587" t="str">
        <f t="shared" si="153"/>
        <v/>
      </c>
      <c r="AD473" s="586"/>
      <c r="AE473" s="587" t="str">
        <f t="shared" si="149"/>
        <v/>
      </c>
    </row>
    <row r="474" spans="2:31">
      <c r="B474" s="586" t="s">
        <v>553</v>
      </c>
      <c r="C474" s="587"/>
      <c r="D474" s="588"/>
      <c r="E474" s="587"/>
      <c r="F474" s="587">
        <v>37.72</v>
      </c>
      <c r="G474" s="587">
        <v>26.3</v>
      </c>
      <c r="H474" s="589" t="s">
        <v>957</v>
      </c>
      <c r="I474" s="587">
        <f t="shared" si="141"/>
        <v>37.72</v>
      </c>
      <c r="J474" s="589" t="s">
        <v>957</v>
      </c>
      <c r="K474" s="587">
        <f t="shared" si="147"/>
        <v>26.3</v>
      </c>
      <c r="L474" s="587"/>
      <c r="M474" s="587" t="str">
        <f t="shared" si="146"/>
        <v/>
      </c>
      <c r="N474" s="587"/>
      <c r="O474" s="587" t="str">
        <f t="shared" si="142"/>
        <v/>
      </c>
      <c r="P474" s="587"/>
      <c r="Q474" s="587" t="str">
        <f t="shared" si="148"/>
        <v/>
      </c>
      <c r="R474" s="587"/>
      <c r="S474" s="587" t="str">
        <f t="shared" si="143"/>
        <v/>
      </c>
      <c r="T474" s="587"/>
      <c r="U474" s="587" t="str">
        <f t="shared" si="144"/>
        <v/>
      </c>
      <c r="V474" s="587" t="s">
        <v>957</v>
      </c>
      <c r="W474" s="587">
        <f t="shared" si="145"/>
        <v>37.72</v>
      </c>
      <c r="X474" s="587"/>
      <c r="Y474" s="587" t="str">
        <f t="shared" si="154"/>
        <v/>
      </c>
      <c r="Z474" s="587"/>
      <c r="AA474" s="587" t="str">
        <f t="shared" si="152"/>
        <v/>
      </c>
      <c r="AB474" s="587"/>
      <c r="AC474" s="587" t="str">
        <f t="shared" si="153"/>
        <v/>
      </c>
      <c r="AD474" s="586"/>
      <c r="AE474" s="587" t="str">
        <f t="shared" si="149"/>
        <v/>
      </c>
    </row>
    <row r="475" spans="2:31">
      <c r="B475" s="586" t="s">
        <v>428</v>
      </c>
      <c r="C475" s="587"/>
      <c r="D475" s="588"/>
      <c r="E475" s="587"/>
      <c r="F475" s="587">
        <v>4.6500000000000004</v>
      </c>
      <c r="G475" s="587">
        <v>9.1999999999999993</v>
      </c>
      <c r="H475" s="589" t="s">
        <v>957</v>
      </c>
      <c r="I475" s="587">
        <f t="shared" si="141"/>
        <v>4.6500000000000004</v>
      </c>
      <c r="J475" s="589" t="s">
        <v>957</v>
      </c>
      <c r="K475" s="587">
        <f t="shared" si="147"/>
        <v>9.1999999999999993</v>
      </c>
      <c r="L475" s="587"/>
      <c r="M475" s="587" t="str">
        <f t="shared" si="146"/>
        <v/>
      </c>
      <c r="N475" s="587"/>
      <c r="O475" s="587" t="str">
        <f t="shared" si="142"/>
        <v/>
      </c>
      <c r="P475" s="587"/>
      <c r="Q475" s="587" t="str">
        <f t="shared" si="148"/>
        <v/>
      </c>
      <c r="R475" s="587"/>
      <c r="S475" s="587" t="str">
        <f t="shared" si="143"/>
        <v/>
      </c>
      <c r="T475" s="587"/>
      <c r="U475" s="587" t="str">
        <f t="shared" si="144"/>
        <v/>
      </c>
      <c r="V475" s="587" t="s">
        <v>957</v>
      </c>
      <c r="W475" s="587">
        <f t="shared" si="145"/>
        <v>4.6500000000000004</v>
      </c>
      <c r="X475" s="587"/>
      <c r="Y475" s="587" t="str">
        <f t="shared" si="154"/>
        <v/>
      </c>
      <c r="Z475" s="587"/>
      <c r="AA475" s="587" t="str">
        <f t="shared" si="152"/>
        <v/>
      </c>
      <c r="AB475" s="587"/>
      <c r="AC475" s="587" t="str">
        <f t="shared" si="153"/>
        <v/>
      </c>
      <c r="AD475" s="586"/>
      <c r="AE475" s="587" t="str">
        <f t="shared" si="149"/>
        <v/>
      </c>
    </row>
    <row r="476" spans="2:31">
      <c r="B476" s="586" t="s">
        <v>554</v>
      </c>
      <c r="C476" s="587"/>
      <c r="D476" s="588"/>
      <c r="E476" s="587"/>
      <c r="F476" s="587">
        <v>37.72</v>
      </c>
      <c r="G476" s="587">
        <v>26.3</v>
      </c>
      <c r="H476" s="589" t="s">
        <v>957</v>
      </c>
      <c r="I476" s="587">
        <f t="shared" si="141"/>
        <v>37.72</v>
      </c>
      <c r="J476" s="589" t="s">
        <v>957</v>
      </c>
      <c r="K476" s="587">
        <f t="shared" si="147"/>
        <v>26.3</v>
      </c>
      <c r="L476" s="587"/>
      <c r="M476" s="587" t="str">
        <f t="shared" si="146"/>
        <v/>
      </c>
      <c r="N476" s="587"/>
      <c r="O476" s="587" t="str">
        <f t="shared" si="142"/>
        <v/>
      </c>
      <c r="P476" s="587"/>
      <c r="Q476" s="587" t="str">
        <f t="shared" si="148"/>
        <v/>
      </c>
      <c r="R476" s="587"/>
      <c r="S476" s="587" t="str">
        <f t="shared" si="143"/>
        <v/>
      </c>
      <c r="T476" s="587"/>
      <c r="U476" s="587" t="str">
        <f t="shared" si="144"/>
        <v/>
      </c>
      <c r="V476" s="587" t="s">
        <v>957</v>
      </c>
      <c r="W476" s="587">
        <f t="shared" si="145"/>
        <v>37.72</v>
      </c>
      <c r="X476" s="587"/>
      <c r="Y476" s="587" t="str">
        <f t="shared" si="154"/>
        <v/>
      </c>
      <c r="Z476" s="587"/>
      <c r="AA476" s="587" t="str">
        <f t="shared" si="152"/>
        <v/>
      </c>
      <c r="AB476" s="587"/>
      <c r="AC476" s="587" t="str">
        <f t="shared" si="153"/>
        <v/>
      </c>
      <c r="AD476" s="586"/>
      <c r="AE476" s="587" t="str">
        <f t="shared" si="149"/>
        <v/>
      </c>
    </row>
    <row r="477" spans="2:31">
      <c r="B477" s="586" t="s">
        <v>428</v>
      </c>
      <c r="C477" s="587"/>
      <c r="D477" s="588"/>
      <c r="E477" s="587"/>
      <c r="F477" s="587">
        <v>4.6500000000000004</v>
      </c>
      <c r="G477" s="587">
        <v>9.1999999999999993</v>
      </c>
      <c r="H477" s="589" t="s">
        <v>957</v>
      </c>
      <c r="I477" s="587">
        <f t="shared" si="141"/>
        <v>4.6500000000000004</v>
      </c>
      <c r="J477" s="589" t="s">
        <v>957</v>
      </c>
      <c r="K477" s="587">
        <f t="shared" si="147"/>
        <v>9.1999999999999993</v>
      </c>
      <c r="L477" s="587"/>
      <c r="M477" s="587" t="str">
        <f t="shared" si="146"/>
        <v/>
      </c>
      <c r="N477" s="587"/>
      <c r="O477" s="587" t="str">
        <f t="shared" si="142"/>
        <v/>
      </c>
      <c r="P477" s="587"/>
      <c r="Q477" s="587" t="str">
        <f t="shared" si="148"/>
        <v/>
      </c>
      <c r="R477" s="587"/>
      <c r="S477" s="587" t="str">
        <f t="shared" si="143"/>
        <v/>
      </c>
      <c r="T477" s="587"/>
      <c r="U477" s="587" t="str">
        <f t="shared" si="144"/>
        <v/>
      </c>
      <c r="V477" s="587" t="s">
        <v>957</v>
      </c>
      <c r="W477" s="587">
        <f t="shared" si="145"/>
        <v>4.6500000000000004</v>
      </c>
      <c r="X477" s="587"/>
      <c r="Y477" s="587" t="str">
        <f t="shared" si="154"/>
        <v/>
      </c>
      <c r="Z477" s="587"/>
      <c r="AA477" s="587" t="str">
        <f t="shared" si="152"/>
        <v/>
      </c>
      <c r="AB477" s="587"/>
      <c r="AC477" s="587" t="str">
        <f t="shared" si="153"/>
        <v/>
      </c>
      <c r="AD477" s="586"/>
      <c r="AE477" s="587" t="str">
        <f t="shared" si="149"/>
        <v/>
      </c>
    </row>
    <row r="478" spans="2:31">
      <c r="B478" s="586" t="s">
        <v>555</v>
      </c>
      <c r="C478" s="587"/>
      <c r="D478" s="588"/>
      <c r="E478" s="587"/>
      <c r="F478" s="587">
        <v>37.72</v>
      </c>
      <c r="G478" s="587">
        <v>26.3</v>
      </c>
      <c r="H478" s="589" t="s">
        <v>957</v>
      </c>
      <c r="I478" s="587">
        <f t="shared" si="141"/>
        <v>37.72</v>
      </c>
      <c r="J478" s="589" t="s">
        <v>957</v>
      </c>
      <c r="K478" s="587">
        <f t="shared" si="147"/>
        <v>26.3</v>
      </c>
      <c r="L478" s="587"/>
      <c r="M478" s="587" t="str">
        <f t="shared" si="146"/>
        <v/>
      </c>
      <c r="N478" s="587"/>
      <c r="O478" s="587" t="str">
        <f t="shared" si="142"/>
        <v/>
      </c>
      <c r="P478" s="587"/>
      <c r="Q478" s="587" t="str">
        <f t="shared" si="148"/>
        <v/>
      </c>
      <c r="R478" s="587"/>
      <c r="S478" s="587" t="str">
        <f t="shared" si="143"/>
        <v/>
      </c>
      <c r="T478" s="587"/>
      <c r="U478" s="587" t="str">
        <f t="shared" si="144"/>
        <v/>
      </c>
      <c r="V478" s="587" t="s">
        <v>957</v>
      </c>
      <c r="W478" s="587">
        <f t="shared" si="145"/>
        <v>37.72</v>
      </c>
      <c r="X478" s="587"/>
      <c r="Y478" s="587" t="str">
        <f t="shared" si="154"/>
        <v/>
      </c>
      <c r="Z478" s="587"/>
      <c r="AA478" s="587" t="str">
        <f t="shared" si="152"/>
        <v/>
      </c>
      <c r="AB478" s="587"/>
      <c r="AC478" s="587" t="str">
        <f t="shared" si="153"/>
        <v/>
      </c>
      <c r="AD478" s="586"/>
      <c r="AE478" s="587" t="str">
        <f t="shared" si="149"/>
        <v/>
      </c>
    </row>
    <row r="479" spans="2:31">
      <c r="B479" s="586" t="s">
        <v>428</v>
      </c>
      <c r="C479" s="587"/>
      <c r="D479" s="588"/>
      <c r="E479" s="587"/>
      <c r="F479" s="587">
        <v>4.6500000000000004</v>
      </c>
      <c r="G479" s="587">
        <v>9.1999999999999993</v>
      </c>
      <c r="H479" s="589" t="s">
        <v>957</v>
      </c>
      <c r="I479" s="587">
        <f t="shared" si="141"/>
        <v>4.6500000000000004</v>
      </c>
      <c r="J479" s="589" t="s">
        <v>957</v>
      </c>
      <c r="K479" s="587">
        <f t="shared" si="147"/>
        <v>9.1999999999999993</v>
      </c>
      <c r="L479" s="587"/>
      <c r="M479" s="587" t="str">
        <f t="shared" si="146"/>
        <v/>
      </c>
      <c r="N479" s="587"/>
      <c r="O479" s="587" t="str">
        <f t="shared" si="142"/>
        <v/>
      </c>
      <c r="P479" s="587"/>
      <c r="Q479" s="587" t="str">
        <f t="shared" si="148"/>
        <v/>
      </c>
      <c r="R479" s="587"/>
      <c r="S479" s="587" t="str">
        <f t="shared" si="143"/>
        <v/>
      </c>
      <c r="T479" s="587"/>
      <c r="U479" s="587" t="str">
        <f t="shared" si="144"/>
        <v/>
      </c>
      <c r="V479" s="587" t="s">
        <v>957</v>
      </c>
      <c r="W479" s="587">
        <f t="shared" si="145"/>
        <v>4.6500000000000004</v>
      </c>
      <c r="X479" s="587"/>
      <c r="Y479" s="587" t="str">
        <f t="shared" si="154"/>
        <v/>
      </c>
      <c r="Z479" s="587"/>
      <c r="AA479" s="587" t="str">
        <f t="shared" si="152"/>
        <v/>
      </c>
      <c r="AB479" s="587"/>
      <c r="AC479" s="587" t="str">
        <f t="shared" si="153"/>
        <v/>
      </c>
      <c r="AD479" s="586"/>
      <c r="AE479" s="587" t="str">
        <f t="shared" si="149"/>
        <v/>
      </c>
    </row>
    <row r="480" spans="2:31">
      <c r="B480" s="586" t="s">
        <v>307</v>
      </c>
      <c r="C480" s="587">
        <v>2.25</v>
      </c>
      <c r="D480" s="588" t="s">
        <v>957</v>
      </c>
      <c r="E480" s="587">
        <v>3.65</v>
      </c>
      <c r="F480" s="587">
        <f>C480*E480</f>
        <v>8.2125000000000004</v>
      </c>
      <c r="G480" s="587">
        <f>(C480+E480)*2</f>
        <v>11.8</v>
      </c>
      <c r="H480" s="589"/>
      <c r="I480" s="587" t="str">
        <f t="shared" si="141"/>
        <v/>
      </c>
      <c r="J480" s="589"/>
      <c r="K480" s="587" t="str">
        <f t="shared" si="147"/>
        <v/>
      </c>
      <c r="L480" s="587" t="s">
        <v>952</v>
      </c>
      <c r="M480" s="587">
        <f t="shared" si="146"/>
        <v>8.2125000000000004</v>
      </c>
      <c r="N480" s="587"/>
      <c r="O480" s="587" t="str">
        <f t="shared" si="142"/>
        <v/>
      </c>
      <c r="P480" s="587"/>
      <c r="Q480" s="587" t="str">
        <f t="shared" si="148"/>
        <v/>
      </c>
      <c r="R480" s="587"/>
      <c r="S480" s="587" t="str">
        <f t="shared" si="143"/>
        <v/>
      </c>
      <c r="T480" s="587"/>
      <c r="U480" s="587" t="str">
        <f t="shared" si="144"/>
        <v/>
      </c>
      <c r="V480" s="587" t="s">
        <v>957</v>
      </c>
      <c r="W480" s="587">
        <f t="shared" si="145"/>
        <v>8.2125000000000004</v>
      </c>
      <c r="X480" s="587"/>
      <c r="Y480" s="587" t="str">
        <f t="shared" si="154"/>
        <v/>
      </c>
      <c r="Z480" s="587"/>
      <c r="AA480" s="587" t="str">
        <f t="shared" si="152"/>
        <v/>
      </c>
      <c r="AB480" s="587"/>
      <c r="AC480" s="587" t="str">
        <f t="shared" si="153"/>
        <v/>
      </c>
      <c r="AD480" s="586"/>
      <c r="AE480" s="587" t="str">
        <f t="shared" si="149"/>
        <v/>
      </c>
    </row>
    <row r="481" spans="2:31">
      <c r="B481" s="586" t="s">
        <v>437</v>
      </c>
      <c r="C481" s="587">
        <v>8.17</v>
      </c>
      <c r="D481" s="588"/>
      <c r="E481" s="587">
        <v>6.8</v>
      </c>
      <c r="F481" s="587">
        <f>C481*E481</f>
        <v>55.555999999999997</v>
      </c>
      <c r="G481" s="587">
        <f>(C481+E481)*2</f>
        <v>29.939999999999998</v>
      </c>
      <c r="H481" s="589"/>
      <c r="I481" s="587" t="str">
        <f t="shared" si="141"/>
        <v/>
      </c>
      <c r="J481" s="589"/>
      <c r="K481" s="587" t="str">
        <f t="shared" si="147"/>
        <v/>
      </c>
      <c r="L481" s="587"/>
      <c r="M481" s="587" t="str">
        <f t="shared" si="146"/>
        <v/>
      </c>
      <c r="N481" s="587"/>
      <c r="O481" s="587" t="str">
        <f t="shared" si="142"/>
        <v/>
      </c>
      <c r="P481" s="587"/>
      <c r="Q481" s="587" t="str">
        <f t="shared" si="148"/>
        <v/>
      </c>
      <c r="R481" s="587"/>
      <c r="S481" s="587" t="str">
        <f t="shared" si="143"/>
        <v/>
      </c>
      <c r="T481" s="587" t="s">
        <v>952</v>
      </c>
      <c r="U481" s="587">
        <f t="shared" si="144"/>
        <v>55.555999999999997</v>
      </c>
      <c r="V481" s="587"/>
      <c r="W481" s="587" t="str">
        <f t="shared" si="145"/>
        <v/>
      </c>
      <c r="X481" s="587"/>
      <c r="Y481" s="587" t="str">
        <f t="shared" si="154"/>
        <v/>
      </c>
      <c r="Z481" s="587"/>
      <c r="AA481" s="587" t="str">
        <f t="shared" si="152"/>
        <v/>
      </c>
      <c r="AB481" s="587"/>
      <c r="AC481" s="587" t="str">
        <f t="shared" si="153"/>
        <v/>
      </c>
      <c r="AD481" s="586"/>
      <c r="AE481" s="587" t="str">
        <f t="shared" si="149"/>
        <v/>
      </c>
    </row>
    <row r="482" spans="2:31">
      <c r="B482" s="586" t="s">
        <v>418</v>
      </c>
      <c r="C482" s="587"/>
      <c r="D482" s="588"/>
      <c r="E482" s="587"/>
      <c r="F482" s="587">
        <v>404.82</v>
      </c>
      <c r="G482" s="587">
        <v>254.55</v>
      </c>
      <c r="H482" s="589" t="s">
        <v>957</v>
      </c>
      <c r="I482" s="587">
        <f t="shared" si="141"/>
        <v>404.82</v>
      </c>
      <c r="J482" s="589" t="s">
        <v>957</v>
      </c>
      <c r="K482" s="587">
        <f t="shared" si="147"/>
        <v>254.55</v>
      </c>
      <c r="L482" s="587"/>
      <c r="M482" s="587" t="str">
        <f t="shared" si="146"/>
        <v/>
      </c>
      <c r="N482" s="587"/>
      <c r="O482" s="587" t="str">
        <f t="shared" si="142"/>
        <v/>
      </c>
      <c r="P482" s="587"/>
      <c r="Q482" s="587" t="str">
        <f t="shared" si="148"/>
        <v/>
      </c>
      <c r="R482" s="587"/>
      <c r="S482" s="587" t="str">
        <f t="shared" si="143"/>
        <v/>
      </c>
      <c r="T482" s="587"/>
      <c r="U482" s="587" t="str">
        <f t="shared" si="144"/>
        <v/>
      </c>
      <c r="V482" s="587"/>
      <c r="W482" s="587" t="str">
        <f t="shared" si="145"/>
        <v/>
      </c>
      <c r="X482" s="587" t="s">
        <v>957</v>
      </c>
      <c r="Y482" s="587">
        <f t="shared" si="154"/>
        <v>404.82</v>
      </c>
      <c r="Z482" s="587"/>
      <c r="AA482" s="587" t="str">
        <f t="shared" si="152"/>
        <v/>
      </c>
      <c r="AB482" s="587"/>
      <c r="AC482" s="587" t="str">
        <f t="shared" si="153"/>
        <v/>
      </c>
      <c r="AD482" s="586"/>
      <c r="AE482" s="587" t="str">
        <f t="shared" si="149"/>
        <v/>
      </c>
    </row>
    <row r="483" spans="2:31">
      <c r="B483" s="590" t="s">
        <v>457</v>
      </c>
      <c r="C483" s="596">
        <v>3.5</v>
      </c>
      <c r="D483" s="597" t="s">
        <v>957</v>
      </c>
      <c r="E483" s="596">
        <v>6.62</v>
      </c>
      <c r="F483" s="596">
        <f>C483*E483</f>
        <v>23.17</v>
      </c>
      <c r="G483" s="596">
        <f>(C483+E483)*2</f>
        <v>20.240000000000002</v>
      </c>
      <c r="H483" s="589"/>
      <c r="I483" s="587" t="str">
        <f t="shared" si="141"/>
        <v/>
      </c>
      <c r="J483" s="589"/>
      <c r="K483" s="587" t="str">
        <f t="shared" si="147"/>
        <v/>
      </c>
      <c r="L483" s="587" t="s">
        <v>952</v>
      </c>
      <c r="M483" s="587">
        <f t="shared" si="146"/>
        <v>23.17</v>
      </c>
      <c r="N483" s="587"/>
      <c r="O483" s="587" t="str">
        <f t="shared" si="142"/>
        <v/>
      </c>
      <c r="P483" s="587"/>
      <c r="Q483" s="587" t="str">
        <f t="shared" si="148"/>
        <v/>
      </c>
      <c r="R483" s="587"/>
      <c r="S483" s="587" t="str">
        <f t="shared" si="143"/>
        <v/>
      </c>
      <c r="T483" s="587"/>
      <c r="U483" s="587" t="str">
        <f t="shared" si="144"/>
        <v/>
      </c>
      <c r="V483" s="587"/>
      <c r="W483" s="587" t="str">
        <f t="shared" si="145"/>
        <v/>
      </c>
      <c r="X483" s="587"/>
      <c r="Y483" s="587" t="str">
        <f t="shared" si="154"/>
        <v/>
      </c>
      <c r="Z483" s="587"/>
      <c r="AA483" s="587" t="str">
        <f t="shared" si="152"/>
        <v/>
      </c>
      <c r="AB483" s="587" t="s">
        <v>952</v>
      </c>
      <c r="AC483" s="587">
        <f t="shared" si="153"/>
        <v>23.17</v>
      </c>
      <c r="AD483" s="586"/>
      <c r="AE483" s="587" t="str">
        <f t="shared" si="149"/>
        <v/>
      </c>
    </row>
    <row r="484" spans="2:31">
      <c r="B484" s="590" t="s">
        <v>458</v>
      </c>
      <c r="C484" s="596">
        <v>3.5</v>
      </c>
      <c r="D484" s="597" t="s">
        <v>957</v>
      </c>
      <c r="E484" s="596">
        <v>6.62</v>
      </c>
      <c r="F484" s="596">
        <f>C484*E484</f>
        <v>23.17</v>
      </c>
      <c r="G484" s="596">
        <f>(C484+E484)*2</f>
        <v>20.240000000000002</v>
      </c>
      <c r="H484" s="589"/>
      <c r="I484" s="587" t="str">
        <f t="shared" si="141"/>
        <v/>
      </c>
      <c r="J484" s="589"/>
      <c r="K484" s="587" t="str">
        <f t="shared" si="147"/>
        <v/>
      </c>
      <c r="L484" s="587" t="s">
        <v>952</v>
      </c>
      <c r="M484" s="587">
        <f t="shared" si="146"/>
        <v>23.17</v>
      </c>
      <c r="N484" s="587"/>
      <c r="O484" s="587" t="str">
        <f t="shared" si="142"/>
        <v/>
      </c>
      <c r="P484" s="587"/>
      <c r="Q484" s="587" t="str">
        <f t="shared" si="148"/>
        <v/>
      </c>
      <c r="R484" s="587"/>
      <c r="S484" s="587" t="str">
        <f t="shared" si="143"/>
        <v/>
      </c>
      <c r="T484" s="587"/>
      <c r="U484" s="587" t="str">
        <f t="shared" si="144"/>
        <v/>
      </c>
      <c r="V484" s="587"/>
      <c r="W484" s="587" t="str">
        <f t="shared" si="145"/>
        <v/>
      </c>
      <c r="X484" s="587"/>
      <c r="Y484" s="587" t="str">
        <f t="shared" si="154"/>
        <v/>
      </c>
      <c r="Z484" s="587"/>
      <c r="AA484" s="587" t="str">
        <f t="shared" si="152"/>
        <v/>
      </c>
      <c r="AB484" s="587" t="s">
        <v>952</v>
      </c>
      <c r="AC484" s="587">
        <f t="shared" si="153"/>
        <v>23.17</v>
      </c>
      <c r="AD484" s="586"/>
      <c r="AE484" s="587" t="str">
        <f t="shared" si="149"/>
        <v/>
      </c>
    </row>
    <row r="485" spans="2:31">
      <c r="B485" s="590" t="s">
        <v>459</v>
      </c>
      <c r="C485" s="596">
        <v>2.9</v>
      </c>
      <c r="D485" s="597" t="s">
        <v>957</v>
      </c>
      <c r="E485" s="596">
        <v>6.65</v>
      </c>
      <c r="F485" s="596">
        <f>C485*E485</f>
        <v>19.285</v>
      </c>
      <c r="G485" s="596">
        <f>(C485+E485)*2</f>
        <v>19.100000000000001</v>
      </c>
      <c r="H485" s="589"/>
      <c r="I485" s="587" t="str">
        <f t="shared" si="141"/>
        <v/>
      </c>
      <c r="J485" s="589"/>
      <c r="K485" s="587" t="str">
        <f t="shared" si="147"/>
        <v/>
      </c>
      <c r="L485" s="587" t="s">
        <v>952</v>
      </c>
      <c r="M485" s="587">
        <f t="shared" si="146"/>
        <v>19.285</v>
      </c>
      <c r="N485" s="587"/>
      <c r="O485" s="587" t="str">
        <f t="shared" si="142"/>
        <v/>
      </c>
      <c r="P485" s="587"/>
      <c r="Q485" s="587" t="str">
        <f t="shared" si="148"/>
        <v/>
      </c>
      <c r="R485" s="587"/>
      <c r="S485" s="587" t="str">
        <f t="shared" si="143"/>
        <v/>
      </c>
      <c r="T485" s="587"/>
      <c r="U485" s="587" t="str">
        <f t="shared" si="144"/>
        <v/>
      </c>
      <c r="V485" s="587"/>
      <c r="W485" s="587" t="str">
        <f t="shared" si="145"/>
        <v/>
      </c>
      <c r="X485" s="587"/>
      <c r="Y485" s="587" t="str">
        <f t="shared" si="154"/>
        <v/>
      </c>
      <c r="Z485" s="587"/>
      <c r="AA485" s="587" t="str">
        <f t="shared" si="152"/>
        <v/>
      </c>
      <c r="AB485" s="587" t="s">
        <v>952</v>
      </c>
      <c r="AC485" s="587">
        <f t="shared" si="153"/>
        <v>19.285</v>
      </c>
      <c r="AD485" s="586"/>
      <c r="AE485" s="587" t="str">
        <f t="shared" si="149"/>
        <v/>
      </c>
    </row>
    <row r="486" spans="2:31">
      <c r="B486" s="582" t="s">
        <v>969</v>
      </c>
      <c r="C486" s="583"/>
      <c r="D486" s="583"/>
      <c r="E486" s="583"/>
      <c r="F486" s="583"/>
      <c r="G486" s="583"/>
      <c r="H486" s="584"/>
      <c r="I486" s="583"/>
      <c r="J486" s="584"/>
      <c r="K486" s="587" t="str">
        <f t="shared" si="147"/>
        <v/>
      </c>
      <c r="L486" s="583"/>
      <c r="M486" s="583"/>
      <c r="N486" s="583"/>
      <c r="O486" s="583"/>
      <c r="P486" s="583"/>
      <c r="Q486" s="587" t="str">
        <f t="shared" si="148"/>
        <v/>
      </c>
      <c r="R486" s="583"/>
      <c r="S486" s="583"/>
      <c r="T486" s="583"/>
      <c r="U486" s="583"/>
      <c r="V486" s="583"/>
      <c r="W486" s="583"/>
      <c r="X486" s="583"/>
      <c r="Y486" s="587" t="str">
        <f t="shared" si="154"/>
        <v/>
      </c>
      <c r="Z486" s="583"/>
      <c r="AA486" s="587" t="str">
        <f t="shared" si="152"/>
        <v/>
      </c>
      <c r="AB486" s="583"/>
      <c r="AC486" s="587" t="str">
        <f t="shared" si="153"/>
        <v/>
      </c>
      <c r="AD486" s="586"/>
      <c r="AE486" s="587" t="str">
        <f t="shared" si="149"/>
        <v/>
      </c>
    </row>
    <row r="487" spans="2:31">
      <c r="B487" s="586" t="s">
        <v>295</v>
      </c>
      <c r="C487" s="587"/>
      <c r="D487" s="588"/>
      <c r="E487" s="587"/>
      <c r="F487" s="587">
        <f>2.5*(13.75*4+2.15*2)+5.15*2*3</f>
        <v>179.15</v>
      </c>
      <c r="G487" s="587"/>
      <c r="H487" s="589"/>
      <c r="I487" s="587" t="str">
        <f t="shared" ref="I487:I550" si="155">IF(H487="x",F487,"")</f>
        <v/>
      </c>
      <c r="J487" s="589"/>
      <c r="K487" s="587" t="str">
        <f t="shared" si="147"/>
        <v/>
      </c>
      <c r="L487" s="587" t="s">
        <v>952</v>
      </c>
      <c r="M487" s="587">
        <f t="shared" si="146"/>
        <v>179.15</v>
      </c>
      <c r="N487" s="587"/>
      <c r="O487" s="587" t="str">
        <f t="shared" ref="O487:O549" si="156">IF(N487="x",F487,"")</f>
        <v/>
      </c>
      <c r="P487" s="587"/>
      <c r="Q487" s="587" t="str">
        <f t="shared" si="148"/>
        <v/>
      </c>
      <c r="R487" s="587"/>
      <c r="S487" s="587" t="str">
        <f t="shared" ref="S487:S549" si="157">IF(R487="x",F487,"")</f>
        <v/>
      </c>
      <c r="T487" s="587"/>
      <c r="U487" s="587" t="str">
        <f t="shared" ref="U487:U550" si="158">IF(T487="x",F487,"")</f>
        <v/>
      </c>
      <c r="V487" s="587"/>
      <c r="W487" s="587" t="str">
        <f t="shared" ref="W487:W550" si="159">IF(V487="x",F487,"")</f>
        <v/>
      </c>
      <c r="X487" s="587"/>
      <c r="Y487" s="587" t="str">
        <f t="shared" si="154"/>
        <v/>
      </c>
      <c r="Z487" s="587"/>
      <c r="AA487" s="587" t="str">
        <f t="shared" si="152"/>
        <v/>
      </c>
      <c r="AB487" s="587" t="s">
        <v>952</v>
      </c>
      <c r="AC487" s="587">
        <f t="shared" si="153"/>
        <v>179.15</v>
      </c>
      <c r="AD487" s="586"/>
      <c r="AE487" s="587" t="str">
        <f t="shared" si="149"/>
        <v/>
      </c>
    </row>
    <row r="488" spans="2:31">
      <c r="B488" s="586" t="s">
        <v>296</v>
      </c>
      <c r="C488" s="587"/>
      <c r="D488" s="588"/>
      <c r="E488" s="587"/>
      <c r="F488" s="587">
        <v>139.33000000000001</v>
      </c>
      <c r="G488" s="587">
        <v>64.38</v>
      </c>
      <c r="H488" s="589" t="s">
        <v>957</v>
      </c>
      <c r="I488" s="587">
        <f t="shared" si="155"/>
        <v>139.33000000000001</v>
      </c>
      <c r="J488" s="589" t="s">
        <v>957</v>
      </c>
      <c r="K488" s="587">
        <f t="shared" si="147"/>
        <v>64.38</v>
      </c>
      <c r="L488" s="587"/>
      <c r="M488" s="587" t="str">
        <f t="shared" si="146"/>
        <v/>
      </c>
      <c r="N488" s="587"/>
      <c r="O488" s="587" t="str">
        <f t="shared" si="156"/>
        <v/>
      </c>
      <c r="P488" s="587"/>
      <c r="Q488" s="587" t="str">
        <f t="shared" si="148"/>
        <v/>
      </c>
      <c r="R488" s="587"/>
      <c r="S488" s="587" t="str">
        <f t="shared" si="157"/>
        <v/>
      </c>
      <c r="T488" s="587"/>
      <c r="U488" s="587" t="str">
        <f t="shared" si="158"/>
        <v/>
      </c>
      <c r="V488" s="587"/>
      <c r="W488" s="587" t="str">
        <f t="shared" si="159"/>
        <v/>
      </c>
      <c r="X488" s="587" t="s">
        <v>957</v>
      </c>
      <c r="Y488" s="587">
        <f t="shared" si="154"/>
        <v>139.33000000000001</v>
      </c>
      <c r="Z488" s="587"/>
      <c r="AA488" s="587" t="str">
        <f t="shared" si="152"/>
        <v/>
      </c>
      <c r="AB488" s="587"/>
      <c r="AC488" s="587" t="str">
        <f t="shared" si="153"/>
        <v/>
      </c>
      <c r="AD488" s="586"/>
      <c r="AE488" s="587" t="str">
        <f t="shared" si="149"/>
        <v/>
      </c>
    </row>
    <row r="489" spans="2:31">
      <c r="B489" s="586" t="s">
        <v>533</v>
      </c>
      <c r="C489" s="587">
        <v>4.2119999999999997</v>
      </c>
      <c r="D489" s="588" t="s">
        <v>957</v>
      </c>
      <c r="E489" s="587">
        <v>9.82</v>
      </c>
      <c r="F489" s="587">
        <f>C489*E489</f>
        <v>41.361840000000001</v>
      </c>
      <c r="G489" s="587">
        <f>(C489+E489)*2</f>
        <v>28.064</v>
      </c>
      <c r="H489" s="589" t="s">
        <v>957</v>
      </c>
      <c r="I489" s="587">
        <f t="shared" si="155"/>
        <v>41.361840000000001</v>
      </c>
      <c r="J489" s="589" t="s">
        <v>957</v>
      </c>
      <c r="K489" s="587">
        <f t="shared" si="147"/>
        <v>28.064</v>
      </c>
      <c r="L489" s="587"/>
      <c r="M489" s="587" t="str">
        <f t="shared" si="146"/>
        <v/>
      </c>
      <c r="N489" s="587"/>
      <c r="O489" s="587" t="str">
        <f t="shared" si="156"/>
        <v/>
      </c>
      <c r="P489" s="587"/>
      <c r="Q489" s="587" t="str">
        <f t="shared" si="148"/>
        <v/>
      </c>
      <c r="R489" s="587"/>
      <c r="S489" s="587" t="str">
        <f t="shared" si="157"/>
        <v/>
      </c>
      <c r="T489" s="587"/>
      <c r="U489" s="587" t="str">
        <f t="shared" si="158"/>
        <v/>
      </c>
      <c r="V489" s="587" t="s">
        <v>957</v>
      </c>
      <c r="W489" s="587">
        <f t="shared" si="159"/>
        <v>41.361840000000001</v>
      </c>
      <c r="X489" s="587"/>
      <c r="Y489" s="587" t="str">
        <f t="shared" si="154"/>
        <v/>
      </c>
      <c r="Z489" s="587"/>
      <c r="AA489" s="587" t="str">
        <f t="shared" si="152"/>
        <v/>
      </c>
      <c r="AB489" s="587"/>
      <c r="AC489" s="587" t="str">
        <f t="shared" si="153"/>
        <v/>
      </c>
      <c r="AD489" s="586"/>
      <c r="AE489" s="587" t="str">
        <f t="shared" si="149"/>
        <v/>
      </c>
    </row>
    <row r="490" spans="2:31">
      <c r="B490" s="586" t="s">
        <v>297</v>
      </c>
      <c r="C490" s="587">
        <v>3</v>
      </c>
      <c r="D490" s="588" t="s">
        <v>957</v>
      </c>
      <c r="E490" s="587">
        <v>4.1500000000000004</v>
      </c>
      <c r="F490" s="587">
        <f>C490*E490</f>
        <v>12.450000000000001</v>
      </c>
      <c r="G490" s="587">
        <f>(C490+E490)*2</f>
        <v>14.3</v>
      </c>
      <c r="H490" s="589" t="s">
        <v>957</v>
      </c>
      <c r="I490" s="587">
        <f t="shared" si="155"/>
        <v>12.450000000000001</v>
      </c>
      <c r="J490" s="589" t="s">
        <v>957</v>
      </c>
      <c r="K490" s="587">
        <f t="shared" si="147"/>
        <v>14.3</v>
      </c>
      <c r="L490" s="587"/>
      <c r="M490" s="587" t="str">
        <f t="shared" si="146"/>
        <v/>
      </c>
      <c r="N490" s="587"/>
      <c r="O490" s="587" t="str">
        <f t="shared" si="156"/>
        <v/>
      </c>
      <c r="P490" s="587"/>
      <c r="Q490" s="587" t="str">
        <f t="shared" si="148"/>
        <v/>
      </c>
      <c r="R490" s="587"/>
      <c r="S490" s="587" t="str">
        <f t="shared" si="157"/>
        <v/>
      </c>
      <c r="T490" s="587"/>
      <c r="U490" s="587" t="str">
        <f t="shared" si="158"/>
        <v/>
      </c>
      <c r="V490" s="587"/>
      <c r="W490" s="587" t="str">
        <f t="shared" si="159"/>
        <v/>
      </c>
      <c r="X490" s="587" t="s">
        <v>957</v>
      </c>
      <c r="Y490" s="587">
        <f t="shared" si="154"/>
        <v>12.450000000000001</v>
      </c>
      <c r="Z490" s="587"/>
      <c r="AA490" s="587" t="str">
        <f t="shared" si="152"/>
        <v/>
      </c>
      <c r="AB490" s="587"/>
      <c r="AC490" s="587" t="str">
        <f t="shared" si="153"/>
        <v/>
      </c>
      <c r="AD490" s="586"/>
      <c r="AE490" s="587" t="str">
        <f t="shared" si="149"/>
        <v/>
      </c>
    </row>
    <row r="491" spans="2:31">
      <c r="B491" s="586" t="s">
        <v>408</v>
      </c>
      <c r="C491" s="587"/>
      <c r="D491" s="588"/>
      <c r="E491" s="587"/>
      <c r="F491" s="587">
        <v>53.02</v>
      </c>
      <c r="G491" s="587">
        <v>36.619999999999997</v>
      </c>
      <c r="H491" s="589" t="s">
        <v>957</v>
      </c>
      <c r="I491" s="587">
        <f t="shared" si="155"/>
        <v>53.02</v>
      </c>
      <c r="J491" s="589" t="s">
        <v>957</v>
      </c>
      <c r="K491" s="587">
        <f t="shared" si="147"/>
        <v>36.619999999999997</v>
      </c>
      <c r="L491" s="587"/>
      <c r="M491" s="587" t="str">
        <f t="shared" si="146"/>
        <v/>
      </c>
      <c r="N491" s="587"/>
      <c r="O491" s="587" t="str">
        <f t="shared" si="156"/>
        <v/>
      </c>
      <c r="P491" s="587"/>
      <c r="Q491" s="587" t="str">
        <f t="shared" si="148"/>
        <v/>
      </c>
      <c r="R491" s="587"/>
      <c r="S491" s="587" t="str">
        <f t="shared" si="157"/>
        <v/>
      </c>
      <c r="T491" s="587"/>
      <c r="U491" s="587" t="str">
        <f t="shared" si="158"/>
        <v/>
      </c>
      <c r="V491" s="587"/>
      <c r="W491" s="587" t="str">
        <f t="shared" si="159"/>
        <v/>
      </c>
      <c r="X491" s="587"/>
      <c r="Y491" s="587" t="str">
        <f t="shared" si="154"/>
        <v/>
      </c>
      <c r="Z491" s="587" t="s">
        <v>952</v>
      </c>
      <c r="AA491" s="587">
        <f t="shared" si="152"/>
        <v>53.02</v>
      </c>
      <c r="AB491" s="587"/>
      <c r="AC491" s="587" t="str">
        <f t="shared" si="153"/>
        <v/>
      </c>
      <c r="AD491" s="586"/>
      <c r="AE491" s="587" t="str">
        <f t="shared" si="149"/>
        <v/>
      </c>
    </row>
    <row r="492" spans="2:31">
      <c r="B492" s="586" t="s">
        <v>357</v>
      </c>
      <c r="C492" s="587">
        <v>1.95</v>
      </c>
      <c r="D492" s="588" t="s">
        <v>957</v>
      </c>
      <c r="E492" s="587">
        <v>1.6</v>
      </c>
      <c r="F492" s="587">
        <f>C492*E492</f>
        <v>3.12</v>
      </c>
      <c r="G492" s="587">
        <f>(C492+E492)*2</f>
        <v>7.1</v>
      </c>
      <c r="H492" s="589" t="s">
        <v>957</v>
      </c>
      <c r="I492" s="587">
        <f t="shared" si="155"/>
        <v>3.12</v>
      </c>
      <c r="J492" s="589" t="s">
        <v>957</v>
      </c>
      <c r="K492" s="587">
        <f t="shared" si="147"/>
        <v>7.1</v>
      </c>
      <c r="L492" s="587"/>
      <c r="M492" s="587" t="str">
        <f t="shared" si="146"/>
        <v/>
      </c>
      <c r="N492" s="587"/>
      <c r="O492" s="587" t="str">
        <f t="shared" si="156"/>
        <v/>
      </c>
      <c r="P492" s="587"/>
      <c r="Q492" s="587" t="str">
        <f t="shared" si="148"/>
        <v/>
      </c>
      <c r="R492" s="587"/>
      <c r="S492" s="587" t="str">
        <f t="shared" si="157"/>
        <v/>
      </c>
      <c r="T492" s="587"/>
      <c r="U492" s="587" t="str">
        <f t="shared" si="158"/>
        <v/>
      </c>
      <c r="V492" s="587" t="s">
        <v>957</v>
      </c>
      <c r="W492" s="587">
        <f t="shared" si="159"/>
        <v>3.12</v>
      </c>
      <c r="X492" s="587"/>
      <c r="Y492" s="587" t="str">
        <f t="shared" si="154"/>
        <v/>
      </c>
      <c r="Z492" s="587"/>
      <c r="AA492" s="587" t="str">
        <f t="shared" si="152"/>
        <v/>
      </c>
      <c r="AB492" s="587"/>
      <c r="AC492" s="587" t="str">
        <f t="shared" si="153"/>
        <v/>
      </c>
      <c r="AD492" s="586"/>
      <c r="AE492" s="587" t="str">
        <f t="shared" si="149"/>
        <v/>
      </c>
    </row>
    <row r="493" spans="2:31">
      <c r="B493" s="586" t="s">
        <v>356</v>
      </c>
      <c r="C493" s="587">
        <v>1.95</v>
      </c>
      <c r="D493" s="588" t="s">
        <v>957</v>
      </c>
      <c r="E493" s="587">
        <v>1.6</v>
      </c>
      <c r="F493" s="587">
        <f>C493*E493</f>
        <v>3.12</v>
      </c>
      <c r="G493" s="587">
        <f>(C493+E493)*2</f>
        <v>7.1</v>
      </c>
      <c r="H493" s="589" t="s">
        <v>957</v>
      </c>
      <c r="I493" s="587">
        <f t="shared" si="155"/>
        <v>3.12</v>
      </c>
      <c r="J493" s="589" t="s">
        <v>957</v>
      </c>
      <c r="K493" s="587">
        <f t="shared" si="147"/>
        <v>7.1</v>
      </c>
      <c r="L493" s="587"/>
      <c r="M493" s="587" t="str">
        <f t="shared" si="146"/>
        <v/>
      </c>
      <c r="N493" s="587"/>
      <c r="O493" s="587" t="str">
        <f t="shared" si="156"/>
        <v/>
      </c>
      <c r="P493" s="587"/>
      <c r="Q493" s="587" t="str">
        <f t="shared" si="148"/>
        <v/>
      </c>
      <c r="R493" s="587"/>
      <c r="S493" s="587" t="str">
        <f t="shared" si="157"/>
        <v/>
      </c>
      <c r="T493" s="587"/>
      <c r="U493" s="587" t="str">
        <f t="shared" si="158"/>
        <v/>
      </c>
      <c r="V493" s="587" t="s">
        <v>957</v>
      </c>
      <c r="W493" s="587">
        <f t="shared" si="159"/>
        <v>3.12</v>
      </c>
      <c r="X493" s="587"/>
      <c r="Y493" s="587" t="str">
        <f t="shared" si="154"/>
        <v/>
      </c>
      <c r="Z493" s="587"/>
      <c r="AA493" s="587" t="str">
        <f t="shared" si="152"/>
        <v/>
      </c>
      <c r="AB493" s="587"/>
      <c r="AC493" s="587" t="str">
        <f t="shared" si="153"/>
        <v/>
      </c>
      <c r="AD493" s="586"/>
      <c r="AE493" s="587" t="str">
        <f t="shared" si="149"/>
        <v/>
      </c>
    </row>
    <row r="494" spans="2:31">
      <c r="B494" s="586" t="s">
        <v>307</v>
      </c>
      <c r="C494" s="587">
        <v>2.25</v>
      </c>
      <c r="D494" s="588" t="s">
        <v>957</v>
      </c>
      <c r="E494" s="587">
        <v>3.65</v>
      </c>
      <c r="F494" s="587">
        <f>C494*E494</f>
        <v>8.2125000000000004</v>
      </c>
      <c r="G494" s="587">
        <f>(C494+E494)*2</f>
        <v>11.8</v>
      </c>
      <c r="H494" s="589"/>
      <c r="I494" s="587" t="str">
        <f t="shared" si="155"/>
        <v/>
      </c>
      <c r="J494" s="589"/>
      <c r="K494" s="587" t="str">
        <f t="shared" si="147"/>
        <v/>
      </c>
      <c r="L494" s="587" t="s">
        <v>952</v>
      </c>
      <c r="M494" s="587">
        <f t="shared" si="146"/>
        <v>8.2125000000000004</v>
      </c>
      <c r="N494" s="587"/>
      <c r="O494" s="587" t="str">
        <f t="shared" si="156"/>
        <v/>
      </c>
      <c r="P494" s="587"/>
      <c r="Q494" s="587" t="str">
        <f t="shared" si="148"/>
        <v/>
      </c>
      <c r="R494" s="587"/>
      <c r="S494" s="587" t="str">
        <f t="shared" si="157"/>
        <v/>
      </c>
      <c r="T494" s="587"/>
      <c r="U494" s="587" t="str">
        <f t="shared" si="158"/>
        <v/>
      </c>
      <c r="V494" s="587" t="s">
        <v>957</v>
      </c>
      <c r="W494" s="587">
        <f t="shared" si="159"/>
        <v>8.2125000000000004</v>
      </c>
      <c r="X494" s="587"/>
      <c r="Y494" s="587" t="str">
        <f t="shared" si="154"/>
        <v/>
      </c>
      <c r="Z494" s="587"/>
      <c r="AA494" s="587" t="str">
        <f t="shared" si="152"/>
        <v/>
      </c>
      <c r="AB494" s="587"/>
      <c r="AC494" s="587" t="str">
        <f t="shared" si="153"/>
        <v/>
      </c>
      <c r="AD494" s="586"/>
      <c r="AE494" s="587" t="str">
        <f t="shared" si="149"/>
        <v/>
      </c>
    </row>
    <row r="495" spans="2:31">
      <c r="B495" s="586" t="s">
        <v>534</v>
      </c>
      <c r="C495" s="587"/>
      <c r="D495" s="588"/>
      <c r="E495" s="587"/>
      <c r="F495" s="587">
        <v>37.72</v>
      </c>
      <c r="G495" s="587">
        <v>26.3</v>
      </c>
      <c r="H495" s="589" t="s">
        <v>957</v>
      </c>
      <c r="I495" s="587">
        <f t="shared" si="155"/>
        <v>37.72</v>
      </c>
      <c r="J495" s="589" t="s">
        <v>957</v>
      </c>
      <c r="K495" s="587">
        <f t="shared" si="147"/>
        <v>26.3</v>
      </c>
      <c r="L495" s="587"/>
      <c r="M495" s="587" t="str">
        <f t="shared" si="146"/>
        <v/>
      </c>
      <c r="N495" s="587"/>
      <c r="O495" s="587" t="str">
        <f t="shared" si="156"/>
        <v/>
      </c>
      <c r="P495" s="587"/>
      <c r="Q495" s="587" t="str">
        <f t="shared" si="148"/>
        <v/>
      </c>
      <c r="R495" s="587"/>
      <c r="S495" s="587" t="str">
        <f t="shared" si="157"/>
        <v/>
      </c>
      <c r="T495" s="587"/>
      <c r="U495" s="587" t="str">
        <f t="shared" si="158"/>
        <v/>
      </c>
      <c r="V495" s="587" t="s">
        <v>957</v>
      </c>
      <c r="W495" s="587">
        <f t="shared" si="159"/>
        <v>37.72</v>
      </c>
      <c r="X495" s="587"/>
      <c r="Y495" s="587" t="str">
        <f t="shared" si="154"/>
        <v/>
      </c>
      <c r="Z495" s="587"/>
      <c r="AA495" s="587" t="str">
        <f t="shared" si="152"/>
        <v/>
      </c>
      <c r="AB495" s="587"/>
      <c r="AC495" s="587" t="str">
        <f t="shared" si="153"/>
        <v/>
      </c>
      <c r="AD495" s="586"/>
      <c r="AE495" s="587" t="str">
        <f t="shared" si="149"/>
        <v/>
      </c>
    </row>
    <row r="496" spans="2:31">
      <c r="B496" s="586" t="s">
        <v>428</v>
      </c>
      <c r="C496" s="587"/>
      <c r="D496" s="588"/>
      <c r="E496" s="587"/>
      <c r="F496" s="587">
        <v>4.6500000000000004</v>
      </c>
      <c r="G496" s="587">
        <v>9.1999999999999993</v>
      </c>
      <c r="H496" s="589" t="s">
        <v>957</v>
      </c>
      <c r="I496" s="587">
        <f t="shared" si="155"/>
        <v>4.6500000000000004</v>
      </c>
      <c r="J496" s="589" t="s">
        <v>957</v>
      </c>
      <c r="K496" s="587">
        <f t="shared" si="147"/>
        <v>9.1999999999999993</v>
      </c>
      <c r="L496" s="587"/>
      <c r="M496" s="587" t="str">
        <f t="shared" si="146"/>
        <v/>
      </c>
      <c r="N496" s="587"/>
      <c r="O496" s="587" t="str">
        <f t="shared" si="156"/>
        <v/>
      </c>
      <c r="P496" s="587"/>
      <c r="Q496" s="587" t="str">
        <f t="shared" si="148"/>
        <v/>
      </c>
      <c r="R496" s="587"/>
      <c r="S496" s="587" t="str">
        <f t="shared" si="157"/>
        <v/>
      </c>
      <c r="T496" s="587"/>
      <c r="U496" s="587" t="str">
        <f t="shared" si="158"/>
        <v/>
      </c>
      <c r="V496" s="587" t="s">
        <v>957</v>
      </c>
      <c r="W496" s="587">
        <f t="shared" si="159"/>
        <v>4.6500000000000004</v>
      </c>
      <c r="X496" s="587"/>
      <c r="Y496" s="587" t="str">
        <f t="shared" si="154"/>
        <v/>
      </c>
      <c r="Z496" s="587"/>
      <c r="AA496" s="587" t="str">
        <f t="shared" si="152"/>
        <v/>
      </c>
      <c r="AB496" s="587"/>
      <c r="AC496" s="587" t="str">
        <f t="shared" si="153"/>
        <v/>
      </c>
      <c r="AD496" s="586"/>
      <c r="AE496" s="587" t="str">
        <f t="shared" si="149"/>
        <v/>
      </c>
    </row>
    <row r="497" spans="2:31">
      <c r="B497" s="586" t="s">
        <v>535</v>
      </c>
      <c r="C497" s="587"/>
      <c r="D497" s="588"/>
      <c r="E497" s="587"/>
      <c r="F497" s="587">
        <v>37.72</v>
      </c>
      <c r="G497" s="587">
        <v>26.3</v>
      </c>
      <c r="H497" s="589" t="s">
        <v>957</v>
      </c>
      <c r="I497" s="587">
        <f t="shared" si="155"/>
        <v>37.72</v>
      </c>
      <c r="J497" s="589" t="s">
        <v>957</v>
      </c>
      <c r="K497" s="587">
        <f t="shared" si="147"/>
        <v>26.3</v>
      </c>
      <c r="L497" s="587"/>
      <c r="M497" s="587" t="str">
        <f t="shared" si="146"/>
        <v/>
      </c>
      <c r="N497" s="587"/>
      <c r="O497" s="587" t="str">
        <f t="shared" si="156"/>
        <v/>
      </c>
      <c r="P497" s="587"/>
      <c r="Q497" s="587" t="str">
        <f t="shared" si="148"/>
        <v/>
      </c>
      <c r="R497" s="587"/>
      <c r="S497" s="587" t="str">
        <f t="shared" si="157"/>
        <v/>
      </c>
      <c r="T497" s="587"/>
      <c r="U497" s="587" t="str">
        <f t="shared" si="158"/>
        <v/>
      </c>
      <c r="V497" s="587" t="s">
        <v>957</v>
      </c>
      <c r="W497" s="587">
        <f t="shared" si="159"/>
        <v>37.72</v>
      </c>
      <c r="X497" s="587"/>
      <c r="Y497" s="587" t="str">
        <f t="shared" si="154"/>
        <v/>
      </c>
      <c r="Z497" s="587"/>
      <c r="AA497" s="587" t="str">
        <f t="shared" si="152"/>
        <v/>
      </c>
      <c r="AB497" s="587"/>
      <c r="AC497" s="587" t="str">
        <f t="shared" si="153"/>
        <v/>
      </c>
      <c r="AD497" s="586"/>
      <c r="AE497" s="587" t="str">
        <f t="shared" si="149"/>
        <v/>
      </c>
    </row>
    <row r="498" spans="2:31">
      <c r="B498" s="586" t="s">
        <v>428</v>
      </c>
      <c r="C498" s="587"/>
      <c r="D498" s="588"/>
      <c r="E498" s="587"/>
      <c r="F498" s="587">
        <v>4.6500000000000004</v>
      </c>
      <c r="G498" s="587">
        <v>9.1999999999999993</v>
      </c>
      <c r="H498" s="589" t="s">
        <v>957</v>
      </c>
      <c r="I498" s="587">
        <f t="shared" si="155"/>
        <v>4.6500000000000004</v>
      </c>
      <c r="J498" s="589" t="s">
        <v>957</v>
      </c>
      <c r="K498" s="587">
        <f t="shared" si="147"/>
        <v>9.1999999999999993</v>
      </c>
      <c r="L498" s="587"/>
      <c r="M498" s="587" t="str">
        <f t="shared" si="146"/>
        <v/>
      </c>
      <c r="N498" s="587"/>
      <c r="O498" s="587" t="str">
        <f t="shared" si="156"/>
        <v/>
      </c>
      <c r="P498" s="587"/>
      <c r="Q498" s="587" t="str">
        <f t="shared" si="148"/>
        <v/>
      </c>
      <c r="R498" s="587"/>
      <c r="S498" s="587" t="str">
        <f t="shared" si="157"/>
        <v/>
      </c>
      <c r="T498" s="587"/>
      <c r="U498" s="587" t="str">
        <f t="shared" si="158"/>
        <v/>
      </c>
      <c r="V498" s="587" t="s">
        <v>957</v>
      </c>
      <c r="W498" s="587">
        <f t="shared" si="159"/>
        <v>4.6500000000000004</v>
      </c>
      <c r="X498" s="587"/>
      <c r="Y498" s="587" t="str">
        <f t="shared" si="154"/>
        <v/>
      </c>
      <c r="Z498" s="587"/>
      <c r="AA498" s="587" t="str">
        <f t="shared" si="152"/>
        <v/>
      </c>
      <c r="AB498" s="587"/>
      <c r="AC498" s="587" t="str">
        <f t="shared" si="153"/>
        <v/>
      </c>
      <c r="AD498" s="586"/>
      <c r="AE498" s="587" t="str">
        <f t="shared" si="149"/>
        <v/>
      </c>
    </row>
    <row r="499" spans="2:31">
      <c r="B499" s="586" t="s">
        <v>536</v>
      </c>
      <c r="C499" s="587"/>
      <c r="D499" s="588"/>
      <c r="E499" s="587"/>
      <c r="F499" s="587">
        <v>37.72</v>
      </c>
      <c r="G499" s="587">
        <v>26.3</v>
      </c>
      <c r="H499" s="589" t="s">
        <v>957</v>
      </c>
      <c r="I499" s="587">
        <f t="shared" si="155"/>
        <v>37.72</v>
      </c>
      <c r="J499" s="589" t="s">
        <v>957</v>
      </c>
      <c r="K499" s="587">
        <f t="shared" si="147"/>
        <v>26.3</v>
      </c>
      <c r="L499" s="587"/>
      <c r="M499" s="587" t="str">
        <f t="shared" si="146"/>
        <v/>
      </c>
      <c r="N499" s="587"/>
      <c r="O499" s="587" t="str">
        <f t="shared" si="156"/>
        <v/>
      </c>
      <c r="P499" s="587"/>
      <c r="Q499" s="587" t="str">
        <f t="shared" si="148"/>
        <v/>
      </c>
      <c r="R499" s="587"/>
      <c r="S499" s="587" t="str">
        <f t="shared" si="157"/>
        <v/>
      </c>
      <c r="T499" s="587"/>
      <c r="U499" s="587" t="str">
        <f t="shared" si="158"/>
        <v/>
      </c>
      <c r="V499" s="587" t="s">
        <v>957</v>
      </c>
      <c r="W499" s="587">
        <f t="shared" si="159"/>
        <v>37.72</v>
      </c>
      <c r="X499" s="587"/>
      <c r="Y499" s="587" t="str">
        <f t="shared" si="154"/>
        <v/>
      </c>
      <c r="Z499" s="587"/>
      <c r="AA499" s="587" t="str">
        <f t="shared" si="152"/>
        <v/>
      </c>
      <c r="AB499" s="587"/>
      <c r="AC499" s="587" t="str">
        <f t="shared" si="153"/>
        <v/>
      </c>
      <c r="AD499" s="586"/>
      <c r="AE499" s="587" t="str">
        <f t="shared" si="149"/>
        <v/>
      </c>
    </row>
    <row r="500" spans="2:31">
      <c r="B500" s="586" t="s">
        <v>428</v>
      </c>
      <c r="C500" s="587"/>
      <c r="D500" s="588"/>
      <c r="E500" s="587"/>
      <c r="F500" s="587">
        <v>4.6500000000000004</v>
      </c>
      <c r="G500" s="587">
        <v>9.1999999999999993</v>
      </c>
      <c r="H500" s="589" t="s">
        <v>957</v>
      </c>
      <c r="I500" s="587">
        <f t="shared" si="155"/>
        <v>4.6500000000000004</v>
      </c>
      <c r="J500" s="589" t="s">
        <v>957</v>
      </c>
      <c r="K500" s="587">
        <f t="shared" si="147"/>
        <v>9.1999999999999993</v>
      </c>
      <c r="L500" s="587"/>
      <c r="M500" s="587" t="str">
        <f t="shared" si="146"/>
        <v/>
      </c>
      <c r="N500" s="587"/>
      <c r="O500" s="587" t="str">
        <f t="shared" si="156"/>
        <v/>
      </c>
      <c r="P500" s="587"/>
      <c r="Q500" s="587" t="str">
        <f t="shared" si="148"/>
        <v/>
      </c>
      <c r="R500" s="587"/>
      <c r="S500" s="587" t="str">
        <f t="shared" si="157"/>
        <v/>
      </c>
      <c r="T500" s="587"/>
      <c r="U500" s="587" t="str">
        <f t="shared" si="158"/>
        <v/>
      </c>
      <c r="V500" s="587" t="s">
        <v>957</v>
      </c>
      <c r="W500" s="587">
        <f t="shared" si="159"/>
        <v>4.6500000000000004</v>
      </c>
      <c r="X500" s="587"/>
      <c r="Y500" s="587" t="str">
        <f t="shared" si="154"/>
        <v/>
      </c>
      <c r="Z500" s="587"/>
      <c r="AA500" s="587" t="str">
        <f t="shared" si="152"/>
        <v/>
      </c>
      <c r="AB500" s="587"/>
      <c r="AC500" s="587" t="str">
        <f t="shared" si="153"/>
        <v/>
      </c>
      <c r="AD500" s="586"/>
      <c r="AE500" s="587" t="str">
        <f t="shared" si="149"/>
        <v/>
      </c>
    </row>
    <row r="501" spans="2:31">
      <c r="B501" s="586" t="s">
        <v>537</v>
      </c>
      <c r="C501" s="587"/>
      <c r="D501" s="588"/>
      <c r="E501" s="587"/>
      <c r="F501" s="587">
        <v>37.72</v>
      </c>
      <c r="G501" s="587">
        <v>26.3</v>
      </c>
      <c r="H501" s="589" t="s">
        <v>957</v>
      </c>
      <c r="I501" s="587">
        <f t="shared" si="155"/>
        <v>37.72</v>
      </c>
      <c r="J501" s="589" t="s">
        <v>957</v>
      </c>
      <c r="K501" s="587">
        <f t="shared" si="147"/>
        <v>26.3</v>
      </c>
      <c r="L501" s="587"/>
      <c r="M501" s="587" t="str">
        <f t="shared" si="146"/>
        <v/>
      </c>
      <c r="N501" s="587"/>
      <c r="O501" s="587" t="str">
        <f t="shared" si="156"/>
        <v/>
      </c>
      <c r="P501" s="587"/>
      <c r="Q501" s="587" t="str">
        <f t="shared" si="148"/>
        <v/>
      </c>
      <c r="R501" s="587"/>
      <c r="S501" s="587" t="str">
        <f t="shared" si="157"/>
        <v/>
      </c>
      <c r="T501" s="587"/>
      <c r="U501" s="587" t="str">
        <f t="shared" si="158"/>
        <v/>
      </c>
      <c r="V501" s="587" t="s">
        <v>957</v>
      </c>
      <c r="W501" s="587">
        <f t="shared" si="159"/>
        <v>37.72</v>
      </c>
      <c r="X501" s="587"/>
      <c r="Y501" s="587" t="str">
        <f t="shared" si="154"/>
        <v/>
      </c>
      <c r="Z501" s="587"/>
      <c r="AA501" s="587" t="str">
        <f t="shared" si="152"/>
        <v/>
      </c>
      <c r="AB501" s="587"/>
      <c r="AC501" s="587" t="str">
        <f t="shared" si="153"/>
        <v/>
      </c>
      <c r="AD501" s="586"/>
      <c r="AE501" s="587" t="str">
        <f t="shared" si="149"/>
        <v/>
      </c>
    </row>
    <row r="502" spans="2:31">
      <c r="B502" s="586" t="s">
        <v>428</v>
      </c>
      <c r="C502" s="587"/>
      <c r="D502" s="588"/>
      <c r="E502" s="587"/>
      <c r="F502" s="587">
        <v>4.6500000000000004</v>
      </c>
      <c r="G502" s="587">
        <v>9.1999999999999993</v>
      </c>
      <c r="H502" s="589" t="s">
        <v>957</v>
      </c>
      <c r="I502" s="587">
        <f t="shared" si="155"/>
        <v>4.6500000000000004</v>
      </c>
      <c r="J502" s="589" t="s">
        <v>957</v>
      </c>
      <c r="K502" s="587">
        <f t="shared" si="147"/>
        <v>9.1999999999999993</v>
      </c>
      <c r="L502" s="587"/>
      <c r="M502" s="587" t="str">
        <f t="shared" si="146"/>
        <v/>
      </c>
      <c r="N502" s="587"/>
      <c r="O502" s="587" t="str">
        <f t="shared" si="156"/>
        <v/>
      </c>
      <c r="P502" s="587"/>
      <c r="Q502" s="587" t="str">
        <f t="shared" si="148"/>
        <v/>
      </c>
      <c r="R502" s="587"/>
      <c r="S502" s="587" t="str">
        <f t="shared" si="157"/>
        <v/>
      </c>
      <c r="T502" s="587"/>
      <c r="U502" s="587" t="str">
        <f t="shared" si="158"/>
        <v/>
      </c>
      <c r="V502" s="587" t="s">
        <v>957</v>
      </c>
      <c r="W502" s="587">
        <f t="shared" si="159"/>
        <v>4.6500000000000004</v>
      </c>
      <c r="X502" s="587"/>
      <c r="Y502" s="587" t="str">
        <f t="shared" si="154"/>
        <v/>
      </c>
      <c r="Z502" s="587"/>
      <c r="AA502" s="587" t="str">
        <f t="shared" si="152"/>
        <v/>
      </c>
      <c r="AB502" s="587"/>
      <c r="AC502" s="587" t="str">
        <f t="shared" si="153"/>
        <v/>
      </c>
      <c r="AD502" s="586"/>
      <c r="AE502" s="587" t="str">
        <f t="shared" si="149"/>
        <v/>
      </c>
    </row>
    <row r="503" spans="2:31">
      <c r="B503" s="586" t="s">
        <v>538</v>
      </c>
      <c r="C503" s="587"/>
      <c r="D503" s="588"/>
      <c r="E503" s="587"/>
      <c r="F503" s="587">
        <v>36.79</v>
      </c>
      <c r="G503" s="587">
        <v>25.43</v>
      </c>
      <c r="H503" s="589" t="s">
        <v>957</v>
      </c>
      <c r="I503" s="587">
        <f t="shared" si="155"/>
        <v>36.79</v>
      </c>
      <c r="J503" s="589" t="s">
        <v>957</v>
      </c>
      <c r="K503" s="587">
        <f t="shared" si="147"/>
        <v>25.43</v>
      </c>
      <c r="L503" s="587"/>
      <c r="M503" s="587" t="str">
        <f t="shared" ref="M503:M566" si="160">IF(L503="x",$F503,"")</f>
        <v/>
      </c>
      <c r="N503" s="587"/>
      <c r="O503" s="587" t="str">
        <f t="shared" si="156"/>
        <v/>
      </c>
      <c r="P503" s="587"/>
      <c r="Q503" s="587" t="str">
        <f t="shared" si="148"/>
        <v/>
      </c>
      <c r="R503" s="587"/>
      <c r="S503" s="587" t="str">
        <f t="shared" si="157"/>
        <v/>
      </c>
      <c r="T503" s="587"/>
      <c r="U503" s="587" t="str">
        <f t="shared" si="158"/>
        <v/>
      </c>
      <c r="V503" s="587" t="s">
        <v>957</v>
      </c>
      <c r="W503" s="587">
        <f t="shared" si="159"/>
        <v>36.79</v>
      </c>
      <c r="X503" s="587"/>
      <c r="Y503" s="587" t="str">
        <f t="shared" si="154"/>
        <v/>
      </c>
      <c r="Z503" s="587"/>
      <c r="AA503" s="587" t="str">
        <f t="shared" si="152"/>
        <v/>
      </c>
      <c r="AB503" s="587"/>
      <c r="AC503" s="587" t="str">
        <f t="shared" si="153"/>
        <v/>
      </c>
      <c r="AD503" s="586"/>
      <c r="AE503" s="587" t="str">
        <f t="shared" si="149"/>
        <v/>
      </c>
    </row>
    <row r="504" spans="2:31">
      <c r="B504" s="586" t="s">
        <v>428</v>
      </c>
      <c r="C504" s="587"/>
      <c r="D504" s="588"/>
      <c r="E504" s="587"/>
      <c r="F504" s="587">
        <v>4.6500000000000004</v>
      </c>
      <c r="G504" s="587">
        <v>9.1999999999999993</v>
      </c>
      <c r="H504" s="589" t="s">
        <v>957</v>
      </c>
      <c r="I504" s="587">
        <f t="shared" si="155"/>
        <v>4.6500000000000004</v>
      </c>
      <c r="J504" s="589" t="s">
        <v>957</v>
      </c>
      <c r="K504" s="587">
        <f t="shared" si="147"/>
        <v>9.1999999999999993</v>
      </c>
      <c r="L504" s="587"/>
      <c r="M504" s="587" t="str">
        <f t="shared" si="160"/>
        <v/>
      </c>
      <c r="N504" s="587"/>
      <c r="O504" s="587" t="str">
        <f t="shared" si="156"/>
        <v/>
      </c>
      <c r="P504" s="587"/>
      <c r="Q504" s="587" t="str">
        <f t="shared" si="148"/>
        <v/>
      </c>
      <c r="R504" s="587"/>
      <c r="S504" s="587" t="str">
        <f t="shared" si="157"/>
        <v/>
      </c>
      <c r="T504" s="587"/>
      <c r="U504" s="587" t="str">
        <f t="shared" si="158"/>
        <v/>
      </c>
      <c r="V504" s="587" t="s">
        <v>957</v>
      </c>
      <c r="W504" s="587">
        <f t="shared" si="159"/>
        <v>4.6500000000000004</v>
      </c>
      <c r="X504" s="587"/>
      <c r="Y504" s="587" t="str">
        <f t="shared" si="154"/>
        <v/>
      </c>
      <c r="Z504" s="587"/>
      <c r="AA504" s="587" t="str">
        <f t="shared" si="152"/>
        <v/>
      </c>
      <c r="AB504" s="587"/>
      <c r="AC504" s="587" t="str">
        <f t="shared" si="153"/>
        <v/>
      </c>
      <c r="AD504" s="586"/>
      <c r="AE504" s="587" t="str">
        <f t="shared" si="149"/>
        <v/>
      </c>
    </row>
    <row r="505" spans="2:31">
      <c r="B505" s="586" t="s">
        <v>421</v>
      </c>
      <c r="C505" s="587">
        <v>5.15</v>
      </c>
      <c r="D505" s="588" t="s">
        <v>957</v>
      </c>
      <c r="E505" s="587">
        <v>2.23</v>
      </c>
      <c r="F505" s="587">
        <f>C505*E505</f>
        <v>11.484500000000001</v>
      </c>
      <c r="G505" s="587">
        <f>(C505+E505)*2</f>
        <v>14.760000000000002</v>
      </c>
      <c r="H505" s="589" t="s">
        <v>957</v>
      </c>
      <c r="I505" s="587">
        <f t="shared" si="155"/>
        <v>11.484500000000001</v>
      </c>
      <c r="J505" s="589" t="s">
        <v>957</v>
      </c>
      <c r="K505" s="587">
        <f t="shared" si="147"/>
        <v>14.760000000000002</v>
      </c>
      <c r="L505" s="587"/>
      <c r="M505" s="587" t="str">
        <f t="shared" si="160"/>
        <v/>
      </c>
      <c r="N505" s="587"/>
      <c r="O505" s="587" t="str">
        <f t="shared" si="156"/>
        <v/>
      </c>
      <c r="P505" s="587"/>
      <c r="Q505" s="587" t="str">
        <f t="shared" si="148"/>
        <v/>
      </c>
      <c r="R505" s="587"/>
      <c r="S505" s="587" t="str">
        <f t="shared" si="157"/>
        <v/>
      </c>
      <c r="T505" s="587"/>
      <c r="U505" s="587" t="str">
        <f t="shared" si="158"/>
        <v/>
      </c>
      <c r="V505" s="587" t="s">
        <v>957</v>
      </c>
      <c r="W505" s="587">
        <f t="shared" si="159"/>
        <v>11.484500000000001</v>
      </c>
      <c r="X505" s="587"/>
      <c r="Y505" s="587" t="str">
        <f t="shared" si="154"/>
        <v/>
      </c>
      <c r="Z505" s="587"/>
      <c r="AA505" s="587" t="str">
        <f t="shared" si="152"/>
        <v/>
      </c>
      <c r="AB505" s="587"/>
      <c r="AC505" s="587" t="str">
        <f t="shared" si="153"/>
        <v/>
      </c>
      <c r="AD505" s="586"/>
      <c r="AE505" s="587" t="str">
        <f t="shared" si="149"/>
        <v/>
      </c>
    </row>
    <row r="506" spans="2:31">
      <c r="B506" s="586" t="s">
        <v>473</v>
      </c>
      <c r="C506" s="587">
        <v>5.15</v>
      </c>
      <c r="D506" s="588" t="s">
        <v>957</v>
      </c>
      <c r="E506" s="587">
        <v>2.609</v>
      </c>
      <c r="F506" s="587">
        <f>C506*E506</f>
        <v>13.436350000000001</v>
      </c>
      <c r="G506" s="587">
        <f>(C506+E506)*2</f>
        <v>15.518000000000001</v>
      </c>
      <c r="H506" s="589" t="s">
        <v>957</v>
      </c>
      <c r="I506" s="587">
        <f t="shared" si="155"/>
        <v>13.436350000000001</v>
      </c>
      <c r="J506" s="589" t="s">
        <v>957</v>
      </c>
      <c r="K506" s="587">
        <f t="shared" si="147"/>
        <v>15.518000000000001</v>
      </c>
      <c r="L506" s="587"/>
      <c r="M506" s="587" t="str">
        <f t="shared" si="160"/>
        <v/>
      </c>
      <c r="N506" s="587"/>
      <c r="O506" s="587" t="str">
        <f t="shared" si="156"/>
        <v/>
      </c>
      <c r="P506" s="587"/>
      <c r="Q506" s="587" t="str">
        <f t="shared" si="148"/>
        <v/>
      </c>
      <c r="R506" s="587"/>
      <c r="S506" s="587" t="str">
        <f t="shared" si="157"/>
        <v/>
      </c>
      <c r="T506" s="587"/>
      <c r="U506" s="587" t="str">
        <f t="shared" si="158"/>
        <v/>
      </c>
      <c r="V506" s="587" t="s">
        <v>957</v>
      </c>
      <c r="W506" s="587">
        <f t="shared" si="159"/>
        <v>13.436350000000001</v>
      </c>
      <c r="X506" s="587"/>
      <c r="Y506" s="587" t="str">
        <f t="shared" si="154"/>
        <v/>
      </c>
      <c r="Z506" s="587"/>
      <c r="AA506" s="587" t="str">
        <f t="shared" si="152"/>
        <v/>
      </c>
      <c r="AB506" s="587"/>
      <c r="AC506" s="587" t="str">
        <f t="shared" si="153"/>
        <v/>
      </c>
      <c r="AD506" s="586"/>
      <c r="AE506" s="587" t="str">
        <f t="shared" si="149"/>
        <v/>
      </c>
    </row>
    <row r="507" spans="2:31">
      <c r="B507" s="586" t="s">
        <v>430</v>
      </c>
      <c r="C507" s="587">
        <v>5.15</v>
      </c>
      <c r="D507" s="588" t="s">
        <v>957</v>
      </c>
      <c r="E507" s="587">
        <v>3.5</v>
      </c>
      <c r="F507" s="587">
        <f>C507*E507</f>
        <v>18.025000000000002</v>
      </c>
      <c r="G507" s="587">
        <f>(C507+E507)*2</f>
        <v>17.3</v>
      </c>
      <c r="H507" s="589" t="s">
        <v>957</v>
      </c>
      <c r="I507" s="587">
        <f t="shared" si="155"/>
        <v>18.025000000000002</v>
      </c>
      <c r="J507" s="589" t="s">
        <v>957</v>
      </c>
      <c r="K507" s="587">
        <f t="shared" si="147"/>
        <v>17.3</v>
      </c>
      <c r="L507" s="587"/>
      <c r="M507" s="587" t="str">
        <f t="shared" si="160"/>
        <v/>
      </c>
      <c r="N507" s="587"/>
      <c r="O507" s="587" t="str">
        <f t="shared" si="156"/>
        <v/>
      </c>
      <c r="P507" s="587"/>
      <c r="Q507" s="587" t="str">
        <f t="shared" si="148"/>
        <v/>
      </c>
      <c r="R507" s="587"/>
      <c r="S507" s="587" t="str">
        <f t="shared" si="157"/>
        <v/>
      </c>
      <c r="T507" s="587"/>
      <c r="U507" s="587" t="str">
        <f t="shared" si="158"/>
        <v/>
      </c>
      <c r="V507" s="587" t="s">
        <v>957</v>
      </c>
      <c r="W507" s="587">
        <f t="shared" si="159"/>
        <v>18.025000000000002</v>
      </c>
      <c r="X507" s="587"/>
      <c r="Y507" s="587" t="str">
        <f t="shared" si="154"/>
        <v/>
      </c>
      <c r="Z507" s="587"/>
      <c r="AA507" s="587" t="str">
        <f t="shared" si="152"/>
        <v/>
      </c>
      <c r="AB507" s="587"/>
      <c r="AC507" s="587" t="str">
        <f t="shared" si="153"/>
        <v/>
      </c>
      <c r="AD507" s="586"/>
      <c r="AE507" s="587" t="str">
        <f t="shared" si="149"/>
        <v/>
      </c>
    </row>
    <row r="508" spans="2:31">
      <c r="B508" s="586" t="s">
        <v>428</v>
      </c>
      <c r="C508" s="587"/>
      <c r="D508" s="588"/>
      <c r="E508" s="587"/>
      <c r="F508" s="587">
        <v>3.84</v>
      </c>
      <c r="G508" s="587">
        <v>8.26</v>
      </c>
      <c r="H508" s="589" t="s">
        <v>957</v>
      </c>
      <c r="I508" s="587">
        <f t="shared" si="155"/>
        <v>3.84</v>
      </c>
      <c r="J508" s="589" t="s">
        <v>957</v>
      </c>
      <c r="K508" s="587">
        <f t="shared" si="147"/>
        <v>8.26</v>
      </c>
      <c r="L508" s="587"/>
      <c r="M508" s="587" t="str">
        <f t="shared" si="160"/>
        <v/>
      </c>
      <c r="N508" s="587"/>
      <c r="O508" s="587" t="str">
        <f t="shared" si="156"/>
        <v/>
      </c>
      <c r="P508" s="587"/>
      <c r="Q508" s="587" t="str">
        <f t="shared" si="148"/>
        <v/>
      </c>
      <c r="R508" s="587"/>
      <c r="S508" s="587" t="str">
        <f t="shared" si="157"/>
        <v/>
      </c>
      <c r="T508" s="587"/>
      <c r="U508" s="587" t="str">
        <f t="shared" si="158"/>
        <v/>
      </c>
      <c r="V508" s="587" t="s">
        <v>957</v>
      </c>
      <c r="W508" s="587">
        <f t="shared" si="159"/>
        <v>3.84</v>
      </c>
      <c r="X508" s="587"/>
      <c r="Y508" s="587" t="str">
        <f t="shared" si="154"/>
        <v/>
      </c>
      <c r="Z508" s="587"/>
      <c r="AA508" s="587" t="str">
        <f t="shared" si="152"/>
        <v/>
      </c>
      <c r="AB508" s="587"/>
      <c r="AC508" s="587" t="str">
        <f t="shared" si="153"/>
        <v/>
      </c>
      <c r="AD508" s="586"/>
      <c r="AE508" s="587" t="str">
        <f t="shared" si="149"/>
        <v/>
      </c>
    </row>
    <row r="509" spans="2:31">
      <c r="B509" s="586" t="s">
        <v>430</v>
      </c>
      <c r="C509" s="587">
        <v>5.15</v>
      </c>
      <c r="D509" s="588" t="s">
        <v>957</v>
      </c>
      <c r="E509" s="587">
        <v>3.5</v>
      </c>
      <c r="F509" s="587">
        <f>C509*E509</f>
        <v>18.025000000000002</v>
      </c>
      <c r="G509" s="587">
        <f>(C509+E509)*2</f>
        <v>17.3</v>
      </c>
      <c r="H509" s="589" t="s">
        <v>957</v>
      </c>
      <c r="I509" s="587">
        <f t="shared" si="155"/>
        <v>18.025000000000002</v>
      </c>
      <c r="J509" s="589" t="s">
        <v>957</v>
      </c>
      <c r="K509" s="587">
        <f t="shared" si="147"/>
        <v>17.3</v>
      </c>
      <c r="L509" s="587"/>
      <c r="M509" s="587" t="str">
        <f t="shared" si="160"/>
        <v/>
      </c>
      <c r="N509" s="587"/>
      <c r="O509" s="587" t="str">
        <f t="shared" si="156"/>
        <v/>
      </c>
      <c r="P509" s="587"/>
      <c r="Q509" s="587" t="str">
        <f t="shared" si="148"/>
        <v/>
      </c>
      <c r="R509" s="587"/>
      <c r="S509" s="587" t="str">
        <f t="shared" si="157"/>
        <v/>
      </c>
      <c r="T509" s="587"/>
      <c r="U509" s="587" t="str">
        <f t="shared" si="158"/>
        <v/>
      </c>
      <c r="V509" s="587" t="s">
        <v>957</v>
      </c>
      <c r="W509" s="587">
        <f t="shared" si="159"/>
        <v>18.025000000000002</v>
      </c>
      <c r="X509" s="587"/>
      <c r="Y509" s="587" t="str">
        <f t="shared" si="154"/>
        <v/>
      </c>
      <c r="Z509" s="587"/>
      <c r="AA509" s="587" t="str">
        <f t="shared" si="152"/>
        <v/>
      </c>
      <c r="AB509" s="587"/>
      <c r="AC509" s="587" t="str">
        <f t="shared" si="153"/>
        <v/>
      </c>
      <c r="AD509" s="586"/>
      <c r="AE509" s="587" t="str">
        <f t="shared" si="149"/>
        <v/>
      </c>
    </row>
    <row r="510" spans="2:31">
      <c r="B510" s="586" t="s">
        <v>428</v>
      </c>
      <c r="C510" s="587"/>
      <c r="D510" s="588"/>
      <c r="E510" s="587"/>
      <c r="F510" s="587">
        <v>3.84</v>
      </c>
      <c r="G510" s="587">
        <v>8.26</v>
      </c>
      <c r="H510" s="589" t="s">
        <v>957</v>
      </c>
      <c r="I510" s="587">
        <f t="shared" si="155"/>
        <v>3.84</v>
      </c>
      <c r="J510" s="589" t="s">
        <v>957</v>
      </c>
      <c r="K510" s="587">
        <f t="shared" si="147"/>
        <v>8.26</v>
      </c>
      <c r="L510" s="587"/>
      <c r="M510" s="587" t="str">
        <f t="shared" si="160"/>
        <v/>
      </c>
      <c r="N510" s="587"/>
      <c r="O510" s="587" t="str">
        <f t="shared" si="156"/>
        <v/>
      </c>
      <c r="P510" s="587"/>
      <c r="Q510" s="587" t="str">
        <f t="shared" si="148"/>
        <v/>
      </c>
      <c r="R510" s="587"/>
      <c r="S510" s="587" t="str">
        <f t="shared" si="157"/>
        <v/>
      </c>
      <c r="T510" s="587"/>
      <c r="U510" s="587" t="str">
        <f t="shared" si="158"/>
        <v/>
      </c>
      <c r="V510" s="587" t="s">
        <v>957</v>
      </c>
      <c r="W510" s="587">
        <f t="shared" si="159"/>
        <v>3.84</v>
      </c>
      <c r="X510" s="587"/>
      <c r="Y510" s="587" t="str">
        <f t="shared" si="154"/>
        <v/>
      </c>
      <c r="Z510" s="587"/>
      <c r="AA510" s="587" t="str">
        <f t="shared" si="152"/>
        <v/>
      </c>
      <c r="AB510" s="587"/>
      <c r="AC510" s="587" t="str">
        <f t="shared" si="153"/>
        <v/>
      </c>
      <c r="AD510" s="586"/>
      <c r="AE510" s="587" t="str">
        <f t="shared" si="149"/>
        <v/>
      </c>
    </row>
    <row r="511" spans="2:31">
      <c r="B511" s="586" t="s">
        <v>473</v>
      </c>
      <c r="C511" s="587">
        <v>5.15</v>
      </c>
      <c r="D511" s="588" t="s">
        <v>957</v>
      </c>
      <c r="E511" s="587">
        <v>2.609</v>
      </c>
      <c r="F511" s="587">
        <f>C511*E511</f>
        <v>13.436350000000001</v>
      </c>
      <c r="G511" s="587">
        <f>(C511+E511)*2</f>
        <v>15.518000000000001</v>
      </c>
      <c r="H511" s="589" t="s">
        <v>957</v>
      </c>
      <c r="I511" s="587">
        <f t="shared" si="155"/>
        <v>13.436350000000001</v>
      </c>
      <c r="J511" s="589" t="s">
        <v>957</v>
      </c>
      <c r="K511" s="587">
        <f t="shared" si="147"/>
        <v>15.518000000000001</v>
      </c>
      <c r="L511" s="587"/>
      <c r="M511" s="587" t="str">
        <f t="shared" si="160"/>
        <v/>
      </c>
      <c r="N511" s="587"/>
      <c r="O511" s="587" t="str">
        <f t="shared" si="156"/>
        <v/>
      </c>
      <c r="P511" s="587"/>
      <c r="Q511" s="587" t="str">
        <f t="shared" si="148"/>
        <v/>
      </c>
      <c r="R511" s="587"/>
      <c r="S511" s="587" t="str">
        <f t="shared" si="157"/>
        <v/>
      </c>
      <c r="T511" s="587"/>
      <c r="U511" s="587" t="str">
        <f t="shared" si="158"/>
        <v/>
      </c>
      <c r="V511" s="587" t="s">
        <v>957</v>
      </c>
      <c r="W511" s="587">
        <f t="shared" si="159"/>
        <v>13.436350000000001</v>
      </c>
      <c r="X511" s="587"/>
      <c r="Y511" s="587" t="str">
        <f t="shared" si="154"/>
        <v/>
      </c>
      <c r="Z511" s="587"/>
      <c r="AA511" s="587" t="str">
        <f t="shared" si="152"/>
        <v/>
      </c>
      <c r="AB511" s="587"/>
      <c r="AC511" s="587" t="str">
        <f t="shared" si="153"/>
        <v/>
      </c>
      <c r="AD511" s="586"/>
      <c r="AE511" s="587" t="str">
        <f t="shared" si="149"/>
        <v/>
      </c>
    </row>
    <row r="512" spans="2:31">
      <c r="B512" s="586" t="s">
        <v>421</v>
      </c>
      <c r="C512" s="587">
        <v>5.15</v>
      </c>
      <c r="D512" s="588" t="s">
        <v>957</v>
      </c>
      <c r="E512" s="587">
        <v>2.23</v>
      </c>
      <c r="F512" s="587">
        <f>C512*E512</f>
        <v>11.484500000000001</v>
      </c>
      <c r="G512" s="587">
        <f>(C512+E512)*2</f>
        <v>14.760000000000002</v>
      </c>
      <c r="H512" s="589" t="s">
        <v>957</v>
      </c>
      <c r="I512" s="587">
        <f t="shared" si="155"/>
        <v>11.484500000000001</v>
      </c>
      <c r="J512" s="589" t="s">
        <v>957</v>
      </c>
      <c r="K512" s="587">
        <f t="shared" si="147"/>
        <v>14.760000000000002</v>
      </c>
      <c r="L512" s="587"/>
      <c r="M512" s="587" t="str">
        <f t="shared" si="160"/>
        <v/>
      </c>
      <c r="N512" s="587"/>
      <c r="O512" s="587" t="str">
        <f t="shared" si="156"/>
        <v/>
      </c>
      <c r="P512" s="587"/>
      <c r="Q512" s="587" t="str">
        <f t="shared" si="148"/>
        <v/>
      </c>
      <c r="R512" s="587"/>
      <c r="S512" s="587" t="str">
        <f t="shared" si="157"/>
        <v/>
      </c>
      <c r="T512" s="587"/>
      <c r="U512" s="587" t="str">
        <f t="shared" si="158"/>
        <v/>
      </c>
      <c r="V512" s="587" t="s">
        <v>957</v>
      </c>
      <c r="W512" s="587">
        <f t="shared" si="159"/>
        <v>11.484500000000001</v>
      </c>
      <c r="X512" s="587"/>
      <c r="Y512" s="587" t="str">
        <f t="shared" si="154"/>
        <v/>
      </c>
      <c r="Z512" s="587"/>
      <c r="AA512" s="587" t="str">
        <f t="shared" si="152"/>
        <v/>
      </c>
      <c r="AB512" s="587"/>
      <c r="AC512" s="587" t="str">
        <f t="shared" si="153"/>
        <v/>
      </c>
      <c r="AD512" s="586"/>
      <c r="AE512" s="587" t="str">
        <f t="shared" si="149"/>
        <v/>
      </c>
    </row>
    <row r="513" spans="2:31">
      <c r="B513" s="586" t="s">
        <v>539</v>
      </c>
      <c r="C513" s="587"/>
      <c r="D513" s="588"/>
      <c r="E513" s="587"/>
      <c r="F513" s="587">
        <v>40.78</v>
      </c>
      <c r="G513" s="587">
        <v>27.22</v>
      </c>
      <c r="H513" s="589" t="s">
        <v>957</v>
      </c>
      <c r="I513" s="587">
        <f t="shared" si="155"/>
        <v>40.78</v>
      </c>
      <c r="J513" s="589" t="s">
        <v>957</v>
      </c>
      <c r="K513" s="587">
        <f t="shared" si="147"/>
        <v>27.22</v>
      </c>
      <c r="L513" s="587"/>
      <c r="M513" s="587" t="str">
        <f t="shared" si="160"/>
        <v/>
      </c>
      <c r="N513" s="587"/>
      <c r="O513" s="587" t="str">
        <f t="shared" si="156"/>
        <v/>
      </c>
      <c r="P513" s="587"/>
      <c r="Q513" s="587" t="str">
        <f t="shared" si="148"/>
        <v/>
      </c>
      <c r="R513" s="587"/>
      <c r="S513" s="587" t="str">
        <f t="shared" si="157"/>
        <v/>
      </c>
      <c r="T513" s="587"/>
      <c r="U513" s="587" t="str">
        <f t="shared" si="158"/>
        <v/>
      </c>
      <c r="V513" s="587" t="s">
        <v>957</v>
      </c>
      <c r="W513" s="587">
        <f t="shared" si="159"/>
        <v>40.78</v>
      </c>
      <c r="X513" s="587"/>
      <c r="Y513" s="587" t="str">
        <f t="shared" si="154"/>
        <v/>
      </c>
      <c r="Z513" s="587"/>
      <c r="AA513" s="587" t="str">
        <f t="shared" si="152"/>
        <v/>
      </c>
      <c r="AB513" s="587"/>
      <c r="AC513" s="587" t="str">
        <f t="shared" si="153"/>
        <v/>
      </c>
      <c r="AD513" s="586"/>
      <c r="AE513" s="587" t="str">
        <f t="shared" si="149"/>
        <v/>
      </c>
    </row>
    <row r="514" spans="2:31">
      <c r="B514" s="586" t="s">
        <v>428</v>
      </c>
      <c r="C514" s="587"/>
      <c r="D514" s="588"/>
      <c r="E514" s="587"/>
      <c r="F514" s="587">
        <v>4.6500000000000004</v>
      </c>
      <c r="G514" s="587">
        <v>9.1999999999999993</v>
      </c>
      <c r="H514" s="589" t="s">
        <v>957</v>
      </c>
      <c r="I514" s="587">
        <f t="shared" si="155"/>
        <v>4.6500000000000004</v>
      </c>
      <c r="J514" s="589" t="s">
        <v>957</v>
      </c>
      <c r="K514" s="587">
        <f t="shared" si="147"/>
        <v>9.1999999999999993</v>
      </c>
      <c r="L514" s="587"/>
      <c r="M514" s="587" t="str">
        <f t="shared" si="160"/>
        <v/>
      </c>
      <c r="N514" s="587"/>
      <c r="O514" s="587" t="str">
        <f t="shared" si="156"/>
        <v/>
      </c>
      <c r="P514" s="587"/>
      <c r="Q514" s="587" t="str">
        <f t="shared" si="148"/>
        <v/>
      </c>
      <c r="R514" s="587"/>
      <c r="S514" s="587" t="str">
        <f t="shared" si="157"/>
        <v/>
      </c>
      <c r="T514" s="587"/>
      <c r="U514" s="587" t="str">
        <f t="shared" si="158"/>
        <v/>
      </c>
      <c r="V514" s="587" t="s">
        <v>957</v>
      </c>
      <c r="W514" s="587">
        <f t="shared" si="159"/>
        <v>4.6500000000000004</v>
      </c>
      <c r="X514" s="587"/>
      <c r="Y514" s="587" t="str">
        <f t="shared" si="154"/>
        <v/>
      </c>
      <c r="Z514" s="587"/>
      <c r="AA514" s="587" t="str">
        <f t="shared" si="152"/>
        <v/>
      </c>
      <c r="AB514" s="587"/>
      <c r="AC514" s="587" t="str">
        <f t="shared" si="153"/>
        <v/>
      </c>
      <c r="AD514" s="586"/>
      <c r="AE514" s="587" t="str">
        <f t="shared" si="149"/>
        <v/>
      </c>
    </row>
    <row r="515" spans="2:31">
      <c r="B515" s="586" t="s">
        <v>540</v>
      </c>
      <c r="C515" s="587"/>
      <c r="D515" s="588"/>
      <c r="E515" s="587"/>
      <c r="F515" s="587">
        <v>40.78</v>
      </c>
      <c r="G515" s="587">
        <v>27.22</v>
      </c>
      <c r="H515" s="589" t="s">
        <v>957</v>
      </c>
      <c r="I515" s="587">
        <f t="shared" si="155"/>
        <v>40.78</v>
      </c>
      <c r="J515" s="589" t="s">
        <v>957</v>
      </c>
      <c r="K515" s="587">
        <f t="shared" si="147"/>
        <v>27.22</v>
      </c>
      <c r="L515" s="587"/>
      <c r="M515" s="587" t="str">
        <f t="shared" si="160"/>
        <v/>
      </c>
      <c r="N515" s="587"/>
      <c r="O515" s="587" t="str">
        <f t="shared" si="156"/>
        <v/>
      </c>
      <c r="P515" s="587"/>
      <c r="Q515" s="587" t="str">
        <f t="shared" si="148"/>
        <v/>
      </c>
      <c r="R515" s="587"/>
      <c r="S515" s="587" t="str">
        <f t="shared" si="157"/>
        <v/>
      </c>
      <c r="T515" s="587"/>
      <c r="U515" s="587" t="str">
        <f t="shared" si="158"/>
        <v/>
      </c>
      <c r="V515" s="587" t="s">
        <v>957</v>
      </c>
      <c r="W515" s="587">
        <f t="shared" si="159"/>
        <v>40.78</v>
      </c>
      <c r="X515" s="587"/>
      <c r="Y515" s="587" t="str">
        <f t="shared" si="154"/>
        <v/>
      </c>
      <c r="Z515" s="587"/>
      <c r="AA515" s="587" t="str">
        <f t="shared" si="152"/>
        <v/>
      </c>
      <c r="AB515" s="587"/>
      <c r="AC515" s="587" t="str">
        <f t="shared" si="153"/>
        <v/>
      </c>
      <c r="AD515" s="586"/>
      <c r="AE515" s="587" t="str">
        <f t="shared" si="149"/>
        <v/>
      </c>
    </row>
    <row r="516" spans="2:31">
      <c r="B516" s="586" t="s">
        <v>428</v>
      </c>
      <c r="C516" s="587"/>
      <c r="D516" s="588"/>
      <c r="E516" s="587"/>
      <c r="F516" s="587">
        <v>4.6500000000000004</v>
      </c>
      <c r="G516" s="587">
        <v>9.1999999999999993</v>
      </c>
      <c r="H516" s="589" t="s">
        <v>957</v>
      </c>
      <c r="I516" s="587">
        <f t="shared" si="155"/>
        <v>4.6500000000000004</v>
      </c>
      <c r="J516" s="589" t="s">
        <v>957</v>
      </c>
      <c r="K516" s="587">
        <f t="shared" si="147"/>
        <v>9.1999999999999993</v>
      </c>
      <c r="L516" s="587"/>
      <c r="M516" s="587" t="str">
        <f t="shared" si="160"/>
        <v/>
      </c>
      <c r="N516" s="587"/>
      <c r="O516" s="587" t="str">
        <f t="shared" si="156"/>
        <v/>
      </c>
      <c r="P516" s="587"/>
      <c r="Q516" s="587" t="str">
        <f t="shared" si="148"/>
        <v/>
      </c>
      <c r="R516" s="587"/>
      <c r="S516" s="587" t="str">
        <f t="shared" si="157"/>
        <v/>
      </c>
      <c r="T516" s="587"/>
      <c r="U516" s="587" t="str">
        <f t="shared" si="158"/>
        <v/>
      </c>
      <c r="V516" s="587" t="s">
        <v>957</v>
      </c>
      <c r="W516" s="587">
        <f t="shared" si="159"/>
        <v>4.6500000000000004</v>
      </c>
      <c r="X516" s="587"/>
      <c r="Y516" s="587" t="str">
        <f t="shared" si="154"/>
        <v/>
      </c>
      <c r="Z516" s="587"/>
      <c r="AA516" s="587" t="str">
        <f t="shared" si="152"/>
        <v/>
      </c>
      <c r="AB516" s="587"/>
      <c r="AC516" s="587" t="str">
        <f t="shared" si="153"/>
        <v/>
      </c>
      <c r="AD516" s="586"/>
      <c r="AE516" s="587" t="str">
        <f t="shared" si="149"/>
        <v/>
      </c>
    </row>
    <row r="517" spans="2:31">
      <c r="B517" s="586" t="s">
        <v>541</v>
      </c>
      <c r="C517" s="587"/>
      <c r="D517" s="588"/>
      <c r="E517" s="587"/>
      <c r="F517" s="587">
        <v>40.78</v>
      </c>
      <c r="G517" s="587">
        <v>27.22</v>
      </c>
      <c r="H517" s="589" t="s">
        <v>957</v>
      </c>
      <c r="I517" s="587">
        <f t="shared" si="155"/>
        <v>40.78</v>
      </c>
      <c r="J517" s="589" t="s">
        <v>957</v>
      </c>
      <c r="K517" s="587">
        <f t="shared" si="147"/>
        <v>27.22</v>
      </c>
      <c r="L517" s="587"/>
      <c r="M517" s="587" t="str">
        <f t="shared" si="160"/>
        <v/>
      </c>
      <c r="N517" s="587"/>
      <c r="O517" s="587" t="str">
        <f t="shared" si="156"/>
        <v/>
      </c>
      <c r="P517" s="587"/>
      <c r="Q517" s="587" t="str">
        <f t="shared" si="148"/>
        <v/>
      </c>
      <c r="R517" s="587"/>
      <c r="S517" s="587" t="str">
        <f t="shared" si="157"/>
        <v/>
      </c>
      <c r="T517" s="587"/>
      <c r="U517" s="587" t="str">
        <f t="shared" si="158"/>
        <v/>
      </c>
      <c r="V517" s="587" t="s">
        <v>957</v>
      </c>
      <c r="W517" s="587">
        <f t="shared" si="159"/>
        <v>40.78</v>
      </c>
      <c r="X517" s="587"/>
      <c r="Y517" s="587" t="str">
        <f t="shared" si="154"/>
        <v/>
      </c>
      <c r="Z517" s="587"/>
      <c r="AA517" s="587" t="str">
        <f t="shared" si="152"/>
        <v/>
      </c>
      <c r="AB517" s="587"/>
      <c r="AC517" s="587" t="str">
        <f t="shared" si="153"/>
        <v/>
      </c>
      <c r="AD517" s="586"/>
      <c r="AE517" s="587" t="str">
        <f t="shared" si="149"/>
        <v/>
      </c>
    </row>
    <row r="518" spans="2:31">
      <c r="B518" s="586" t="s">
        <v>428</v>
      </c>
      <c r="C518" s="587"/>
      <c r="D518" s="588"/>
      <c r="E518" s="587"/>
      <c r="F518" s="587">
        <v>4.6500000000000004</v>
      </c>
      <c r="G518" s="587">
        <v>9.1999999999999993</v>
      </c>
      <c r="H518" s="589" t="s">
        <v>957</v>
      </c>
      <c r="I518" s="587">
        <f t="shared" si="155"/>
        <v>4.6500000000000004</v>
      </c>
      <c r="J518" s="589" t="s">
        <v>957</v>
      </c>
      <c r="K518" s="587">
        <f t="shared" si="147"/>
        <v>9.1999999999999993</v>
      </c>
      <c r="L518" s="587"/>
      <c r="M518" s="587" t="str">
        <f t="shared" si="160"/>
        <v/>
      </c>
      <c r="N518" s="587"/>
      <c r="O518" s="587" t="str">
        <f t="shared" si="156"/>
        <v/>
      </c>
      <c r="P518" s="587"/>
      <c r="Q518" s="587" t="str">
        <f t="shared" si="148"/>
        <v/>
      </c>
      <c r="R518" s="587"/>
      <c r="S518" s="587" t="str">
        <f t="shared" si="157"/>
        <v/>
      </c>
      <c r="T518" s="587"/>
      <c r="U518" s="587" t="str">
        <f t="shared" si="158"/>
        <v/>
      </c>
      <c r="V518" s="587" t="s">
        <v>957</v>
      </c>
      <c r="W518" s="587">
        <f t="shared" si="159"/>
        <v>4.6500000000000004</v>
      </c>
      <c r="X518" s="587"/>
      <c r="Y518" s="587" t="str">
        <f t="shared" si="154"/>
        <v/>
      </c>
      <c r="Z518" s="587"/>
      <c r="AA518" s="587" t="str">
        <f t="shared" si="152"/>
        <v/>
      </c>
      <c r="AB518" s="587"/>
      <c r="AC518" s="587" t="str">
        <f t="shared" si="153"/>
        <v/>
      </c>
      <c r="AD518" s="586"/>
      <c r="AE518" s="587" t="str">
        <f t="shared" si="149"/>
        <v/>
      </c>
    </row>
    <row r="519" spans="2:31">
      <c r="B519" s="586" t="s">
        <v>542</v>
      </c>
      <c r="C519" s="587"/>
      <c r="D519" s="588"/>
      <c r="E519" s="587"/>
      <c r="F519" s="587">
        <v>40.78</v>
      </c>
      <c r="G519" s="587">
        <v>27.22</v>
      </c>
      <c r="H519" s="589" t="s">
        <v>957</v>
      </c>
      <c r="I519" s="587">
        <f t="shared" si="155"/>
        <v>40.78</v>
      </c>
      <c r="J519" s="589" t="s">
        <v>957</v>
      </c>
      <c r="K519" s="587">
        <f t="shared" ref="K519:K582" si="161">IF(J519="x",G519,"")</f>
        <v>27.22</v>
      </c>
      <c r="L519" s="587"/>
      <c r="M519" s="587" t="str">
        <f t="shared" si="160"/>
        <v/>
      </c>
      <c r="N519" s="587"/>
      <c r="O519" s="587" t="str">
        <f t="shared" si="156"/>
        <v/>
      </c>
      <c r="P519" s="587"/>
      <c r="Q519" s="587" t="str">
        <f t="shared" ref="Q519:Q582" si="162">IF(P519="x",G519,"")</f>
        <v/>
      </c>
      <c r="R519" s="587"/>
      <c r="S519" s="587" t="str">
        <f t="shared" si="157"/>
        <v/>
      </c>
      <c r="T519" s="587"/>
      <c r="U519" s="587" t="str">
        <f t="shared" si="158"/>
        <v/>
      </c>
      <c r="V519" s="587" t="s">
        <v>957</v>
      </c>
      <c r="W519" s="587">
        <f t="shared" si="159"/>
        <v>40.78</v>
      </c>
      <c r="X519" s="587"/>
      <c r="Y519" s="587" t="str">
        <f t="shared" si="154"/>
        <v/>
      </c>
      <c r="Z519" s="587"/>
      <c r="AA519" s="587" t="str">
        <f t="shared" si="152"/>
        <v/>
      </c>
      <c r="AB519" s="587"/>
      <c r="AC519" s="587" t="str">
        <f t="shared" si="153"/>
        <v/>
      </c>
      <c r="AD519" s="586"/>
      <c r="AE519" s="587" t="str">
        <f t="shared" ref="AE519:AE582" si="163">IF(AD519="x",F519,"")</f>
        <v/>
      </c>
    </row>
    <row r="520" spans="2:31">
      <c r="B520" s="586" t="s">
        <v>428</v>
      </c>
      <c r="C520" s="587"/>
      <c r="D520" s="588"/>
      <c r="E520" s="587"/>
      <c r="F520" s="587">
        <v>4.6500000000000004</v>
      </c>
      <c r="G520" s="587">
        <v>9.1999999999999993</v>
      </c>
      <c r="H520" s="589" t="s">
        <v>957</v>
      </c>
      <c r="I520" s="587">
        <f t="shared" si="155"/>
        <v>4.6500000000000004</v>
      </c>
      <c r="J520" s="589" t="s">
        <v>957</v>
      </c>
      <c r="K520" s="587">
        <f t="shared" si="161"/>
        <v>9.1999999999999993</v>
      </c>
      <c r="L520" s="587"/>
      <c r="M520" s="587" t="str">
        <f t="shared" si="160"/>
        <v/>
      </c>
      <c r="N520" s="587"/>
      <c r="O520" s="587" t="str">
        <f t="shared" si="156"/>
        <v/>
      </c>
      <c r="P520" s="587"/>
      <c r="Q520" s="587" t="str">
        <f t="shared" si="162"/>
        <v/>
      </c>
      <c r="R520" s="587"/>
      <c r="S520" s="587" t="str">
        <f t="shared" si="157"/>
        <v/>
      </c>
      <c r="T520" s="587"/>
      <c r="U520" s="587" t="str">
        <f t="shared" si="158"/>
        <v/>
      </c>
      <c r="V520" s="587" t="s">
        <v>957</v>
      </c>
      <c r="W520" s="587">
        <f t="shared" si="159"/>
        <v>4.6500000000000004</v>
      </c>
      <c r="X520" s="587"/>
      <c r="Y520" s="587" t="str">
        <f t="shared" si="154"/>
        <v/>
      </c>
      <c r="Z520" s="587"/>
      <c r="AA520" s="587" t="str">
        <f t="shared" si="152"/>
        <v/>
      </c>
      <c r="AB520" s="587"/>
      <c r="AC520" s="587" t="str">
        <f t="shared" si="153"/>
        <v/>
      </c>
      <c r="AD520" s="586"/>
      <c r="AE520" s="587" t="str">
        <f t="shared" si="163"/>
        <v/>
      </c>
    </row>
    <row r="521" spans="2:31">
      <c r="B521" s="586" t="s">
        <v>472</v>
      </c>
      <c r="C521" s="587">
        <v>2.0619999999999998</v>
      </c>
      <c r="D521" s="588" t="s">
        <v>957</v>
      </c>
      <c r="E521" s="587">
        <v>2.85</v>
      </c>
      <c r="F521" s="587">
        <f t="shared" ref="F521:F527" si="164">C521*E521</f>
        <v>5.8766999999999996</v>
      </c>
      <c r="G521" s="587">
        <f t="shared" ref="G521:G527" si="165">(C521+E521)*2</f>
        <v>9.8239999999999998</v>
      </c>
      <c r="H521" s="589" t="s">
        <v>957</v>
      </c>
      <c r="I521" s="587">
        <f t="shared" si="155"/>
        <v>5.8766999999999996</v>
      </c>
      <c r="J521" s="589" t="s">
        <v>957</v>
      </c>
      <c r="K521" s="587">
        <f t="shared" si="161"/>
        <v>9.8239999999999998</v>
      </c>
      <c r="L521" s="587"/>
      <c r="M521" s="587" t="str">
        <f t="shared" si="160"/>
        <v/>
      </c>
      <c r="N521" s="587"/>
      <c r="O521" s="587" t="str">
        <f t="shared" si="156"/>
        <v/>
      </c>
      <c r="P521" s="587"/>
      <c r="Q521" s="587" t="str">
        <f t="shared" si="162"/>
        <v/>
      </c>
      <c r="R521" s="587"/>
      <c r="S521" s="587" t="str">
        <f t="shared" si="157"/>
        <v/>
      </c>
      <c r="T521" s="587"/>
      <c r="U521" s="587" t="str">
        <f t="shared" si="158"/>
        <v/>
      </c>
      <c r="V521" s="587" t="s">
        <v>957</v>
      </c>
      <c r="W521" s="587">
        <f t="shared" si="159"/>
        <v>5.8766999999999996</v>
      </c>
      <c r="X521" s="587"/>
      <c r="Y521" s="587" t="str">
        <f t="shared" si="154"/>
        <v/>
      </c>
      <c r="Z521" s="587"/>
      <c r="AA521" s="587" t="str">
        <f t="shared" si="152"/>
        <v/>
      </c>
      <c r="AB521" s="587"/>
      <c r="AC521" s="587" t="str">
        <f t="shared" si="153"/>
        <v/>
      </c>
      <c r="AD521" s="586"/>
      <c r="AE521" s="587" t="str">
        <f t="shared" si="163"/>
        <v/>
      </c>
    </row>
    <row r="522" spans="2:31">
      <c r="B522" s="586" t="s">
        <v>308</v>
      </c>
      <c r="C522" s="587">
        <v>4.3120000000000003</v>
      </c>
      <c r="D522" s="588" t="s">
        <v>957</v>
      </c>
      <c r="E522" s="587">
        <v>2.5</v>
      </c>
      <c r="F522" s="587">
        <f t="shared" si="164"/>
        <v>10.780000000000001</v>
      </c>
      <c r="G522" s="587">
        <f t="shared" si="165"/>
        <v>13.624000000000001</v>
      </c>
      <c r="H522" s="589" t="s">
        <v>957</v>
      </c>
      <c r="I522" s="587">
        <f t="shared" si="155"/>
        <v>10.780000000000001</v>
      </c>
      <c r="J522" s="589" t="s">
        <v>957</v>
      </c>
      <c r="K522" s="587">
        <f t="shared" si="161"/>
        <v>13.624000000000001</v>
      </c>
      <c r="L522" s="587"/>
      <c r="M522" s="587" t="str">
        <f t="shared" si="160"/>
        <v/>
      </c>
      <c r="N522" s="587"/>
      <c r="O522" s="587" t="str">
        <f t="shared" si="156"/>
        <v/>
      </c>
      <c r="P522" s="587"/>
      <c r="Q522" s="587" t="str">
        <f t="shared" si="162"/>
        <v/>
      </c>
      <c r="R522" s="587"/>
      <c r="S522" s="587" t="str">
        <f t="shared" si="157"/>
        <v/>
      </c>
      <c r="T522" s="587"/>
      <c r="U522" s="587" t="str">
        <f t="shared" si="158"/>
        <v/>
      </c>
      <c r="V522" s="587" t="s">
        <v>957</v>
      </c>
      <c r="W522" s="587">
        <f t="shared" si="159"/>
        <v>10.780000000000001</v>
      </c>
      <c r="X522" s="587"/>
      <c r="Y522" s="587" t="str">
        <f t="shared" si="154"/>
        <v/>
      </c>
      <c r="Z522" s="587"/>
      <c r="AA522" s="587" t="str">
        <f t="shared" si="152"/>
        <v/>
      </c>
      <c r="AB522" s="587"/>
      <c r="AC522" s="587" t="str">
        <f t="shared" si="153"/>
        <v/>
      </c>
      <c r="AD522" s="586"/>
      <c r="AE522" s="587" t="str">
        <f t="shared" si="163"/>
        <v/>
      </c>
    </row>
    <row r="523" spans="2:31">
      <c r="B523" s="586" t="s">
        <v>299</v>
      </c>
      <c r="C523" s="587">
        <v>4.3120000000000003</v>
      </c>
      <c r="D523" s="588" t="s">
        <v>957</v>
      </c>
      <c r="E523" s="587">
        <v>2.5</v>
      </c>
      <c r="F523" s="587">
        <f t="shared" si="164"/>
        <v>10.780000000000001</v>
      </c>
      <c r="G523" s="587">
        <f t="shared" si="165"/>
        <v>13.624000000000001</v>
      </c>
      <c r="H523" s="589" t="s">
        <v>957</v>
      </c>
      <c r="I523" s="587">
        <f t="shared" si="155"/>
        <v>10.780000000000001</v>
      </c>
      <c r="J523" s="589" t="s">
        <v>957</v>
      </c>
      <c r="K523" s="587">
        <f t="shared" si="161"/>
        <v>13.624000000000001</v>
      </c>
      <c r="L523" s="587"/>
      <c r="M523" s="587" t="str">
        <f t="shared" si="160"/>
        <v/>
      </c>
      <c r="N523" s="587"/>
      <c r="O523" s="587" t="str">
        <f t="shared" si="156"/>
        <v/>
      </c>
      <c r="P523" s="587"/>
      <c r="Q523" s="587" t="str">
        <f t="shared" si="162"/>
        <v/>
      </c>
      <c r="R523" s="587"/>
      <c r="S523" s="587" t="str">
        <f t="shared" si="157"/>
        <v/>
      </c>
      <c r="T523" s="587"/>
      <c r="U523" s="587" t="str">
        <f t="shared" si="158"/>
        <v/>
      </c>
      <c r="V523" s="587" t="s">
        <v>957</v>
      </c>
      <c r="W523" s="587">
        <f t="shared" si="159"/>
        <v>10.780000000000001</v>
      </c>
      <c r="X523" s="587"/>
      <c r="Y523" s="587" t="str">
        <f t="shared" si="154"/>
        <v/>
      </c>
      <c r="Z523" s="587"/>
      <c r="AA523" s="587" t="str">
        <f t="shared" si="152"/>
        <v/>
      </c>
      <c r="AB523" s="587"/>
      <c r="AC523" s="587" t="str">
        <f t="shared" si="153"/>
        <v/>
      </c>
      <c r="AD523" s="586"/>
      <c r="AE523" s="587" t="str">
        <f t="shared" si="163"/>
        <v/>
      </c>
    </row>
    <row r="524" spans="2:31">
      <c r="B524" s="586" t="s">
        <v>423</v>
      </c>
      <c r="C524" s="587">
        <v>4.3120000000000003</v>
      </c>
      <c r="D524" s="588" t="s">
        <v>957</v>
      </c>
      <c r="E524" s="587">
        <v>3</v>
      </c>
      <c r="F524" s="587">
        <f t="shared" si="164"/>
        <v>12.936</v>
      </c>
      <c r="G524" s="587">
        <f t="shared" si="165"/>
        <v>14.624000000000001</v>
      </c>
      <c r="H524" s="589" t="s">
        <v>957</v>
      </c>
      <c r="I524" s="587">
        <f t="shared" si="155"/>
        <v>12.936</v>
      </c>
      <c r="J524" s="589" t="s">
        <v>957</v>
      </c>
      <c r="K524" s="587">
        <f t="shared" si="161"/>
        <v>14.624000000000001</v>
      </c>
      <c r="L524" s="587"/>
      <c r="M524" s="587" t="str">
        <f t="shared" si="160"/>
        <v/>
      </c>
      <c r="N524" s="587"/>
      <c r="O524" s="587" t="str">
        <f t="shared" si="156"/>
        <v/>
      </c>
      <c r="P524" s="587"/>
      <c r="Q524" s="587" t="str">
        <f t="shared" si="162"/>
        <v/>
      </c>
      <c r="R524" s="587"/>
      <c r="S524" s="587" t="str">
        <f t="shared" si="157"/>
        <v/>
      </c>
      <c r="T524" s="587"/>
      <c r="U524" s="587" t="str">
        <f t="shared" si="158"/>
        <v/>
      </c>
      <c r="V524" s="587" t="s">
        <v>957</v>
      </c>
      <c r="W524" s="587">
        <f t="shared" si="159"/>
        <v>12.936</v>
      </c>
      <c r="X524" s="587"/>
      <c r="Y524" s="587" t="str">
        <f t="shared" si="154"/>
        <v/>
      </c>
      <c r="Z524" s="587"/>
      <c r="AA524" s="587" t="str">
        <f t="shared" si="152"/>
        <v/>
      </c>
      <c r="AB524" s="587"/>
      <c r="AC524" s="587" t="str">
        <f t="shared" si="153"/>
        <v/>
      </c>
      <c r="AD524" s="586"/>
      <c r="AE524" s="587" t="str">
        <f t="shared" si="163"/>
        <v/>
      </c>
    </row>
    <row r="525" spans="2:31">
      <c r="B525" s="586" t="s">
        <v>543</v>
      </c>
      <c r="C525" s="587">
        <v>2.3119999999999998</v>
      </c>
      <c r="D525" s="588" t="s">
        <v>957</v>
      </c>
      <c r="E525" s="587">
        <v>4.8639999999999999</v>
      </c>
      <c r="F525" s="587">
        <f t="shared" si="164"/>
        <v>11.245567999999999</v>
      </c>
      <c r="G525" s="587">
        <f t="shared" si="165"/>
        <v>14.352</v>
      </c>
      <c r="H525" s="589" t="s">
        <v>957</v>
      </c>
      <c r="I525" s="587">
        <f t="shared" si="155"/>
        <v>11.245567999999999</v>
      </c>
      <c r="J525" s="589" t="s">
        <v>957</v>
      </c>
      <c r="K525" s="587">
        <f t="shared" si="161"/>
        <v>14.352</v>
      </c>
      <c r="L525" s="587"/>
      <c r="M525" s="587" t="str">
        <f t="shared" si="160"/>
        <v/>
      </c>
      <c r="N525" s="587"/>
      <c r="O525" s="587" t="str">
        <f t="shared" si="156"/>
        <v/>
      </c>
      <c r="P525" s="587"/>
      <c r="Q525" s="587" t="str">
        <f t="shared" si="162"/>
        <v/>
      </c>
      <c r="R525" s="587"/>
      <c r="S525" s="587" t="str">
        <f t="shared" si="157"/>
        <v/>
      </c>
      <c r="T525" s="587"/>
      <c r="U525" s="587" t="str">
        <f t="shared" si="158"/>
        <v/>
      </c>
      <c r="V525" s="587" t="s">
        <v>957</v>
      </c>
      <c r="W525" s="587">
        <f t="shared" si="159"/>
        <v>11.245567999999999</v>
      </c>
      <c r="X525" s="587"/>
      <c r="Y525" s="587" t="str">
        <f t="shared" si="154"/>
        <v/>
      </c>
      <c r="Z525" s="587"/>
      <c r="AA525" s="587" t="str">
        <f t="shared" si="152"/>
        <v/>
      </c>
      <c r="AB525" s="587"/>
      <c r="AC525" s="587" t="str">
        <f t="shared" si="153"/>
        <v/>
      </c>
      <c r="AD525" s="586"/>
      <c r="AE525" s="587" t="str">
        <f t="shared" si="163"/>
        <v/>
      </c>
    </row>
    <row r="526" spans="2:31">
      <c r="B526" s="586" t="s">
        <v>544</v>
      </c>
      <c r="C526" s="587">
        <v>2.3119999999999998</v>
      </c>
      <c r="D526" s="588" t="s">
        <v>957</v>
      </c>
      <c r="E526" s="587">
        <v>4.8639999999999999</v>
      </c>
      <c r="F526" s="587">
        <f t="shared" si="164"/>
        <v>11.245567999999999</v>
      </c>
      <c r="G526" s="587">
        <f t="shared" si="165"/>
        <v>14.352</v>
      </c>
      <c r="H526" s="589" t="s">
        <v>957</v>
      </c>
      <c r="I526" s="587">
        <f t="shared" si="155"/>
        <v>11.245567999999999</v>
      </c>
      <c r="J526" s="589" t="s">
        <v>957</v>
      </c>
      <c r="K526" s="587">
        <f t="shared" si="161"/>
        <v>14.352</v>
      </c>
      <c r="L526" s="587"/>
      <c r="M526" s="587" t="str">
        <f t="shared" si="160"/>
        <v/>
      </c>
      <c r="N526" s="587"/>
      <c r="O526" s="587" t="str">
        <f t="shared" si="156"/>
        <v/>
      </c>
      <c r="P526" s="587"/>
      <c r="Q526" s="587" t="str">
        <f t="shared" si="162"/>
        <v/>
      </c>
      <c r="R526" s="587"/>
      <c r="S526" s="587" t="str">
        <f t="shared" si="157"/>
        <v/>
      </c>
      <c r="T526" s="587"/>
      <c r="U526" s="587" t="str">
        <f t="shared" si="158"/>
        <v/>
      </c>
      <c r="V526" s="587" t="s">
        <v>957</v>
      </c>
      <c r="W526" s="587">
        <f t="shared" si="159"/>
        <v>11.245567999999999</v>
      </c>
      <c r="X526" s="587"/>
      <c r="Y526" s="587" t="str">
        <f t="shared" si="154"/>
        <v/>
      </c>
      <c r="Z526" s="587"/>
      <c r="AA526" s="587" t="str">
        <f t="shared" ref="AA526:AA589" si="166">IF(Z526="x",F526,"")</f>
        <v/>
      </c>
      <c r="AB526" s="587"/>
      <c r="AC526" s="587" t="str">
        <f t="shared" ref="AC526:AC589" si="167">IF(AB526="x",F526,"")</f>
        <v/>
      </c>
      <c r="AD526" s="586"/>
      <c r="AE526" s="587" t="str">
        <f t="shared" si="163"/>
        <v/>
      </c>
    </row>
    <row r="527" spans="2:31">
      <c r="B527" s="586" t="s">
        <v>476</v>
      </c>
      <c r="C527" s="587">
        <v>2.3119999999999998</v>
      </c>
      <c r="D527" s="588" t="s">
        <v>957</v>
      </c>
      <c r="E527" s="587">
        <v>4.8639999999999999</v>
      </c>
      <c r="F527" s="587">
        <f t="shared" si="164"/>
        <v>11.245567999999999</v>
      </c>
      <c r="G527" s="587">
        <f t="shared" si="165"/>
        <v>14.352</v>
      </c>
      <c r="H527" s="589" t="s">
        <v>957</v>
      </c>
      <c r="I527" s="587">
        <f t="shared" si="155"/>
        <v>11.245567999999999</v>
      </c>
      <c r="J527" s="589" t="s">
        <v>957</v>
      </c>
      <c r="K527" s="587">
        <f t="shared" si="161"/>
        <v>14.352</v>
      </c>
      <c r="L527" s="587"/>
      <c r="M527" s="587" t="str">
        <f t="shared" si="160"/>
        <v/>
      </c>
      <c r="N527" s="587"/>
      <c r="O527" s="587" t="str">
        <f t="shared" si="156"/>
        <v/>
      </c>
      <c r="P527" s="587"/>
      <c r="Q527" s="587" t="str">
        <f t="shared" si="162"/>
        <v/>
      </c>
      <c r="R527" s="587"/>
      <c r="S527" s="587" t="str">
        <f t="shared" si="157"/>
        <v/>
      </c>
      <c r="T527" s="587"/>
      <c r="U527" s="587" t="str">
        <f t="shared" si="158"/>
        <v/>
      </c>
      <c r="V527" s="587" t="s">
        <v>957</v>
      </c>
      <c r="W527" s="587">
        <f t="shared" si="159"/>
        <v>11.245567999999999</v>
      </c>
      <c r="X527" s="587"/>
      <c r="Y527" s="587" t="str">
        <f t="shared" si="154"/>
        <v/>
      </c>
      <c r="Z527" s="587"/>
      <c r="AA527" s="587" t="str">
        <f t="shared" si="166"/>
        <v/>
      </c>
      <c r="AB527" s="587"/>
      <c r="AC527" s="587" t="str">
        <f t="shared" si="167"/>
        <v/>
      </c>
      <c r="AD527" s="586"/>
      <c r="AE527" s="587" t="str">
        <f t="shared" si="163"/>
        <v/>
      </c>
    </row>
    <row r="528" spans="2:31">
      <c r="B528" s="586" t="s">
        <v>545</v>
      </c>
      <c r="C528" s="587"/>
      <c r="D528" s="588"/>
      <c r="E528" s="587"/>
      <c r="F528" s="587">
        <v>28.427</v>
      </c>
      <c r="G528" s="587">
        <v>24.34</v>
      </c>
      <c r="H528" s="589" t="s">
        <v>957</v>
      </c>
      <c r="I528" s="587">
        <f t="shared" si="155"/>
        <v>28.427</v>
      </c>
      <c r="J528" s="589" t="s">
        <v>957</v>
      </c>
      <c r="K528" s="587">
        <f t="shared" si="161"/>
        <v>24.34</v>
      </c>
      <c r="L528" s="587"/>
      <c r="M528" s="587" t="str">
        <f t="shared" si="160"/>
        <v/>
      </c>
      <c r="N528" s="587"/>
      <c r="O528" s="587" t="str">
        <f t="shared" si="156"/>
        <v/>
      </c>
      <c r="P528" s="587"/>
      <c r="Q528" s="587" t="str">
        <f t="shared" si="162"/>
        <v/>
      </c>
      <c r="R528" s="587"/>
      <c r="S528" s="587" t="str">
        <f t="shared" si="157"/>
        <v/>
      </c>
      <c r="T528" s="587"/>
      <c r="U528" s="587" t="str">
        <f t="shared" si="158"/>
        <v/>
      </c>
      <c r="V528" s="587" t="s">
        <v>957</v>
      </c>
      <c r="W528" s="587">
        <f t="shared" si="159"/>
        <v>28.427</v>
      </c>
      <c r="X528" s="587"/>
      <c r="Y528" s="587" t="str">
        <f t="shared" si="154"/>
        <v/>
      </c>
      <c r="Z528" s="587"/>
      <c r="AA528" s="587" t="str">
        <f t="shared" si="166"/>
        <v/>
      </c>
      <c r="AB528" s="587"/>
      <c r="AC528" s="587" t="str">
        <f t="shared" si="167"/>
        <v/>
      </c>
      <c r="AD528" s="586"/>
      <c r="AE528" s="587" t="str">
        <f t="shared" si="163"/>
        <v/>
      </c>
    </row>
    <row r="529" spans="2:31">
      <c r="B529" s="586" t="s">
        <v>546</v>
      </c>
      <c r="C529" s="587">
        <v>2.8</v>
      </c>
      <c r="D529" s="588" t="s">
        <v>957</v>
      </c>
      <c r="E529" s="587">
        <v>1.6</v>
      </c>
      <c r="F529" s="587">
        <f>C529*E529</f>
        <v>4.4799999999999995</v>
      </c>
      <c r="G529" s="587">
        <f>(C529+E529)*2</f>
        <v>8.8000000000000007</v>
      </c>
      <c r="H529" s="589" t="s">
        <v>957</v>
      </c>
      <c r="I529" s="587">
        <f t="shared" si="155"/>
        <v>4.4799999999999995</v>
      </c>
      <c r="J529" s="589" t="s">
        <v>957</v>
      </c>
      <c r="K529" s="587">
        <f t="shared" si="161"/>
        <v>8.8000000000000007</v>
      </c>
      <c r="L529" s="587"/>
      <c r="M529" s="587" t="str">
        <f t="shared" si="160"/>
        <v/>
      </c>
      <c r="N529" s="587"/>
      <c r="O529" s="587" t="str">
        <f t="shared" si="156"/>
        <v/>
      </c>
      <c r="P529" s="587"/>
      <c r="Q529" s="587" t="str">
        <f t="shared" si="162"/>
        <v/>
      </c>
      <c r="R529" s="587"/>
      <c r="S529" s="587" t="str">
        <f t="shared" si="157"/>
        <v/>
      </c>
      <c r="T529" s="587"/>
      <c r="U529" s="587" t="str">
        <f t="shared" si="158"/>
        <v/>
      </c>
      <c r="V529" s="587" t="s">
        <v>957</v>
      </c>
      <c r="W529" s="587">
        <f t="shared" si="159"/>
        <v>4.4799999999999995</v>
      </c>
      <c r="X529" s="587"/>
      <c r="Y529" s="587" t="str">
        <f t="shared" si="154"/>
        <v/>
      </c>
      <c r="Z529" s="587"/>
      <c r="AA529" s="587" t="str">
        <f t="shared" si="166"/>
        <v/>
      </c>
      <c r="AB529" s="587"/>
      <c r="AC529" s="587" t="str">
        <f t="shared" si="167"/>
        <v/>
      </c>
      <c r="AD529" s="586"/>
      <c r="AE529" s="587" t="str">
        <f t="shared" si="163"/>
        <v/>
      </c>
    </row>
    <row r="530" spans="2:31">
      <c r="B530" s="586" t="s">
        <v>547</v>
      </c>
      <c r="C530" s="587">
        <v>2.8</v>
      </c>
      <c r="D530" s="588" t="s">
        <v>957</v>
      </c>
      <c r="E530" s="587">
        <v>1.6</v>
      </c>
      <c r="F530" s="587">
        <f>C530*E530</f>
        <v>4.4799999999999995</v>
      </c>
      <c r="G530" s="587">
        <f>(C530+E530)*2</f>
        <v>8.8000000000000007</v>
      </c>
      <c r="H530" s="589" t="s">
        <v>957</v>
      </c>
      <c r="I530" s="587">
        <f t="shared" si="155"/>
        <v>4.4799999999999995</v>
      </c>
      <c r="J530" s="589" t="s">
        <v>957</v>
      </c>
      <c r="K530" s="587">
        <f t="shared" si="161"/>
        <v>8.8000000000000007</v>
      </c>
      <c r="L530" s="587"/>
      <c r="M530" s="587" t="str">
        <f t="shared" si="160"/>
        <v/>
      </c>
      <c r="N530" s="587"/>
      <c r="O530" s="587" t="str">
        <f t="shared" si="156"/>
        <v/>
      </c>
      <c r="P530" s="587"/>
      <c r="Q530" s="587" t="str">
        <f t="shared" si="162"/>
        <v/>
      </c>
      <c r="R530" s="587"/>
      <c r="S530" s="587" t="str">
        <f t="shared" si="157"/>
        <v/>
      </c>
      <c r="T530" s="587"/>
      <c r="U530" s="587" t="str">
        <f t="shared" si="158"/>
        <v/>
      </c>
      <c r="V530" s="587" t="s">
        <v>957</v>
      </c>
      <c r="W530" s="587">
        <f t="shared" si="159"/>
        <v>4.4799999999999995</v>
      </c>
      <c r="X530" s="587"/>
      <c r="Y530" s="587" t="str">
        <f t="shared" si="154"/>
        <v/>
      </c>
      <c r="Z530" s="587"/>
      <c r="AA530" s="587" t="str">
        <f t="shared" si="166"/>
        <v/>
      </c>
      <c r="AB530" s="587"/>
      <c r="AC530" s="587" t="str">
        <f t="shared" si="167"/>
        <v/>
      </c>
      <c r="AD530" s="586"/>
      <c r="AE530" s="587" t="str">
        <f t="shared" si="163"/>
        <v/>
      </c>
    </row>
    <row r="531" spans="2:31">
      <c r="B531" s="586" t="s">
        <v>548</v>
      </c>
      <c r="C531" s="587"/>
      <c r="D531" s="588"/>
      <c r="E531" s="587"/>
      <c r="F531" s="587">
        <v>28.427</v>
      </c>
      <c r="G531" s="587">
        <v>24.34</v>
      </c>
      <c r="H531" s="589" t="s">
        <v>957</v>
      </c>
      <c r="I531" s="587">
        <f t="shared" si="155"/>
        <v>28.427</v>
      </c>
      <c r="J531" s="589" t="s">
        <v>957</v>
      </c>
      <c r="K531" s="587">
        <f t="shared" si="161"/>
        <v>24.34</v>
      </c>
      <c r="L531" s="587"/>
      <c r="M531" s="587" t="str">
        <f t="shared" si="160"/>
        <v/>
      </c>
      <c r="N531" s="587"/>
      <c r="O531" s="587" t="str">
        <f t="shared" si="156"/>
        <v/>
      </c>
      <c r="P531" s="587"/>
      <c r="Q531" s="587" t="str">
        <f t="shared" si="162"/>
        <v/>
      </c>
      <c r="R531" s="587"/>
      <c r="S531" s="587" t="str">
        <f t="shared" si="157"/>
        <v/>
      </c>
      <c r="T531" s="587"/>
      <c r="U531" s="587" t="str">
        <f t="shared" si="158"/>
        <v/>
      </c>
      <c r="V531" s="587" t="s">
        <v>957</v>
      </c>
      <c r="W531" s="587">
        <f t="shared" si="159"/>
        <v>28.427</v>
      </c>
      <c r="X531" s="587"/>
      <c r="Y531" s="587" t="str">
        <f t="shared" ref="Y531:Y594" si="168">IF(X531="x",F531,"")</f>
        <v/>
      </c>
      <c r="Z531" s="587"/>
      <c r="AA531" s="587" t="str">
        <f t="shared" si="166"/>
        <v/>
      </c>
      <c r="AB531" s="587"/>
      <c r="AC531" s="587" t="str">
        <f t="shared" si="167"/>
        <v/>
      </c>
      <c r="AD531" s="586"/>
      <c r="AE531" s="587" t="str">
        <f t="shared" si="163"/>
        <v/>
      </c>
    </row>
    <row r="532" spans="2:31">
      <c r="B532" s="586" t="s">
        <v>549</v>
      </c>
      <c r="C532" s="587">
        <v>2.4</v>
      </c>
      <c r="D532" s="588" t="s">
        <v>957</v>
      </c>
      <c r="E532" s="587">
        <v>4.8650000000000002</v>
      </c>
      <c r="F532" s="587">
        <f>C532*E532</f>
        <v>11.676</v>
      </c>
      <c r="G532" s="587">
        <f>(C532+E532)*2</f>
        <v>14.530000000000001</v>
      </c>
      <c r="H532" s="589" t="s">
        <v>957</v>
      </c>
      <c r="I532" s="587">
        <f t="shared" si="155"/>
        <v>11.676</v>
      </c>
      <c r="J532" s="589" t="s">
        <v>957</v>
      </c>
      <c r="K532" s="587">
        <f t="shared" si="161"/>
        <v>14.530000000000001</v>
      </c>
      <c r="L532" s="587"/>
      <c r="M532" s="587" t="str">
        <f t="shared" si="160"/>
        <v/>
      </c>
      <c r="N532" s="587"/>
      <c r="O532" s="587" t="str">
        <f t="shared" si="156"/>
        <v/>
      </c>
      <c r="P532" s="587"/>
      <c r="Q532" s="587" t="str">
        <f t="shared" si="162"/>
        <v/>
      </c>
      <c r="R532" s="587"/>
      <c r="S532" s="587" t="str">
        <f t="shared" si="157"/>
        <v/>
      </c>
      <c r="T532" s="587"/>
      <c r="U532" s="587" t="str">
        <f t="shared" si="158"/>
        <v/>
      </c>
      <c r="V532" s="587" t="s">
        <v>957</v>
      </c>
      <c r="W532" s="587">
        <f t="shared" si="159"/>
        <v>11.676</v>
      </c>
      <c r="X532" s="587"/>
      <c r="Y532" s="587" t="str">
        <f t="shared" si="168"/>
        <v/>
      </c>
      <c r="Z532" s="587"/>
      <c r="AA532" s="587" t="str">
        <f t="shared" si="166"/>
        <v/>
      </c>
      <c r="AB532" s="587"/>
      <c r="AC532" s="587" t="str">
        <f t="shared" si="167"/>
        <v/>
      </c>
      <c r="AD532" s="586"/>
      <c r="AE532" s="587" t="str">
        <f t="shared" si="163"/>
        <v/>
      </c>
    </row>
    <row r="533" spans="2:31">
      <c r="B533" s="586" t="s">
        <v>550</v>
      </c>
      <c r="C533" s="587"/>
      <c r="D533" s="588"/>
      <c r="E533" s="587"/>
      <c r="F533" s="587">
        <v>16.940000000000001</v>
      </c>
      <c r="G533" s="587">
        <v>19.155000000000001</v>
      </c>
      <c r="H533" s="589" t="s">
        <v>957</v>
      </c>
      <c r="I533" s="587">
        <f t="shared" si="155"/>
        <v>16.940000000000001</v>
      </c>
      <c r="J533" s="589" t="s">
        <v>957</v>
      </c>
      <c r="K533" s="587">
        <f t="shared" si="161"/>
        <v>19.155000000000001</v>
      </c>
      <c r="L533" s="587"/>
      <c r="M533" s="587" t="str">
        <f t="shared" si="160"/>
        <v/>
      </c>
      <c r="N533" s="587"/>
      <c r="O533" s="587" t="str">
        <f t="shared" si="156"/>
        <v/>
      </c>
      <c r="P533" s="587"/>
      <c r="Q533" s="587" t="str">
        <f t="shared" si="162"/>
        <v/>
      </c>
      <c r="R533" s="587"/>
      <c r="S533" s="587" t="str">
        <f t="shared" si="157"/>
        <v/>
      </c>
      <c r="T533" s="587"/>
      <c r="U533" s="587" t="str">
        <f t="shared" si="158"/>
        <v/>
      </c>
      <c r="V533" s="587" t="s">
        <v>957</v>
      </c>
      <c r="W533" s="587">
        <f t="shared" si="159"/>
        <v>16.940000000000001</v>
      </c>
      <c r="X533" s="587"/>
      <c r="Y533" s="587" t="str">
        <f t="shared" si="168"/>
        <v/>
      </c>
      <c r="Z533" s="587"/>
      <c r="AA533" s="587" t="str">
        <f t="shared" si="166"/>
        <v/>
      </c>
      <c r="AB533" s="587"/>
      <c r="AC533" s="587" t="str">
        <f t="shared" si="167"/>
        <v/>
      </c>
      <c r="AD533" s="586"/>
      <c r="AE533" s="587" t="str">
        <f t="shared" si="163"/>
        <v/>
      </c>
    </row>
    <row r="534" spans="2:31">
      <c r="B534" s="586" t="s">
        <v>428</v>
      </c>
      <c r="C534" s="587">
        <v>1.75</v>
      </c>
      <c r="D534" s="588"/>
      <c r="E534" s="587">
        <v>2.9990000000000001</v>
      </c>
      <c r="F534" s="587">
        <f>C534*E534</f>
        <v>5.2482500000000005</v>
      </c>
      <c r="G534" s="587">
        <f>(C534+E534)*2</f>
        <v>9.4980000000000011</v>
      </c>
      <c r="H534" s="589" t="s">
        <v>957</v>
      </c>
      <c r="I534" s="587">
        <f t="shared" si="155"/>
        <v>5.2482500000000005</v>
      </c>
      <c r="J534" s="589" t="s">
        <v>957</v>
      </c>
      <c r="K534" s="587">
        <f t="shared" si="161"/>
        <v>9.4980000000000011</v>
      </c>
      <c r="L534" s="587"/>
      <c r="M534" s="587" t="str">
        <f t="shared" si="160"/>
        <v/>
      </c>
      <c r="N534" s="587"/>
      <c r="O534" s="587" t="str">
        <f t="shared" si="156"/>
        <v/>
      </c>
      <c r="P534" s="587"/>
      <c r="Q534" s="587" t="str">
        <f t="shared" si="162"/>
        <v/>
      </c>
      <c r="R534" s="587"/>
      <c r="S534" s="587" t="str">
        <f t="shared" si="157"/>
        <v/>
      </c>
      <c r="T534" s="587"/>
      <c r="U534" s="587" t="str">
        <f t="shared" si="158"/>
        <v/>
      </c>
      <c r="V534" s="587" t="s">
        <v>957</v>
      </c>
      <c r="W534" s="587">
        <f t="shared" si="159"/>
        <v>5.2482500000000005</v>
      </c>
      <c r="X534" s="587"/>
      <c r="Y534" s="587" t="str">
        <f t="shared" si="168"/>
        <v/>
      </c>
      <c r="Z534" s="587"/>
      <c r="AA534" s="587" t="str">
        <f t="shared" si="166"/>
        <v/>
      </c>
      <c r="AB534" s="587"/>
      <c r="AC534" s="587" t="str">
        <f t="shared" si="167"/>
        <v/>
      </c>
      <c r="AD534" s="586"/>
      <c r="AE534" s="587" t="str">
        <f t="shared" si="163"/>
        <v/>
      </c>
    </row>
    <row r="535" spans="2:31">
      <c r="B535" s="586" t="s">
        <v>551</v>
      </c>
      <c r="C535" s="587"/>
      <c r="D535" s="588"/>
      <c r="E535" s="587"/>
      <c r="F535" s="587">
        <v>37.72</v>
      </c>
      <c r="G535" s="587">
        <v>26.3</v>
      </c>
      <c r="H535" s="589" t="s">
        <v>957</v>
      </c>
      <c r="I535" s="587">
        <f t="shared" si="155"/>
        <v>37.72</v>
      </c>
      <c r="J535" s="589" t="s">
        <v>957</v>
      </c>
      <c r="K535" s="587">
        <f t="shared" si="161"/>
        <v>26.3</v>
      </c>
      <c r="L535" s="587"/>
      <c r="M535" s="587" t="str">
        <f t="shared" si="160"/>
        <v/>
      </c>
      <c r="N535" s="587"/>
      <c r="O535" s="587" t="str">
        <f t="shared" si="156"/>
        <v/>
      </c>
      <c r="P535" s="587"/>
      <c r="Q535" s="587" t="str">
        <f t="shared" si="162"/>
        <v/>
      </c>
      <c r="R535" s="587"/>
      <c r="S535" s="587" t="str">
        <f t="shared" si="157"/>
        <v/>
      </c>
      <c r="T535" s="587"/>
      <c r="U535" s="587" t="str">
        <f t="shared" si="158"/>
        <v/>
      </c>
      <c r="V535" s="587" t="s">
        <v>957</v>
      </c>
      <c r="W535" s="587">
        <f t="shared" si="159"/>
        <v>37.72</v>
      </c>
      <c r="X535" s="587"/>
      <c r="Y535" s="587" t="str">
        <f t="shared" si="168"/>
        <v/>
      </c>
      <c r="Z535" s="587"/>
      <c r="AA535" s="587" t="str">
        <f t="shared" si="166"/>
        <v/>
      </c>
      <c r="AB535" s="587"/>
      <c r="AC535" s="587" t="str">
        <f t="shared" si="167"/>
        <v/>
      </c>
      <c r="AD535" s="586"/>
      <c r="AE535" s="587" t="str">
        <f t="shared" si="163"/>
        <v/>
      </c>
    </row>
    <row r="536" spans="2:31">
      <c r="B536" s="586" t="s">
        <v>428</v>
      </c>
      <c r="C536" s="587"/>
      <c r="D536" s="588"/>
      <c r="E536" s="587"/>
      <c r="F536" s="587">
        <v>4.6500000000000004</v>
      </c>
      <c r="G536" s="587">
        <v>9.1999999999999993</v>
      </c>
      <c r="H536" s="589" t="s">
        <v>957</v>
      </c>
      <c r="I536" s="587">
        <f t="shared" si="155"/>
        <v>4.6500000000000004</v>
      </c>
      <c r="J536" s="589" t="s">
        <v>957</v>
      </c>
      <c r="K536" s="587">
        <f t="shared" si="161"/>
        <v>9.1999999999999993</v>
      </c>
      <c r="L536" s="587"/>
      <c r="M536" s="587" t="str">
        <f t="shared" si="160"/>
        <v/>
      </c>
      <c r="N536" s="587"/>
      <c r="O536" s="587" t="str">
        <f t="shared" si="156"/>
        <v/>
      </c>
      <c r="P536" s="587"/>
      <c r="Q536" s="587" t="str">
        <f t="shared" si="162"/>
        <v/>
      </c>
      <c r="R536" s="587"/>
      <c r="S536" s="587" t="str">
        <f t="shared" si="157"/>
        <v/>
      </c>
      <c r="T536" s="587"/>
      <c r="U536" s="587" t="str">
        <f t="shared" si="158"/>
        <v/>
      </c>
      <c r="V536" s="587" t="s">
        <v>957</v>
      </c>
      <c r="W536" s="587">
        <f t="shared" si="159"/>
        <v>4.6500000000000004</v>
      </c>
      <c r="X536" s="587"/>
      <c r="Y536" s="587" t="str">
        <f t="shared" si="168"/>
        <v/>
      </c>
      <c r="Z536" s="587"/>
      <c r="AA536" s="587" t="str">
        <f t="shared" si="166"/>
        <v/>
      </c>
      <c r="AB536" s="587"/>
      <c r="AC536" s="587" t="str">
        <f t="shared" si="167"/>
        <v/>
      </c>
      <c r="AD536" s="586"/>
      <c r="AE536" s="587" t="str">
        <f t="shared" si="163"/>
        <v/>
      </c>
    </row>
    <row r="537" spans="2:31">
      <c r="B537" s="586" t="s">
        <v>552</v>
      </c>
      <c r="C537" s="587"/>
      <c r="D537" s="588"/>
      <c r="E537" s="587"/>
      <c r="F537" s="587">
        <v>37.72</v>
      </c>
      <c r="G537" s="587">
        <v>26.3</v>
      </c>
      <c r="H537" s="589" t="s">
        <v>957</v>
      </c>
      <c r="I537" s="587">
        <f t="shared" si="155"/>
        <v>37.72</v>
      </c>
      <c r="J537" s="589" t="s">
        <v>957</v>
      </c>
      <c r="K537" s="587">
        <f t="shared" si="161"/>
        <v>26.3</v>
      </c>
      <c r="L537" s="587"/>
      <c r="M537" s="587" t="str">
        <f t="shared" si="160"/>
        <v/>
      </c>
      <c r="N537" s="587"/>
      <c r="O537" s="587" t="str">
        <f t="shared" si="156"/>
        <v/>
      </c>
      <c r="P537" s="587"/>
      <c r="Q537" s="587" t="str">
        <f t="shared" si="162"/>
        <v/>
      </c>
      <c r="R537" s="587"/>
      <c r="S537" s="587" t="str">
        <f t="shared" si="157"/>
        <v/>
      </c>
      <c r="T537" s="587"/>
      <c r="U537" s="587" t="str">
        <f t="shared" si="158"/>
        <v/>
      </c>
      <c r="V537" s="587" t="s">
        <v>957</v>
      </c>
      <c r="W537" s="587">
        <f t="shared" si="159"/>
        <v>37.72</v>
      </c>
      <c r="X537" s="587"/>
      <c r="Y537" s="587" t="str">
        <f t="shared" si="168"/>
        <v/>
      </c>
      <c r="Z537" s="587"/>
      <c r="AA537" s="587" t="str">
        <f t="shared" si="166"/>
        <v/>
      </c>
      <c r="AB537" s="587"/>
      <c r="AC537" s="587" t="str">
        <f t="shared" si="167"/>
        <v/>
      </c>
      <c r="AD537" s="586"/>
      <c r="AE537" s="587" t="str">
        <f t="shared" si="163"/>
        <v/>
      </c>
    </row>
    <row r="538" spans="2:31">
      <c r="B538" s="586" t="s">
        <v>428</v>
      </c>
      <c r="C538" s="587"/>
      <c r="D538" s="588"/>
      <c r="E538" s="587"/>
      <c r="F538" s="587">
        <v>4.6500000000000004</v>
      </c>
      <c r="G538" s="587">
        <v>9.1999999999999993</v>
      </c>
      <c r="H538" s="589" t="s">
        <v>957</v>
      </c>
      <c r="I538" s="587">
        <f t="shared" si="155"/>
        <v>4.6500000000000004</v>
      </c>
      <c r="J538" s="589" t="s">
        <v>957</v>
      </c>
      <c r="K538" s="587">
        <f t="shared" si="161"/>
        <v>9.1999999999999993</v>
      </c>
      <c r="L538" s="587"/>
      <c r="M538" s="587" t="str">
        <f t="shared" si="160"/>
        <v/>
      </c>
      <c r="N538" s="587"/>
      <c r="O538" s="587" t="str">
        <f t="shared" si="156"/>
        <v/>
      </c>
      <c r="P538" s="587"/>
      <c r="Q538" s="587" t="str">
        <f t="shared" si="162"/>
        <v/>
      </c>
      <c r="R538" s="587"/>
      <c r="S538" s="587" t="str">
        <f t="shared" si="157"/>
        <v/>
      </c>
      <c r="T538" s="587"/>
      <c r="U538" s="587" t="str">
        <f t="shared" si="158"/>
        <v/>
      </c>
      <c r="V538" s="587" t="s">
        <v>957</v>
      </c>
      <c r="W538" s="587">
        <f t="shared" si="159"/>
        <v>4.6500000000000004</v>
      </c>
      <c r="X538" s="587"/>
      <c r="Y538" s="587" t="str">
        <f t="shared" si="168"/>
        <v/>
      </c>
      <c r="Z538" s="587"/>
      <c r="AA538" s="587" t="str">
        <f t="shared" si="166"/>
        <v/>
      </c>
      <c r="AB538" s="587"/>
      <c r="AC538" s="587" t="str">
        <f t="shared" si="167"/>
        <v/>
      </c>
      <c r="AD538" s="586"/>
      <c r="AE538" s="587" t="str">
        <f t="shared" si="163"/>
        <v/>
      </c>
    </row>
    <row r="539" spans="2:31">
      <c r="B539" s="586" t="s">
        <v>553</v>
      </c>
      <c r="C539" s="587"/>
      <c r="D539" s="588"/>
      <c r="E539" s="587"/>
      <c r="F539" s="587">
        <v>37.72</v>
      </c>
      <c r="G539" s="587">
        <v>26.3</v>
      </c>
      <c r="H539" s="589" t="s">
        <v>957</v>
      </c>
      <c r="I539" s="587">
        <f t="shared" si="155"/>
        <v>37.72</v>
      </c>
      <c r="J539" s="589" t="s">
        <v>957</v>
      </c>
      <c r="K539" s="587">
        <f t="shared" si="161"/>
        <v>26.3</v>
      </c>
      <c r="L539" s="587"/>
      <c r="M539" s="587" t="str">
        <f t="shared" si="160"/>
        <v/>
      </c>
      <c r="N539" s="587"/>
      <c r="O539" s="587" t="str">
        <f t="shared" si="156"/>
        <v/>
      </c>
      <c r="P539" s="587"/>
      <c r="Q539" s="587" t="str">
        <f t="shared" si="162"/>
        <v/>
      </c>
      <c r="R539" s="587"/>
      <c r="S539" s="587" t="str">
        <f t="shared" si="157"/>
        <v/>
      </c>
      <c r="T539" s="587"/>
      <c r="U539" s="587" t="str">
        <f t="shared" si="158"/>
        <v/>
      </c>
      <c r="V539" s="587" t="s">
        <v>957</v>
      </c>
      <c r="W539" s="587">
        <f t="shared" si="159"/>
        <v>37.72</v>
      </c>
      <c r="X539" s="587"/>
      <c r="Y539" s="587" t="str">
        <f t="shared" si="168"/>
        <v/>
      </c>
      <c r="Z539" s="587"/>
      <c r="AA539" s="587" t="str">
        <f t="shared" si="166"/>
        <v/>
      </c>
      <c r="AB539" s="587"/>
      <c r="AC539" s="587" t="str">
        <f t="shared" si="167"/>
        <v/>
      </c>
      <c r="AD539" s="586"/>
      <c r="AE539" s="587" t="str">
        <f t="shared" si="163"/>
        <v/>
      </c>
    </row>
    <row r="540" spans="2:31">
      <c r="B540" s="586" t="s">
        <v>428</v>
      </c>
      <c r="C540" s="587"/>
      <c r="D540" s="588"/>
      <c r="E540" s="587"/>
      <c r="F540" s="587">
        <v>4.6500000000000004</v>
      </c>
      <c r="G540" s="587">
        <v>9.1999999999999993</v>
      </c>
      <c r="H540" s="589" t="s">
        <v>957</v>
      </c>
      <c r="I540" s="587">
        <f t="shared" si="155"/>
        <v>4.6500000000000004</v>
      </c>
      <c r="J540" s="589" t="s">
        <v>957</v>
      </c>
      <c r="K540" s="587">
        <f t="shared" si="161"/>
        <v>9.1999999999999993</v>
      </c>
      <c r="L540" s="587"/>
      <c r="M540" s="587" t="str">
        <f t="shared" si="160"/>
        <v/>
      </c>
      <c r="N540" s="587"/>
      <c r="O540" s="587" t="str">
        <f t="shared" si="156"/>
        <v/>
      </c>
      <c r="P540" s="587"/>
      <c r="Q540" s="587" t="str">
        <f t="shared" si="162"/>
        <v/>
      </c>
      <c r="R540" s="587"/>
      <c r="S540" s="587" t="str">
        <f t="shared" si="157"/>
        <v/>
      </c>
      <c r="T540" s="587"/>
      <c r="U540" s="587" t="str">
        <f t="shared" si="158"/>
        <v/>
      </c>
      <c r="V540" s="587" t="s">
        <v>957</v>
      </c>
      <c r="W540" s="587">
        <f t="shared" si="159"/>
        <v>4.6500000000000004</v>
      </c>
      <c r="X540" s="587"/>
      <c r="Y540" s="587" t="str">
        <f t="shared" si="168"/>
        <v/>
      </c>
      <c r="Z540" s="587"/>
      <c r="AA540" s="587" t="str">
        <f t="shared" si="166"/>
        <v/>
      </c>
      <c r="AB540" s="587"/>
      <c r="AC540" s="587" t="str">
        <f t="shared" si="167"/>
        <v/>
      </c>
      <c r="AD540" s="586"/>
      <c r="AE540" s="587" t="str">
        <f t="shared" si="163"/>
        <v/>
      </c>
    </row>
    <row r="541" spans="2:31">
      <c r="B541" s="586" t="s">
        <v>554</v>
      </c>
      <c r="C541" s="587"/>
      <c r="D541" s="588"/>
      <c r="E541" s="587"/>
      <c r="F541" s="587">
        <v>37.72</v>
      </c>
      <c r="G541" s="587">
        <v>26.3</v>
      </c>
      <c r="H541" s="589" t="s">
        <v>957</v>
      </c>
      <c r="I541" s="587">
        <f t="shared" si="155"/>
        <v>37.72</v>
      </c>
      <c r="J541" s="589" t="s">
        <v>957</v>
      </c>
      <c r="K541" s="587">
        <f t="shared" si="161"/>
        <v>26.3</v>
      </c>
      <c r="L541" s="587"/>
      <c r="M541" s="587" t="str">
        <f t="shared" si="160"/>
        <v/>
      </c>
      <c r="N541" s="587"/>
      <c r="O541" s="587" t="str">
        <f t="shared" si="156"/>
        <v/>
      </c>
      <c r="P541" s="587"/>
      <c r="Q541" s="587" t="str">
        <f t="shared" si="162"/>
        <v/>
      </c>
      <c r="R541" s="587"/>
      <c r="S541" s="587" t="str">
        <f t="shared" si="157"/>
        <v/>
      </c>
      <c r="T541" s="587"/>
      <c r="U541" s="587" t="str">
        <f t="shared" si="158"/>
        <v/>
      </c>
      <c r="V541" s="587" t="s">
        <v>957</v>
      </c>
      <c r="W541" s="587">
        <f t="shared" si="159"/>
        <v>37.72</v>
      </c>
      <c r="X541" s="587"/>
      <c r="Y541" s="587" t="str">
        <f t="shared" si="168"/>
        <v/>
      </c>
      <c r="Z541" s="587"/>
      <c r="AA541" s="587" t="str">
        <f t="shared" si="166"/>
        <v/>
      </c>
      <c r="AB541" s="587"/>
      <c r="AC541" s="587" t="str">
        <f t="shared" si="167"/>
        <v/>
      </c>
      <c r="AD541" s="586"/>
      <c r="AE541" s="587" t="str">
        <f t="shared" si="163"/>
        <v/>
      </c>
    </row>
    <row r="542" spans="2:31">
      <c r="B542" s="586" t="s">
        <v>428</v>
      </c>
      <c r="C542" s="587"/>
      <c r="D542" s="588"/>
      <c r="E542" s="587"/>
      <c r="F542" s="587">
        <v>4.6500000000000004</v>
      </c>
      <c r="G542" s="587">
        <v>9.1999999999999993</v>
      </c>
      <c r="H542" s="589" t="s">
        <v>957</v>
      </c>
      <c r="I542" s="587">
        <f t="shared" si="155"/>
        <v>4.6500000000000004</v>
      </c>
      <c r="J542" s="589" t="s">
        <v>957</v>
      </c>
      <c r="K542" s="587">
        <f t="shared" si="161"/>
        <v>9.1999999999999993</v>
      </c>
      <c r="L542" s="587"/>
      <c r="M542" s="587" t="str">
        <f t="shared" si="160"/>
        <v/>
      </c>
      <c r="N542" s="587"/>
      <c r="O542" s="587" t="str">
        <f t="shared" si="156"/>
        <v/>
      </c>
      <c r="P542" s="587"/>
      <c r="Q542" s="587" t="str">
        <f t="shared" si="162"/>
        <v/>
      </c>
      <c r="R542" s="587"/>
      <c r="S542" s="587" t="str">
        <f t="shared" si="157"/>
        <v/>
      </c>
      <c r="T542" s="587"/>
      <c r="U542" s="587" t="str">
        <f t="shared" si="158"/>
        <v/>
      </c>
      <c r="V542" s="587" t="s">
        <v>957</v>
      </c>
      <c r="W542" s="587">
        <f t="shared" si="159"/>
        <v>4.6500000000000004</v>
      </c>
      <c r="X542" s="587"/>
      <c r="Y542" s="587" t="str">
        <f t="shared" si="168"/>
        <v/>
      </c>
      <c r="Z542" s="587"/>
      <c r="AA542" s="587" t="str">
        <f t="shared" si="166"/>
        <v/>
      </c>
      <c r="AB542" s="587"/>
      <c r="AC542" s="587" t="str">
        <f t="shared" si="167"/>
        <v/>
      </c>
      <c r="AD542" s="586"/>
      <c r="AE542" s="587" t="str">
        <f t="shared" si="163"/>
        <v/>
      </c>
    </row>
    <row r="543" spans="2:31">
      <c r="B543" s="586" t="s">
        <v>555</v>
      </c>
      <c r="C543" s="587"/>
      <c r="D543" s="588"/>
      <c r="E543" s="587"/>
      <c r="F543" s="587">
        <v>37.72</v>
      </c>
      <c r="G543" s="587">
        <v>26.3</v>
      </c>
      <c r="H543" s="589" t="s">
        <v>957</v>
      </c>
      <c r="I543" s="587">
        <f t="shared" si="155"/>
        <v>37.72</v>
      </c>
      <c r="J543" s="589" t="s">
        <v>957</v>
      </c>
      <c r="K543" s="587">
        <f t="shared" si="161"/>
        <v>26.3</v>
      </c>
      <c r="L543" s="587"/>
      <c r="M543" s="587" t="str">
        <f t="shared" si="160"/>
        <v/>
      </c>
      <c r="N543" s="587"/>
      <c r="O543" s="587" t="str">
        <f t="shared" si="156"/>
        <v/>
      </c>
      <c r="P543" s="587"/>
      <c r="Q543" s="587" t="str">
        <f t="shared" si="162"/>
        <v/>
      </c>
      <c r="R543" s="587"/>
      <c r="S543" s="587" t="str">
        <f t="shared" si="157"/>
        <v/>
      </c>
      <c r="T543" s="587"/>
      <c r="U543" s="587" t="str">
        <f t="shared" si="158"/>
        <v/>
      </c>
      <c r="V543" s="587" t="s">
        <v>957</v>
      </c>
      <c r="W543" s="587">
        <f t="shared" si="159"/>
        <v>37.72</v>
      </c>
      <c r="X543" s="587"/>
      <c r="Y543" s="587" t="str">
        <f t="shared" si="168"/>
        <v/>
      </c>
      <c r="Z543" s="587"/>
      <c r="AA543" s="587" t="str">
        <f t="shared" si="166"/>
        <v/>
      </c>
      <c r="AB543" s="587"/>
      <c r="AC543" s="587" t="str">
        <f t="shared" si="167"/>
        <v/>
      </c>
      <c r="AD543" s="586"/>
      <c r="AE543" s="587" t="str">
        <f t="shared" si="163"/>
        <v/>
      </c>
    </row>
    <row r="544" spans="2:31">
      <c r="B544" s="586" t="s">
        <v>428</v>
      </c>
      <c r="C544" s="587"/>
      <c r="D544" s="588"/>
      <c r="E544" s="587"/>
      <c r="F544" s="587">
        <v>4.6500000000000004</v>
      </c>
      <c r="G544" s="587">
        <v>9.1999999999999993</v>
      </c>
      <c r="H544" s="589" t="s">
        <v>957</v>
      </c>
      <c r="I544" s="587">
        <f t="shared" si="155"/>
        <v>4.6500000000000004</v>
      </c>
      <c r="J544" s="589" t="s">
        <v>957</v>
      </c>
      <c r="K544" s="587">
        <f t="shared" si="161"/>
        <v>9.1999999999999993</v>
      </c>
      <c r="L544" s="587"/>
      <c r="M544" s="587" t="str">
        <f t="shared" si="160"/>
        <v/>
      </c>
      <c r="N544" s="587"/>
      <c r="O544" s="587" t="str">
        <f t="shared" si="156"/>
        <v/>
      </c>
      <c r="P544" s="587"/>
      <c r="Q544" s="587" t="str">
        <f t="shared" si="162"/>
        <v/>
      </c>
      <c r="R544" s="587"/>
      <c r="S544" s="587" t="str">
        <f t="shared" si="157"/>
        <v/>
      </c>
      <c r="T544" s="587"/>
      <c r="U544" s="587" t="str">
        <f t="shared" si="158"/>
        <v/>
      </c>
      <c r="V544" s="587" t="s">
        <v>957</v>
      </c>
      <c r="W544" s="587">
        <f t="shared" si="159"/>
        <v>4.6500000000000004</v>
      </c>
      <c r="X544" s="587"/>
      <c r="Y544" s="587" t="str">
        <f t="shared" si="168"/>
        <v/>
      </c>
      <c r="Z544" s="587"/>
      <c r="AA544" s="587" t="str">
        <f t="shared" si="166"/>
        <v/>
      </c>
      <c r="AB544" s="587"/>
      <c r="AC544" s="587" t="str">
        <f t="shared" si="167"/>
        <v/>
      </c>
      <c r="AD544" s="586"/>
      <c r="AE544" s="587" t="str">
        <f t="shared" si="163"/>
        <v/>
      </c>
    </row>
    <row r="545" spans="2:31">
      <c r="B545" s="586" t="s">
        <v>307</v>
      </c>
      <c r="C545" s="587">
        <v>2.25</v>
      </c>
      <c r="D545" s="588" t="s">
        <v>957</v>
      </c>
      <c r="E545" s="587">
        <v>3.65</v>
      </c>
      <c r="F545" s="587">
        <f>C545*E545</f>
        <v>8.2125000000000004</v>
      </c>
      <c r="G545" s="587">
        <f>(C545+E545)*2</f>
        <v>11.8</v>
      </c>
      <c r="H545" s="589"/>
      <c r="I545" s="587" t="str">
        <f t="shared" si="155"/>
        <v/>
      </c>
      <c r="J545" s="589"/>
      <c r="K545" s="587" t="str">
        <f t="shared" si="161"/>
        <v/>
      </c>
      <c r="L545" s="587" t="s">
        <v>952</v>
      </c>
      <c r="M545" s="587">
        <f t="shared" si="160"/>
        <v>8.2125000000000004</v>
      </c>
      <c r="N545" s="587"/>
      <c r="O545" s="587" t="str">
        <f t="shared" si="156"/>
        <v/>
      </c>
      <c r="P545" s="587"/>
      <c r="Q545" s="587" t="str">
        <f t="shared" si="162"/>
        <v/>
      </c>
      <c r="R545" s="587"/>
      <c r="S545" s="587" t="str">
        <f t="shared" si="157"/>
        <v/>
      </c>
      <c r="T545" s="587"/>
      <c r="U545" s="587" t="str">
        <f t="shared" si="158"/>
        <v/>
      </c>
      <c r="V545" s="587" t="s">
        <v>957</v>
      </c>
      <c r="W545" s="587">
        <f t="shared" si="159"/>
        <v>8.2125000000000004</v>
      </c>
      <c r="X545" s="587"/>
      <c r="Y545" s="587" t="str">
        <f t="shared" si="168"/>
        <v/>
      </c>
      <c r="Z545" s="587"/>
      <c r="AA545" s="587" t="str">
        <f t="shared" si="166"/>
        <v/>
      </c>
      <c r="AB545" s="587"/>
      <c r="AC545" s="587" t="str">
        <f t="shared" si="167"/>
        <v/>
      </c>
      <c r="AD545" s="586"/>
      <c r="AE545" s="587" t="str">
        <f t="shared" si="163"/>
        <v/>
      </c>
    </row>
    <row r="546" spans="2:31">
      <c r="B546" s="586" t="s">
        <v>437</v>
      </c>
      <c r="C546" s="587">
        <v>8.17</v>
      </c>
      <c r="D546" s="588"/>
      <c r="E546" s="587">
        <v>6.8</v>
      </c>
      <c r="F546" s="587">
        <f>C546*E546</f>
        <v>55.555999999999997</v>
      </c>
      <c r="G546" s="587">
        <f>(C546+E546)*2</f>
        <v>29.939999999999998</v>
      </c>
      <c r="H546" s="589"/>
      <c r="I546" s="587" t="str">
        <f t="shared" si="155"/>
        <v/>
      </c>
      <c r="J546" s="589"/>
      <c r="K546" s="587" t="str">
        <f t="shared" si="161"/>
        <v/>
      </c>
      <c r="L546" s="587"/>
      <c r="M546" s="587" t="str">
        <f t="shared" si="160"/>
        <v/>
      </c>
      <c r="N546" s="587"/>
      <c r="O546" s="587" t="str">
        <f t="shared" si="156"/>
        <v/>
      </c>
      <c r="P546" s="587"/>
      <c r="Q546" s="587" t="str">
        <f t="shared" si="162"/>
        <v/>
      </c>
      <c r="R546" s="587"/>
      <c r="S546" s="587" t="str">
        <f t="shared" si="157"/>
        <v/>
      </c>
      <c r="T546" s="587" t="s">
        <v>952</v>
      </c>
      <c r="U546" s="587">
        <f t="shared" si="158"/>
        <v>55.555999999999997</v>
      </c>
      <c r="V546" s="587"/>
      <c r="W546" s="587" t="str">
        <f t="shared" si="159"/>
        <v/>
      </c>
      <c r="X546" s="587"/>
      <c r="Y546" s="587" t="str">
        <f t="shared" si="168"/>
        <v/>
      </c>
      <c r="Z546" s="587"/>
      <c r="AA546" s="587" t="str">
        <f t="shared" si="166"/>
        <v/>
      </c>
      <c r="AB546" s="587"/>
      <c r="AC546" s="587" t="str">
        <f t="shared" si="167"/>
        <v/>
      </c>
      <c r="AD546" s="586"/>
      <c r="AE546" s="587" t="str">
        <f t="shared" si="163"/>
        <v/>
      </c>
    </row>
    <row r="547" spans="2:31">
      <c r="B547" s="586" t="s">
        <v>418</v>
      </c>
      <c r="C547" s="587"/>
      <c r="D547" s="588"/>
      <c r="E547" s="587"/>
      <c r="F547" s="587">
        <v>404.82</v>
      </c>
      <c r="G547" s="587">
        <v>254.55</v>
      </c>
      <c r="H547" s="589" t="s">
        <v>957</v>
      </c>
      <c r="I547" s="587">
        <f t="shared" si="155"/>
        <v>404.82</v>
      </c>
      <c r="J547" s="589" t="s">
        <v>957</v>
      </c>
      <c r="K547" s="587">
        <f t="shared" si="161"/>
        <v>254.55</v>
      </c>
      <c r="L547" s="587"/>
      <c r="M547" s="587" t="str">
        <f t="shared" si="160"/>
        <v/>
      </c>
      <c r="N547" s="587"/>
      <c r="O547" s="587" t="str">
        <f t="shared" si="156"/>
        <v/>
      </c>
      <c r="P547" s="587"/>
      <c r="Q547" s="587" t="str">
        <f t="shared" si="162"/>
        <v/>
      </c>
      <c r="R547" s="587"/>
      <c r="S547" s="587" t="str">
        <f t="shared" si="157"/>
        <v/>
      </c>
      <c r="T547" s="587"/>
      <c r="U547" s="587" t="str">
        <f t="shared" si="158"/>
        <v/>
      </c>
      <c r="V547" s="587"/>
      <c r="W547" s="587" t="str">
        <f t="shared" si="159"/>
        <v/>
      </c>
      <c r="X547" s="587" t="s">
        <v>957</v>
      </c>
      <c r="Y547" s="587">
        <f t="shared" si="168"/>
        <v>404.82</v>
      </c>
      <c r="Z547" s="587"/>
      <c r="AA547" s="587" t="str">
        <f t="shared" si="166"/>
        <v/>
      </c>
      <c r="AB547" s="587"/>
      <c r="AC547" s="587" t="str">
        <f t="shared" si="167"/>
        <v/>
      </c>
      <c r="AD547" s="586"/>
      <c r="AE547" s="587" t="str">
        <f t="shared" si="163"/>
        <v/>
      </c>
    </row>
    <row r="548" spans="2:31">
      <c r="B548" s="590" t="s">
        <v>457</v>
      </c>
      <c r="C548" s="596">
        <v>3.5</v>
      </c>
      <c r="D548" s="597" t="s">
        <v>957</v>
      </c>
      <c r="E548" s="596">
        <v>6.62</v>
      </c>
      <c r="F548" s="596">
        <f>C548*E548</f>
        <v>23.17</v>
      </c>
      <c r="G548" s="596">
        <f>(C548+E548)*2</f>
        <v>20.240000000000002</v>
      </c>
      <c r="H548" s="589"/>
      <c r="I548" s="587" t="str">
        <f t="shared" si="155"/>
        <v/>
      </c>
      <c r="J548" s="589"/>
      <c r="K548" s="587" t="str">
        <f t="shared" si="161"/>
        <v/>
      </c>
      <c r="L548" s="587" t="s">
        <v>952</v>
      </c>
      <c r="M548" s="587">
        <f t="shared" si="160"/>
        <v>23.17</v>
      </c>
      <c r="N548" s="587"/>
      <c r="O548" s="587" t="str">
        <f t="shared" si="156"/>
        <v/>
      </c>
      <c r="P548" s="587"/>
      <c r="Q548" s="587" t="str">
        <f t="shared" si="162"/>
        <v/>
      </c>
      <c r="R548" s="587"/>
      <c r="S548" s="587" t="str">
        <f t="shared" si="157"/>
        <v/>
      </c>
      <c r="T548" s="587"/>
      <c r="U548" s="587" t="str">
        <f t="shared" si="158"/>
        <v/>
      </c>
      <c r="V548" s="587"/>
      <c r="W548" s="587" t="str">
        <f t="shared" si="159"/>
        <v/>
      </c>
      <c r="X548" s="587"/>
      <c r="Y548" s="587" t="str">
        <f t="shared" si="168"/>
        <v/>
      </c>
      <c r="Z548" s="587"/>
      <c r="AA548" s="587" t="str">
        <f t="shared" si="166"/>
        <v/>
      </c>
      <c r="AB548" s="587" t="s">
        <v>952</v>
      </c>
      <c r="AC548" s="587">
        <f t="shared" si="167"/>
        <v>23.17</v>
      </c>
      <c r="AD548" s="586"/>
      <c r="AE548" s="587" t="str">
        <f t="shared" si="163"/>
        <v/>
      </c>
    </row>
    <row r="549" spans="2:31">
      <c r="B549" s="590" t="s">
        <v>458</v>
      </c>
      <c r="C549" s="596">
        <v>3.5</v>
      </c>
      <c r="D549" s="597" t="s">
        <v>957</v>
      </c>
      <c r="E549" s="596">
        <v>6.62</v>
      </c>
      <c r="F549" s="596">
        <f>C549*E549</f>
        <v>23.17</v>
      </c>
      <c r="G549" s="596">
        <f>(C549+E549)*2</f>
        <v>20.240000000000002</v>
      </c>
      <c r="H549" s="589"/>
      <c r="I549" s="587" t="str">
        <f t="shared" si="155"/>
        <v/>
      </c>
      <c r="J549" s="589"/>
      <c r="K549" s="587" t="str">
        <f t="shared" si="161"/>
        <v/>
      </c>
      <c r="L549" s="587" t="s">
        <v>952</v>
      </c>
      <c r="M549" s="587">
        <f t="shared" si="160"/>
        <v>23.17</v>
      </c>
      <c r="N549" s="587"/>
      <c r="O549" s="587" t="str">
        <f t="shared" si="156"/>
        <v/>
      </c>
      <c r="P549" s="587"/>
      <c r="Q549" s="587" t="str">
        <f t="shared" si="162"/>
        <v/>
      </c>
      <c r="R549" s="587"/>
      <c r="S549" s="587" t="str">
        <f t="shared" si="157"/>
        <v/>
      </c>
      <c r="T549" s="587"/>
      <c r="U549" s="587" t="str">
        <f t="shared" si="158"/>
        <v/>
      </c>
      <c r="V549" s="587"/>
      <c r="W549" s="587" t="str">
        <f t="shared" si="159"/>
        <v/>
      </c>
      <c r="X549" s="587"/>
      <c r="Y549" s="587" t="str">
        <f t="shared" si="168"/>
        <v/>
      </c>
      <c r="Z549" s="587"/>
      <c r="AA549" s="587" t="str">
        <f t="shared" si="166"/>
        <v/>
      </c>
      <c r="AB549" s="587" t="s">
        <v>952</v>
      </c>
      <c r="AC549" s="587">
        <f t="shared" si="167"/>
        <v>23.17</v>
      </c>
      <c r="AD549" s="586"/>
      <c r="AE549" s="587" t="str">
        <f t="shared" si="163"/>
        <v/>
      </c>
    </row>
    <row r="550" spans="2:31">
      <c r="B550" s="590" t="s">
        <v>459</v>
      </c>
      <c r="C550" s="596">
        <v>2.9</v>
      </c>
      <c r="D550" s="597" t="s">
        <v>957</v>
      </c>
      <c r="E550" s="596">
        <v>6.65</v>
      </c>
      <c r="F550" s="596">
        <f>C550*E550</f>
        <v>19.285</v>
      </c>
      <c r="G550" s="596">
        <f>(C550+E550)*2</f>
        <v>19.100000000000001</v>
      </c>
      <c r="H550" s="589"/>
      <c r="I550" s="587" t="str">
        <f t="shared" si="155"/>
        <v/>
      </c>
      <c r="J550" s="589"/>
      <c r="K550" s="587" t="str">
        <f t="shared" si="161"/>
        <v/>
      </c>
      <c r="L550" s="587" t="s">
        <v>952</v>
      </c>
      <c r="M550" s="587">
        <f t="shared" si="160"/>
        <v>19.285</v>
      </c>
      <c r="N550" s="587"/>
      <c r="O550" s="587" t="str">
        <f t="shared" ref="O550:O613" si="169">IF(N550="x",F550,"")</f>
        <v/>
      </c>
      <c r="P550" s="587"/>
      <c r="Q550" s="587" t="str">
        <f t="shared" si="162"/>
        <v/>
      </c>
      <c r="R550" s="587"/>
      <c r="S550" s="587" t="str">
        <f t="shared" ref="S550:S613" si="170">IF(R550="x",F550,"")</f>
        <v/>
      </c>
      <c r="T550" s="587"/>
      <c r="U550" s="587" t="str">
        <f t="shared" si="158"/>
        <v/>
      </c>
      <c r="V550" s="587"/>
      <c r="W550" s="587" t="str">
        <f t="shared" si="159"/>
        <v/>
      </c>
      <c r="X550" s="587"/>
      <c r="Y550" s="587" t="str">
        <f t="shared" si="168"/>
        <v/>
      </c>
      <c r="Z550" s="587"/>
      <c r="AA550" s="587" t="str">
        <f t="shared" si="166"/>
        <v/>
      </c>
      <c r="AB550" s="587" t="s">
        <v>952</v>
      </c>
      <c r="AC550" s="587">
        <f t="shared" si="167"/>
        <v>19.285</v>
      </c>
      <c r="AD550" s="586"/>
      <c r="AE550" s="587" t="str">
        <f t="shared" si="163"/>
        <v/>
      </c>
    </row>
    <row r="551" spans="2:31">
      <c r="B551" s="582" t="s">
        <v>970</v>
      </c>
      <c r="C551" s="583"/>
      <c r="D551" s="583"/>
      <c r="E551" s="583"/>
      <c r="F551" s="583"/>
      <c r="G551" s="583"/>
      <c r="H551" s="584"/>
      <c r="I551" s="583"/>
      <c r="J551" s="584"/>
      <c r="K551" s="587" t="str">
        <f t="shared" si="161"/>
        <v/>
      </c>
      <c r="L551" s="583"/>
      <c r="M551" s="583"/>
      <c r="N551" s="583"/>
      <c r="O551" s="583"/>
      <c r="P551" s="583"/>
      <c r="Q551" s="587" t="str">
        <f t="shared" si="162"/>
        <v/>
      </c>
      <c r="R551" s="583"/>
      <c r="S551" s="583"/>
      <c r="T551" s="583"/>
      <c r="U551" s="583"/>
      <c r="V551" s="583"/>
      <c r="W551" s="583"/>
      <c r="X551" s="583"/>
      <c r="Y551" s="587" t="str">
        <f t="shared" si="168"/>
        <v/>
      </c>
      <c r="Z551" s="583"/>
      <c r="AA551" s="587" t="str">
        <f t="shared" si="166"/>
        <v/>
      </c>
      <c r="AB551" s="583"/>
      <c r="AC551" s="587" t="str">
        <f t="shared" si="167"/>
        <v/>
      </c>
      <c r="AD551" s="586"/>
      <c r="AE551" s="587" t="str">
        <f t="shared" si="163"/>
        <v/>
      </c>
    </row>
    <row r="552" spans="2:31">
      <c r="B552" s="586" t="s">
        <v>295</v>
      </c>
      <c r="C552" s="587"/>
      <c r="D552" s="588"/>
      <c r="E552" s="587"/>
      <c r="F552" s="587">
        <f>2.5*(13.75*4+2.15*2)+5.15*2*3</f>
        <v>179.15</v>
      </c>
      <c r="G552" s="587"/>
      <c r="H552" s="589"/>
      <c r="I552" s="587" t="str">
        <f t="shared" ref="I552:I615" si="171">IF(H552="x",F552,"")</f>
        <v/>
      </c>
      <c r="J552" s="589"/>
      <c r="K552" s="587" t="str">
        <f t="shared" si="161"/>
        <v/>
      </c>
      <c r="L552" s="587" t="s">
        <v>952</v>
      </c>
      <c r="M552" s="587">
        <f t="shared" si="160"/>
        <v>179.15</v>
      </c>
      <c r="N552" s="587"/>
      <c r="O552" s="587" t="str">
        <f t="shared" si="169"/>
        <v/>
      </c>
      <c r="P552" s="587"/>
      <c r="Q552" s="587" t="str">
        <f t="shared" si="162"/>
        <v/>
      </c>
      <c r="R552" s="587"/>
      <c r="S552" s="587" t="str">
        <f t="shared" si="170"/>
        <v/>
      </c>
      <c r="T552" s="587"/>
      <c r="U552" s="587" t="str">
        <f t="shared" ref="U552:U615" si="172">IF(T552="x",F552,"")</f>
        <v/>
      </c>
      <c r="V552" s="587"/>
      <c r="W552" s="587" t="str">
        <f t="shared" ref="W552:W615" si="173">IF(V552="x",F552,"")</f>
        <v/>
      </c>
      <c r="X552" s="587"/>
      <c r="Y552" s="587" t="str">
        <f t="shared" si="168"/>
        <v/>
      </c>
      <c r="Z552" s="587"/>
      <c r="AA552" s="587" t="str">
        <f t="shared" si="166"/>
        <v/>
      </c>
      <c r="AB552" s="587" t="s">
        <v>952</v>
      </c>
      <c r="AC552" s="587">
        <f t="shared" si="167"/>
        <v>179.15</v>
      </c>
      <c r="AD552" s="586"/>
      <c r="AE552" s="587" t="str">
        <f t="shared" si="163"/>
        <v/>
      </c>
    </row>
    <row r="553" spans="2:31">
      <c r="B553" s="586" t="s">
        <v>296</v>
      </c>
      <c r="C553" s="587"/>
      <c r="D553" s="588"/>
      <c r="E553" s="587"/>
      <c r="F553" s="587">
        <v>139.33000000000001</v>
      </c>
      <c r="G553" s="587">
        <v>64.38</v>
      </c>
      <c r="H553" s="589" t="s">
        <v>957</v>
      </c>
      <c r="I553" s="587">
        <f t="shared" si="171"/>
        <v>139.33000000000001</v>
      </c>
      <c r="J553" s="589" t="s">
        <v>957</v>
      </c>
      <c r="K553" s="587">
        <f t="shared" si="161"/>
        <v>64.38</v>
      </c>
      <c r="L553" s="587"/>
      <c r="M553" s="587" t="str">
        <f t="shared" si="160"/>
        <v/>
      </c>
      <c r="N553" s="587"/>
      <c r="O553" s="587" t="str">
        <f t="shared" si="169"/>
        <v/>
      </c>
      <c r="P553" s="587"/>
      <c r="Q553" s="587" t="str">
        <f t="shared" si="162"/>
        <v/>
      </c>
      <c r="R553" s="587"/>
      <c r="S553" s="587" t="str">
        <f t="shared" si="170"/>
        <v/>
      </c>
      <c r="T553" s="587"/>
      <c r="U553" s="587" t="str">
        <f t="shared" si="172"/>
        <v/>
      </c>
      <c r="V553" s="587"/>
      <c r="W553" s="587" t="str">
        <f t="shared" si="173"/>
        <v/>
      </c>
      <c r="X553" s="587" t="s">
        <v>957</v>
      </c>
      <c r="Y553" s="587">
        <f t="shared" si="168"/>
        <v>139.33000000000001</v>
      </c>
      <c r="Z553" s="587"/>
      <c r="AA553" s="587" t="str">
        <f t="shared" si="166"/>
        <v/>
      </c>
      <c r="AB553" s="587"/>
      <c r="AC553" s="587" t="str">
        <f t="shared" si="167"/>
        <v/>
      </c>
      <c r="AD553" s="586"/>
      <c r="AE553" s="587" t="str">
        <f t="shared" si="163"/>
        <v/>
      </c>
    </row>
    <row r="554" spans="2:31">
      <c r="B554" s="586" t="s">
        <v>533</v>
      </c>
      <c r="C554" s="587">
        <v>4.2119999999999997</v>
      </c>
      <c r="D554" s="588" t="s">
        <v>957</v>
      </c>
      <c r="E554" s="587">
        <v>9.82</v>
      </c>
      <c r="F554" s="587">
        <f>C554*E554</f>
        <v>41.361840000000001</v>
      </c>
      <c r="G554" s="587">
        <f>(C554+E554)*2</f>
        <v>28.064</v>
      </c>
      <c r="H554" s="589" t="s">
        <v>957</v>
      </c>
      <c r="I554" s="587">
        <f t="shared" si="171"/>
        <v>41.361840000000001</v>
      </c>
      <c r="J554" s="589" t="s">
        <v>957</v>
      </c>
      <c r="K554" s="587">
        <f t="shared" si="161"/>
        <v>28.064</v>
      </c>
      <c r="L554" s="587"/>
      <c r="M554" s="587" t="str">
        <f t="shared" si="160"/>
        <v/>
      </c>
      <c r="N554" s="587"/>
      <c r="O554" s="587" t="str">
        <f t="shared" si="169"/>
        <v/>
      </c>
      <c r="P554" s="587"/>
      <c r="Q554" s="587" t="str">
        <f t="shared" si="162"/>
        <v/>
      </c>
      <c r="R554" s="587"/>
      <c r="S554" s="587" t="str">
        <f t="shared" si="170"/>
        <v/>
      </c>
      <c r="T554" s="587"/>
      <c r="U554" s="587" t="str">
        <f t="shared" si="172"/>
        <v/>
      </c>
      <c r="V554" s="587" t="s">
        <v>957</v>
      </c>
      <c r="W554" s="587">
        <f t="shared" si="173"/>
        <v>41.361840000000001</v>
      </c>
      <c r="X554" s="587"/>
      <c r="Y554" s="587" t="str">
        <f t="shared" si="168"/>
        <v/>
      </c>
      <c r="Z554" s="587"/>
      <c r="AA554" s="587" t="str">
        <f t="shared" si="166"/>
        <v/>
      </c>
      <c r="AB554" s="587"/>
      <c r="AC554" s="587" t="str">
        <f t="shared" si="167"/>
        <v/>
      </c>
      <c r="AD554" s="586"/>
      <c r="AE554" s="587" t="str">
        <f t="shared" si="163"/>
        <v/>
      </c>
    </row>
    <row r="555" spans="2:31">
      <c r="B555" s="586" t="s">
        <v>297</v>
      </c>
      <c r="C555" s="587">
        <v>3</v>
      </c>
      <c r="D555" s="588" t="s">
        <v>957</v>
      </c>
      <c r="E555" s="587">
        <v>4.1500000000000004</v>
      </c>
      <c r="F555" s="587">
        <f>C555*E555</f>
        <v>12.450000000000001</v>
      </c>
      <c r="G555" s="587">
        <f>(C555+E555)*2</f>
        <v>14.3</v>
      </c>
      <c r="H555" s="589" t="s">
        <v>957</v>
      </c>
      <c r="I555" s="587">
        <f t="shared" si="171"/>
        <v>12.450000000000001</v>
      </c>
      <c r="J555" s="589" t="s">
        <v>957</v>
      </c>
      <c r="K555" s="587">
        <f t="shared" si="161"/>
        <v>14.3</v>
      </c>
      <c r="L555" s="587"/>
      <c r="M555" s="587" t="str">
        <f t="shared" si="160"/>
        <v/>
      </c>
      <c r="N555" s="587"/>
      <c r="O555" s="587" t="str">
        <f t="shared" si="169"/>
        <v/>
      </c>
      <c r="P555" s="587"/>
      <c r="Q555" s="587" t="str">
        <f t="shared" si="162"/>
        <v/>
      </c>
      <c r="R555" s="587"/>
      <c r="S555" s="587" t="str">
        <f t="shared" si="170"/>
        <v/>
      </c>
      <c r="T555" s="587"/>
      <c r="U555" s="587" t="str">
        <f t="shared" si="172"/>
        <v/>
      </c>
      <c r="V555" s="587"/>
      <c r="W555" s="587" t="str">
        <f t="shared" si="173"/>
        <v/>
      </c>
      <c r="X555" s="587" t="s">
        <v>957</v>
      </c>
      <c r="Y555" s="587">
        <f t="shared" si="168"/>
        <v>12.450000000000001</v>
      </c>
      <c r="Z555" s="587"/>
      <c r="AA555" s="587" t="str">
        <f t="shared" si="166"/>
        <v/>
      </c>
      <c r="AB555" s="587"/>
      <c r="AC555" s="587" t="str">
        <f t="shared" si="167"/>
        <v/>
      </c>
      <c r="AD555" s="586"/>
      <c r="AE555" s="587" t="str">
        <f t="shared" si="163"/>
        <v/>
      </c>
    </row>
    <row r="556" spans="2:31">
      <c r="B556" s="586" t="s">
        <v>408</v>
      </c>
      <c r="C556" s="587"/>
      <c r="D556" s="588"/>
      <c r="E556" s="587"/>
      <c r="F556" s="587">
        <v>53.02</v>
      </c>
      <c r="G556" s="587">
        <v>36.619999999999997</v>
      </c>
      <c r="H556" s="589" t="s">
        <v>957</v>
      </c>
      <c r="I556" s="587">
        <f t="shared" si="171"/>
        <v>53.02</v>
      </c>
      <c r="J556" s="589" t="s">
        <v>957</v>
      </c>
      <c r="K556" s="587">
        <f t="shared" si="161"/>
        <v>36.619999999999997</v>
      </c>
      <c r="L556" s="587"/>
      <c r="M556" s="587" t="str">
        <f t="shared" si="160"/>
        <v/>
      </c>
      <c r="N556" s="587"/>
      <c r="O556" s="587" t="str">
        <f t="shared" si="169"/>
        <v/>
      </c>
      <c r="P556" s="587"/>
      <c r="Q556" s="587" t="str">
        <f t="shared" si="162"/>
        <v/>
      </c>
      <c r="R556" s="587"/>
      <c r="S556" s="587" t="str">
        <f t="shared" si="170"/>
        <v/>
      </c>
      <c r="T556" s="587"/>
      <c r="U556" s="587" t="str">
        <f t="shared" si="172"/>
        <v/>
      </c>
      <c r="V556" s="587"/>
      <c r="W556" s="587" t="str">
        <f t="shared" si="173"/>
        <v/>
      </c>
      <c r="X556" s="587"/>
      <c r="Y556" s="587" t="str">
        <f t="shared" si="168"/>
        <v/>
      </c>
      <c r="Z556" s="587" t="s">
        <v>952</v>
      </c>
      <c r="AA556" s="587">
        <f t="shared" si="166"/>
        <v>53.02</v>
      </c>
      <c r="AB556" s="587"/>
      <c r="AC556" s="587" t="str">
        <f t="shared" si="167"/>
        <v/>
      </c>
      <c r="AD556" s="586"/>
      <c r="AE556" s="587" t="str">
        <f t="shared" si="163"/>
        <v/>
      </c>
    </row>
    <row r="557" spans="2:31">
      <c r="B557" s="586" t="s">
        <v>357</v>
      </c>
      <c r="C557" s="587">
        <v>1.95</v>
      </c>
      <c r="D557" s="588" t="s">
        <v>957</v>
      </c>
      <c r="E557" s="587">
        <v>1.6</v>
      </c>
      <c r="F557" s="587">
        <f>C557*E557</f>
        <v>3.12</v>
      </c>
      <c r="G557" s="587">
        <f>(C557+E557)*2</f>
        <v>7.1</v>
      </c>
      <c r="H557" s="589" t="s">
        <v>957</v>
      </c>
      <c r="I557" s="587">
        <f t="shared" si="171"/>
        <v>3.12</v>
      </c>
      <c r="J557" s="589" t="s">
        <v>957</v>
      </c>
      <c r="K557" s="587">
        <f t="shared" si="161"/>
        <v>7.1</v>
      </c>
      <c r="L557" s="587"/>
      <c r="M557" s="587" t="str">
        <f t="shared" si="160"/>
        <v/>
      </c>
      <c r="N557" s="587"/>
      <c r="O557" s="587" t="str">
        <f t="shared" si="169"/>
        <v/>
      </c>
      <c r="P557" s="587"/>
      <c r="Q557" s="587" t="str">
        <f t="shared" si="162"/>
        <v/>
      </c>
      <c r="R557" s="587"/>
      <c r="S557" s="587" t="str">
        <f t="shared" si="170"/>
        <v/>
      </c>
      <c r="T557" s="587"/>
      <c r="U557" s="587" t="str">
        <f t="shared" si="172"/>
        <v/>
      </c>
      <c r="V557" s="587" t="s">
        <v>957</v>
      </c>
      <c r="W557" s="587">
        <f t="shared" si="173"/>
        <v>3.12</v>
      </c>
      <c r="X557" s="587"/>
      <c r="Y557" s="587" t="str">
        <f t="shared" si="168"/>
        <v/>
      </c>
      <c r="Z557" s="587"/>
      <c r="AA557" s="587" t="str">
        <f t="shared" si="166"/>
        <v/>
      </c>
      <c r="AB557" s="587"/>
      <c r="AC557" s="587" t="str">
        <f t="shared" si="167"/>
        <v/>
      </c>
      <c r="AD557" s="586"/>
      <c r="AE557" s="587" t="str">
        <f t="shared" si="163"/>
        <v/>
      </c>
    </row>
    <row r="558" spans="2:31">
      <c r="B558" s="586" t="s">
        <v>356</v>
      </c>
      <c r="C558" s="587">
        <v>1.95</v>
      </c>
      <c r="D558" s="588" t="s">
        <v>957</v>
      </c>
      <c r="E558" s="587">
        <v>1.6</v>
      </c>
      <c r="F558" s="587">
        <f>C558*E558</f>
        <v>3.12</v>
      </c>
      <c r="G558" s="587">
        <f>(C558+E558)*2</f>
        <v>7.1</v>
      </c>
      <c r="H558" s="589" t="s">
        <v>957</v>
      </c>
      <c r="I558" s="587">
        <f t="shared" si="171"/>
        <v>3.12</v>
      </c>
      <c r="J558" s="589" t="s">
        <v>957</v>
      </c>
      <c r="K558" s="587">
        <f t="shared" si="161"/>
        <v>7.1</v>
      </c>
      <c r="L558" s="587"/>
      <c r="M558" s="587" t="str">
        <f t="shared" si="160"/>
        <v/>
      </c>
      <c r="N558" s="587"/>
      <c r="O558" s="587" t="str">
        <f t="shared" si="169"/>
        <v/>
      </c>
      <c r="P558" s="587"/>
      <c r="Q558" s="587" t="str">
        <f t="shared" si="162"/>
        <v/>
      </c>
      <c r="R558" s="587"/>
      <c r="S558" s="587" t="str">
        <f t="shared" si="170"/>
        <v/>
      </c>
      <c r="T558" s="587"/>
      <c r="U558" s="587" t="str">
        <f t="shared" si="172"/>
        <v/>
      </c>
      <c r="V558" s="587" t="s">
        <v>957</v>
      </c>
      <c r="W558" s="587">
        <f t="shared" si="173"/>
        <v>3.12</v>
      </c>
      <c r="X558" s="587"/>
      <c r="Y558" s="587" t="str">
        <f t="shared" si="168"/>
        <v/>
      </c>
      <c r="Z558" s="587"/>
      <c r="AA558" s="587" t="str">
        <f t="shared" si="166"/>
        <v/>
      </c>
      <c r="AB558" s="587"/>
      <c r="AC558" s="587" t="str">
        <f t="shared" si="167"/>
        <v/>
      </c>
      <c r="AD558" s="586"/>
      <c r="AE558" s="587" t="str">
        <f t="shared" si="163"/>
        <v/>
      </c>
    </row>
    <row r="559" spans="2:31">
      <c r="B559" s="586" t="s">
        <v>307</v>
      </c>
      <c r="C559" s="587">
        <v>2.25</v>
      </c>
      <c r="D559" s="588" t="s">
        <v>957</v>
      </c>
      <c r="E559" s="587">
        <v>3.65</v>
      </c>
      <c r="F559" s="587">
        <f>C559*E559</f>
        <v>8.2125000000000004</v>
      </c>
      <c r="G559" s="587">
        <f>(C559+E559)*2</f>
        <v>11.8</v>
      </c>
      <c r="H559" s="589"/>
      <c r="I559" s="587" t="str">
        <f t="shared" si="171"/>
        <v/>
      </c>
      <c r="J559" s="589"/>
      <c r="K559" s="587" t="str">
        <f t="shared" si="161"/>
        <v/>
      </c>
      <c r="L559" s="587" t="s">
        <v>952</v>
      </c>
      <c r="M559" s="587">
        <f t="shared" si="160"/>
        <v>8.2125000000000004</v>
      </c>
      <c r="N559" s="587"/>
      <c r="O559" s="587" t="str">
        <f t="shared" si="169"/>
        <v/>
      </c>
      <c r="P559" s="587"/>
      <c r="Q559" s="587" t="str">
        <f t="shared" si="162"/>
        <v/>
      </c>
      <c r="R559" s="587"/>
      <c r="S559" s="587" t="str">
        <f t="shared" si="170"/>
        <v/>
      </c>
      <c r="T559" s="587"/>
      <c r="U559" s="587" t="str">
        <f t="shared" si="172"/>
        <v/>
      </c>
      <c r="V559" s="587" t="s">
        <v>957</v>
      </c>
      <c r="W559" s="587">
        <f t="shared" si="173"/>
        <v>8.2125000000000004</v>
      </c>
      <c r="X559" s="587"/>
      <c r="Y559" s="587" t="str">
        <f t="shared" si="168"/>
        <v/>
      </c>
      <c r="Z559" s="587"/>
      <c r="AA559" s="587" t="str">
        <f t="shared" si="166"/>
        <v/>
      </c>
      <c r="AB559" s="587"/>
      <c r="AC559" s="587" t="str">
        <f t="shared" si="167"/>
        <v/>
      </c>
      <c r="AD559" s="586"/>
      <c r="AE559" s="587" t="str">
        <f t="shared" si="163"/>
        <v/>
      </c>
    </row>
    <row r="560" spans="2:31">
      <c r="B560" s="586" t="s">
        <v>534</v>
      </c>
      <c r="C560" s="587"/>
      <c r="D560" s="588"/>
      <c r="E560" s="587"/>
      <c r="F560" s="587">
        <v>37.72</v>
      </c>
      <c r="G560" s="587">
        <v>26.3</v>
      </c>
      <c r="H560" s="589" t="s">
        <v>957</v>
      </c>
      <c r="I560" s="587">
        <f t="shared" si="171"/>
        <v>37.72</v>
      </c>
      <c r="J560" s="589" t="s">
        <v>957</v>
      </c>
      <c r="K560" s="587">
        <f t="shared" si="161"/>
        <v>26.3</v>
      </c>
      <c r="L560" s="587"/>
      <c r="M560" s="587" t="str">
        <f t="shared" si="160"/>
        <v/>
      </c>
      <c r="N560" s="587"/>
      <c r="O560" s="587" t="str">
        <f t="shared" si="169"/>
        <v/>
      </c>
      <c r="P560" s="587"/>
      <c r="Q560" s="587" t="str">
        <f t="shared" si="162"/>
        <v/>
      </c>
      <c r="R560" s="587"/>
      <c r="S560" s="587" t="str">
        <f t="shared" si="170"/>
        <v/>
      </c>
      <c r="T560" s="587"/>
      <c r="U560" s="587" t="str">
        <f t="shared" si="172"/>
        <v/>
      </c>
      <c r="V560" s="587" t="s">
        <v>957</v>
      </c>
      <c r="W560" s="587">
        <f t="shared" si="173"/>
        <v>37.72</v>
      </c>
      <c r="X560" s="587"/>
      <c r="Y560" s="587" t="str">
        <f t="shared" si="168"/>
        <v/>
      </c>
      <c r="Z560" s="587"/>
      <c r="AA560" s="587" t="str">
        <f t="shared" si="166"/>
        <v/>
      </c>
      <c r="AB560" s="587"/>
      <c r="AC560" s="587" t="str">
        <f t="shared" si="167"/>
        <v/>
      </c>
      <c r="AD560" s="586"/>
      <c r="AE560" s="587" t="str">
        <f t="shared" si="163"/>
        <v/>
      </c>
    </row>
    <row r="561" spans="2:31">
      <c r="B561" s="586" t="s">
        <v>428</v>
      </c>
      <c r="C561" s="587"/>
      <c r="D561" s="588"/>
      <c r="E561" s="587"/>
      <c r="F561" s="587">
        <v>4.6500000000000004</v>
      </c>
      <c r="G561" s="587">
        <v>9.1999999999999993</v>
      </c>
      <c r="H561" s="589" t="s">
        <v>957</v>
      </c>
      <c r="I561" s="587">
        <f t="shared" si="171"/>
        <v>4.6500000000000004</v>
      </c>
      <c r="J561" s="589" t="s">
        <v>957</v>
      </c>
      <c r="K561" s="587">
        <f t="shared" si="161"/>
        <v>9.1999999999999993</v>
      </c>
      <c r="L561" s="587"/>
      <c r="M561" s="587" t="str">
        <f t="shared" si="160"/>
        <v/>
      </c>
      <c r="N561" s="587"/>
      <c r="O561" s="587" t="str">
        <f t="shared" si="169"/>
        <v/>
      </c>
      <c r="P561" s="587"/>
      <c r="Q561" s="587" t="str">
        <f t="shared" si="162"/>
        <v/>
      </c>
      <c r="R561" s="587"/>
      <c r="S561" s="587" t="str">
        <f t="shared" si="170"/>
        <v/>
      </c>
      <c r="T561" s="587"/>
      <c r="U561" s="587" t="str">
        <f t="shared" si="172"/>
        <v/>
      </c>
      <c r="V561" s="587" t="s">
        <v>957</v>
      </c>
      <c r="W561" s="587">
        <f t="shared" si="173"/>
        <v>4.6500000000000004</v>
      </c>
      <c r="X561" s="587"/>
      <c r="Y561" s="587" t="str">
        <f t="shared" si="168"/>
        <v/>
      </c>
      <c r="Z561" s="587"/>
      <c r="AA561" s="587" t="str">
        <f t="shared" si="166"/>
        <v/>
      </c>
      <c r="AB561" s="587"/>
      <c r="AC561" s="587" t="str">
        <f t="shared" si="167"/>
        <v/>
      </c>
      <c r="AD561" s="586"/>
      <c r="AE561" s="587" t="str">
        <f t="shared" si="163"/>
        <v/>
      </c>
    </row>
    <row r="562" spans="2:31">
      <c r="B562" s="586" t="s">
        <v>535</v>
      </c>
      <c r="C562" s="587"/>
      <c r="D562" s="588"/>
      <c r="E562" s="587"/>
      <c r="F562" s="587">
        <v>37.72</v>
      </c>
      <c r="G562" s="587">
        <v>26.3</v>
      </c>
      <c r="H562" s="589" t="s">
        <v>957</v>
      </c>
      <c r="I562" s="587">
        <f t="shared" si="171"/>
        <v>37.72</v>
      </c>
      <c r="J562" s="589" t="s">
        <v>957</v>
      </c>
      <c r="K562" s="587">
        <f t="shared" si="161"/>
        <v>26.3</v>
      </c>
      <c r="L562" s="587"/>
      <c r="M562" s="587" t="str">
        <f t="shared" si="160"/>
        <v/>
      </c>
      <c r="N562" s="587"/>
      <c r="O562" s="587" t="str">
        <f t="shared" si="169"/>
        <v/>
      </c>
      <c r="P562" s="587"/>
      <c r="Q562" s="587" t="str">
        <f t="shared" si="162"/>
        <v/>
      </c>
      <c r="R562" s="587"/>
      <c r="S562" s="587" t="str">
        <f t="shared" si="170"/>
        <v/>
      </c>
      <c r="T562" s="587"/>
      <c r="U562" s="587" t="str">
        <f t="shared" si="172"/>
        <v/>
      </c>
      <c r="V562" s="587" t="s">
        <v>957</v>
      </c>
      <c r="W562" s="587">
        <f t="shared" si="173"/>
        <v>37.72</v>
      </c>
      <c r="X562" s="587"/>
      <c r="Y562" s="587" t="str">
        <f t="shared" si="168"/>
        <v/>
      </c>
      <c r="Z562" s="587"/>
      <c r="AA562" s="587" t="str">
        <f t="shared" si="166"/>
        <v/>
      </c>
      <c r="AB562" s="587"/>
      <c r="AC562" s="587" t="str">
        <f t="shared" si="167"/>
        <v/>
      </c>
      <c r="AD562" s="586"/>
      <c r="AE562" s="587" t="str">
        <f t="shared" si="163"/>
        <v/>
      </c>
    </row>
    <row r="563" spans="2:31">
      <c r="B563" s="586" t="s">
        <v>428</v>
      </c>
      <c r="C563" s="587"/>
      <c r="D563" s="588"/>
      <c r="E563" s="587"/>
      <c r="F563" s="587">
        <v>4.6500000000000004</v>
      </c>
      <c r="G563" s="587">
        <v>9.1999999999999993</v>
      </c>
      <c r="H563" s="589" t="s">
        <v>957</v>
      </c>
      <c r="I563" s="587">
        <f t="shared" si="171"/>
        <v>4.6500000000000004</v>
      </c>
      <c r="J563" s="589" t="s">
        <v>957</v>
      </c>
      <c r="K563" s="587">
        <f t="shared" si="161"/>
        <v>9.1999999999999993</v>
      </c>
      <c r="L563" s="587"/>
      <c r="M563" s="587" t="str">
        <f t="shared" si="160"/>
        <v/>
      </c>
      <c r="N563" s="587"/>
      <c r="O563" s="587" t="str">
        <f t="shared" si="169"/>
        <v/>
      </c>
      <c r="P563" s="587"/>
      <c r="Q563" s="587" t="str">
        <f t="shared" si="162"/>
        <v/>
      </c>
      <c r="R563" s="587"/>
      <c r="S563" s="587" t="str">
        <f t="shared" si="170"/>
        <v/>
      </c>
      <c r="T563" s="587"/>
      <c r="U563" s="587" t="str">
        <f t="shared" si="172"/>
        <v/>
      </c>
      <c r="V563" s="587" t="s">
        <v>957</v>
      </c>
      <c r="W563" s="587">
        <f t="shared" si="173"/>
        <v>4.6500000000000004</v>
      </c>
      <c r="X563" s="587"/>
      <c r="Y563" s="587" t="str">
        <f t="shared" si="168"/>
        <v/>
      </c>
      <c r="Z563" s="587"/>
      <c r="AA563" s="587" t="str">
        <f t="shared" si="166"/>
        <v/>
      </c>
      <c r="AB563" s="587"/>
      <c r="AC563" s="587" t="str">
        <f t="shared" si="167"/>
        <v/>
      </c>
      <c r="AD563" s="586"/>
      <c r="AE563" s="587" t="str">
        <f t="shared" si="163"/>
        <v/>
      </c>
    </row>
    <row r="564" spans="2:31">
      <c r="B564" s="586" t="s">
        <v>536</v>
      </c>
      <c r="C564" s="587"/>
      <c r="D564" s="588"/>
      <c r="E564" s="587"/>
      <c r="F564" s="587">
        <v>37.72</v>
      </c>
      <c r="G564" s="587">
        <v>26.3</v>
      </c>
      <c r="H564" s="589" t="s">
        <v>957</v>
      </c>
      <c r="I564" s="587">
        <f t="shared" si="171"/>
        <v>37.72</v>
      </c>
      <c r="J564" s="589" t="s">
        <v>957</v>
      </c>
      <c r="K564" s="587">
        <f t="shared" si="161"/>
        <v>26.3</v>
      </c>
      <c r="L564" s="587"/>
      <c r="M564" s="587" t="str">
        <f t="shared" si="160"/>
        <v/>
      </c>
      <c r="N564" s="587"/>
      <c r="O564" s="587" t="str">
        <f t="shared" si="169"/>
        <v/>
      </c>
      <c r="P564" s="587"/>
      <c r="Q564" s="587" t="str">
        <f t="shared" si="162"/>
        <v/>
      </c>
      <c r="R564" s="587"/>
      <c r="S564" s="587" t="str">
        <f t="shared" si="170"/>
        <v/>
      </c>
      <c r="T564" s="587"/>
      <c r="U564" s="587" t="str">
        <f t="shared" si="172"/>
        <v/>
      </c>
      <c r="V564" s="587" t="s">
        <v>957</v>
      </c>
      <c r="W564" s="587">
        <f t="shared" si="173"/>
        <v>37.72</v>
      </c>
      <c r="X564" s="587"/>
      <c r="Y564" s="587" t="str">
        <f t="shared" si="168"/>
        <v/>
      </c>
      <c r="Z564" s="587"/>
      <c r="AA564" s="587" t="str">
        <f t="shared" si="166"/>
        <v/>
      </c>
      <c r="AB564" s="587"/>
      <c r="AC564" s="587" t="str">
        <f t="shared" si="167"/>
        <v/>
      </c>
      <c r="AD564" s="586"/>
      <c r="AE564" s="587" t="str">
        <f t="shared" si="163"/>
        <v/>
      </c>
    </row>
    <row r="565" spans="2:31">
      <c r="B565" s="586" t="s">
        <v>428</v>
      </c>
      <c r="C565" s="587"/>
      <c r="D565" s="588"/>
      <c r="E565" s="587"/>
      <c r="F565" s="587">
        <v>4.6500000000000004</v>
      </c>
      <c r="G565" s="587">
        <v>9.1999999999999993</v>
      </c>
      <c r="H565" s="589" t="s">
        <v>957</v>
      </c>
      <c r="I565" s="587">
        <f t="shared" si="171"/>
        <v>4.6500000000000004</v>
      </c>
      <c r="J565" s="589" t="s">
        <v>957</v>
      </c>
      <c r="K565" s="587">
        <f t="shared" si="161"/>
        <v>9.1999999999999993</v>
      </c>
      <c r="L565" s="587"/>
      <c r="M565" s="587" t="str">
        <f t="shared" si="160"/>
        <v/>
      </c>
      <c r="N565" s="587"/>
      <c r="O565" s="587" t="str">
        <f t="shared" si="169"/>
        <v/>
      </c>
      <c r="P565" s="587"/>
      <c r="Q565" s="587" t="str">
        <f t="shared" si="162"/>
        <v/>
      </c>
      <c r="R565" s="587"/>
      <c r="S565" s="587" t="str">
        <f t="shared" si="170"/>
        <v/>
      </c>
      <c r="T565" s="587"/>
      <c r="U565" s="587" t="str">
        <f t="shared" si="172"/>
        <v/>
      </c>
      <c r="V565" s="587" t="s">
        <v>957</v>
      </c>
      <c r="W565" s="587">
        <f t="shared" si="173"/>
        <v>4.6500000000000004</v>
      </c>
      <c r="X565" s="587"/>
      <c r="Y565" s="587" t="str">
        <f t="shared" si="168"/>
        <v/>
      </c>
      <c r="Z565" s="587"/>
      <c r="AA565" s="587" t="str">
        <f t="shared" si="166"/>
        <v/>
      </c>
      <c r="AB565" s="587"/>
      <c r="AC565" s="587" t="str">
        <f t="shared" si="167"/>
        <v/>
      </c>
      <c r="AD565" s="586"/>
      <c r="AE565" s="587" t="str">
        <f t="shared" si="163"/>
        <v/>
      </c>
    </row>
    <row r="566" spans="2:31">
      <c r="B566" s="586" t="s">
        <v>537</v>
      </c>
      <c r="C566" s="587"/>
      <c r="D566" s="588"/>
      <c r="E566" s="587"/>
      <c r="F566" s="587">
        <v>37.72</v>
      </c>
      <c r="G566" s="587">
        <v>26.3</v>
      </c>
      <c r="H566" s="589" t="s">
        <v>957</v>
      </c>
      <c r="I566" s="587">
        <f t="shared" si="171"/>
        <v>37.72</v>
      </c>
      <c r="J566" s="589" t="s">
        <v>957</v>
      </c>
      <c r="K566" s="587">
        <f t="shared" si="161"/>
        <v>26.3</v>
      </c>
      <c r="L566" s="587"/>
      <c r="M566" s="587" t="str">
        <f t="shared" si="160"/>
        <v/>
      </c>
      <c r="N566" s="587"/>
      <c r="O566" s="587" t="str">
        <f t="shared" si="169"/>
        <v/>
      </c>
      <c r="P566" s="587"/>
      <c r="Q566" s="587" t="str">
        <f t="shared" si="162"/>
        <v/>
      </c>
      <c r="R566" s="587"/>
      <c r="S566" s="587" t="str">
        <f t="shared" si="170"/>
        <v/>
      </c>
      <c r="T566" s="587"/>
      <c r="U566" s="587" t="str">
        <f t="shared" si="172"/>
        <v/>
      </c>
      <c r="V566" s="587" t="s">
        <v>957</v>
      </c>
      <c r="W566" s="587">
        <f t="shared" si="173"/>
        <v>37.72</v>
      </c>
      <c r="X566" s="587"/>
      <c r="Y566" s="587" t="str">
        <f t="shared" si="168"/>
        <v/>
      </c>
      <c r="Z566" s="587"/>
      <c r="AA566" s="587" t="str">
        <f t="shared" si="166"/>
        <v/>
      </c>
      <c r="AB566" s="587"/>
      <c r="AC566" s="587" t="str">
        <f t="shared" si="167"/>
        <v/>
      </c>
      <c r="AD566" s="586"/>
      <c r="AE566" s="587" t="str">
        <f t="shared" si="163"/>
        <v/>
      </c>
    </row>
    <row r="567" spans="2:31">
      <c r="B567" s="586" t="s">
        <v>428</v>
      </c>
      <c r="C567" s="587"/>
      <c r="D567" s="588"/>
      <c r="E567" s="587"/>
      <c r="F567" s="587">
        <v>4.6500000000000004</v>
      </c>
      <c r="G567" s="587">
        <v>9.1999999999999993</v>
      </c>
      <c r="H567" s="589" t="s">
        <v>957</v>
      </c>
      <c r="I567" s="587">
        <f t="shared" si="171"/>
        <v>4.6500000000000004</v>
      </c>
      <c r="J567" s="589" t="s">
        <v>957</v>
      </c>
      <c r="K567" s="587">
        <f t="shared" si="161"/>
        <v>9.1999999999999993</v>
      </c>
      <c r="L567" s="587"/>
      <c r="M567" s="587" t="str">
        <f t="shared" ref="M567:M630" si="174">IF(L567="x",$F567,"")</f>
        <v/>
      </c>
      <c r="N567" s="587"/>
      <c r="O567" s="587" t="str">
        <f t="shared" si="169"/>
        <v/>
      </c>
      <c r="P567" s="587"/>
      <c r="Q567" s="587" t="str">
        <f t="shared" si="162"/>
        <v/>
      </c>
      <c r="R567" s="587"/>
      <c r="S567" s="587" t="str">
        <f t="shared" si="170"/>
        <v/>
      </c>
      <c r="T567" s="587"/>
      <c r="U567" s="587" t="str">
        <f t="shared" si="172"/>
        <v/>
      </c>
      <c r="V567" s="587" t="s">
        <v>957</v>
      </c>
      <c r="W567" s="587">
        <f t="shared" si="173"/>
        <v>4.6500000000000004</v>
      </c>
      <c r="X567" s="587"/>
      <c r="Y567" s="587" t="str">
        <f t="shared" si="168"/>
        <v/>
      </c>
      <c r="Z567" s="587"/>
      <c r="AA567" s="587" t="str">
        <f t="shared" si="166"/>
        <v/>
      </c>
      <c r="AB567" s="587"/>
      <c r="AC567" s="587" t="str">
        <f t="shared" si="167"/>
        <v/>
      </c>
      <c r="AD567" s="586"/>
      <c r="AE567" s="587" t="str">
        <f t="shared" si="163"/>
        <v/>
      </c>
    </row>
    <row r="568" spans="2:31">
      <c r="B568" s="586" t="s">
        <v>538</v>
      </c>
      <c r="C568" s="587"/>
      <c r="D568" s="588"/>
      <c r="E568" s="587"/>
      <c r="F568" s="587">
        <v>36.79</v>
      </c>
      <c r="G568" s="587">
        <v>25.43</v>
      </c>
      <c r="H568" s="589" t="s">
        <v>957</v>
      </c>
      <c r="I568" s="587">
        <f t="shared" si="171"/>
        <v>36.79</v>
      </c>
      <c r="J568" s="589" t="s">
        <v>957</v>
      </c>
      <c r="K568" s="587">
        <f t="shared" si="161"/>
        <v>25.43</v>
      </c>
      <c r="L568" s="587"/>
      <c r="M568" s="587" t="str">
        <f t="shared" si="174"/>
        <v/>
      </c>
      <c r="N568" s="587"/>
      <c r="O568" s="587" t="str">
        <f t="shared" si="169"/>
        <v/>
      </c>
      <c r="P568" s="587"/>
      <c r="Q568" s="587" t="str">
        <f t="shared" si="162"/>
        <v/>
      </c>
      <c r="R568" s="587"/>
      <c r="S568" s="587" t="str">
        <f t="shared" si="170"/>
        <v/>
      </c>
      <c r="T568" s="587"/>
      <c r="U568" s="587" t="str">
        <f t="shared" si="172"/>
        <v/>
      </c>
      <c r="V568" s="587" t="s">
        <v>957</v>
      </c>
      <c r="W568" s="587">
        <f t="shared" si="173"/>
        <v>36.79</v>
      </c>
      <c r="X568" s="587"/>
      <c r="Y568" s="587" t="str">
        <f t="shared" si="168"/>
        <v/>
      </c>
      <c r="Z568" s="587"/>
      <c r="AA568" s="587" t="str">
        <f t="shared" si="166"/>
        <v/>
      </c>
      <c r="AB568" s="587"/>
      <c r="AC568" s="587" t="str">
        <f t="shared" si="167"/>
        <v/>
      </c>
      <c r="AD568" s="586"/>
      <c r="AE568" s="587" t="str">
        <f t="shared" si="163"/>
        <v/>
      </c>
    </row>
    <row r="569" spans="2:31">
      <c r="B569" s="586" t="s">
        <v>428</v>
      </c>
      <c r="C569" s="587"/>
      <c r="D569" s="588"/>
      <c r="E569" s="587"/>
      <c r="F569" s="587">
        <v>4.6500000000000004</v>
      </c>
      <c r="G569" s="587">
        <v>9.1999999999999993</v>
      </c>
      <c r="H569" s="589" t="s">
        <v>957</v>
      </c>
      <c r="I569" s="587">
        <f t="shared" si="171"/>
        <v>4.6500000000000004</v>
      </c>
      <c r="J569" s="589" t="s">
        <v>957</v>
      </c>
      <c r="K569" s="587">
        <f t="shared" si="161"/>
        <v>9.1999999999999993</v>
      </c>
      <c r="L569" s="587"/>
      <c r="M569" s="587" t="str">
        <f t="shared" si="174"/>
        <v/>
      </c>
      <c r="N569" s="587"/>
      <c r="O569" s="587" t="str">
        <f t="shared" si="169"/>
        <v/>
      </c>
      <c r="P569" s="587"/>
      <c r="Q569" s="587" t="str">
        <f t="shared" si="162"/>
        <v/>
      </c>
      <c r="R569" s="587"/>
      <c r="S569" s="587" t="str">
        <f t="shared" si="170"/>
        <v/>
      </c>
      <c r="T569" s="587"/>
      <c r="U569" s="587" t="str">
        <f t="shared" si="172"/>
        <v/>
      </c>
      <c r="V569" s="587" t="s">
        <v>957</v>
      </c>
      <c r="W569" s="587">
        <f t="shared" si="173"/>
        <v>4.6500000000000004</v>
      </c>
      <c r="X569" s="587"/>
      <c r="Y569" s="587" t="str">
        <f t="shared" si="168"/>
        <v/>
      </c>
      <c r="Z569" s="587"/>
      <c r="AA569" s="587" t="str">
        <f t="shared" si="166"/>
        <v/>
      </c>
      <c r="AB569" s="587"/>
      <c r="AC569" s="587" t="str">
        <f t="shared" si="167"/>
        <v/>
      </c>
      <c r="AD569" s="586"/>
      <c r="AE569" s="587" t="str">
        <f t="shared" si="163"/>
        <v/>
      </c>
    </row>
    <row r="570" spans="2:31">
      <c r="B570" s="586" t="s">
        <v>421</v>
      </c>
      <c r="C570" s="587">
        <v>5.15</v>
      </c>
      <c r="D570" s="588" t="s">
        <v>957</v>
      </c>
      <c r="E570" s="587">
        <v>2.23</v>
      </c>
      <c r="F570" s="587">
        <f>C570*E570</f>
        <v>11.484500000000001</v>
      </c>
      <c r="G570" s="587">
        <f>(C570+E570)*2</f>
        <v>14.760000000000002</v>
      </c>
      <c r="H570" s="589" t="s">
        <v>957</v>
      </c>
      <c r="I570" s="587">
        <f t="shared" si="171"/>
        <v>11.484500000000001</v>
      </c>
      <c r="J570" s="589" t="s">
        <v>957</v>
      </c>
      <c r="K570" s="587">
        <f t="shared" si="161"/>
        <v>14.760000000000002</v>
      </c>
      <c r="L570" s="587"/>
      <c r="M570" s="587" t="str">
        <f t="shared" si="174"/>
        <v/>
      </c>
      <c r="N570" s="587"/>
      <c r="O570" s="587" t="str">
        <f t="shared" si="169"/>
        <v/>
      </c>
      <c r="P570" s="587"/>
      <c r="Q570" s="587" t="str">
        <f t="shared" si="162"/>
        <v/>
      </c>
      <c r="R570" s="587"/>
      <c r="S570" s="587" t="str">
        <f t="shared" si="170"/>
        <v/>
      </c>
      <c r="T570" s="587"/>
      <c r="U570" s="587" t="str">
        <f t="shared" si="172"/>
        <v/>
      </c>
      <c r="V570" s="587" t="s">
        <v>957</v>
      </c>
      <c r="W570" s="587">
        <f t="shared" si="173"/>
        <v>11.484500000000001</v>
      </c>
      <c r="X570" s="587"/>
      <c r="Y570" s="587" t="str">
        <f t="shared" si="168"/>
        <v/>
      </c>
      <c r="Z570" s="587"/>
      <c r="AA570" s="587" t="str">
        <f t="shared" si="166"/>
        <v/>
      </c>
      <c r="AB570" s="587"/>
      <c r="AC570" s="587" t="str">
        <f t="shared" si="167"/>
        <v/>
      </c>
      <c r="AD570" s="586"/>
      <c r="AE570" s="587" t="str">
        <f t="shared" si="163"/>
        <v/>
      </c>
    </row>
    <row r="571" spans="2:31">
      <c r="B571" s="586" t="s">
        <v>473</v>
      </c>
      <c r="C571" s="587">
        <v>5.15</v>
      </c>
      <c r="D571" s="588" t="s">
        <v>957</v>
      </c>
      <c r="E571" s="587">
        <v>2.609</v>
      </c>
      <c r="F571" s="587">
        <f>C571*E571</f>
        <v>13.436350000000001</v>
      </c>
      <c r="G571" s="587">
        <f>(C571+E571)*2</f>
        <v>15.518000000000001</v>
      </c>
      <c r="H571" s="589" t="s">
        <v>957</v>
      </c>
      <c r="I571" s="587">
        <f t="shared" si="171"/>
        <v>13.436350000000001</v>
      </c>
      <c r="J571" s="589" t="s">
        <v>957</v>
      </c>
      <c r="K571" s="587">
        <f t="shared" si="161"/>
        <v>15.518000000000001</v>
      </c>
      <c r="L571" s="587"/>
      <c r="M571" s="587" t="str">
        <f t="shared" si="174"/>
        <v/>
      </c>
      <c r="N571" s="587"/>
      <c r="O571" s="587" t="str">
        <f t="shared" si="169"/>
        <v/>
      </c>
      <c r="P571" s="587"/>
      <c r="Q571" s="587" t="str">
        <f t="shared" si="162"/>
        <v/>
      </c>
      <c r="R571" s="587"/>
      <c r="S571" s="587" t="str">
        <f t="shared" si="170"/>
        <v/>
      </c>
      <c r="T571" s="587"/>
      <c r="U571" s="587" t="str">
        <f t="shared" si="172"/>
        <v/>
      </c>
      <c r="V571" s="587" t="s">
        <v>957</v>
      </c>
      <c r="W571" s="587">
        <f t="shared" si="173"/>
        <v>13.436350000000001</v>
      </c>
      <c r="X571" s="587"/>
      <c r="Y571" s="587" t="str">
        <f t="shared" si="168"/>
        <v/>
      </c>
      <c r="Z571" s="587"/>
      <c r="AA571" s="587" t="str">
        <f t="shared" si="166"/>
        <v/>
      </c>
      <c r="AB571" s="587"/>
      <c r="AC571" s="587" t="str">
        <f t="shared" si="167"/>
        <v/>
      </c>
      <c r="AD571" s="586"/>
      <c r="AE571" s="587" t="str">
        <f t="shared" si="163"/>
        <v/>
      </c>
    </row>
    <row r="572" spans="2:31">
      <c r="B572" s="586" t="s">
        <v>430</v>
      </c>
      <c r="C572" s="587">
        <v>5.15</v>
      </c>
      <c r="D572" s="588" t="s">
        <v>957</v>
      </c>
      <c r="E572" s="587">
        <v>3.5</v>
      </c>
      <c r="F572" s="587">
        <f>C572*E572</f>
        <v>18.025000000000002</v>
      </c>
      <c r="G572" s="587">
        <f>(C572+E572)*2</f>
        <v>17.3</v>
      </c>
      <c r="H572" s="589" t="s">
        <v>957</v>
      </c>
      <c r="I572" s="587">
        <f t="shared" si="171"/>
        <v>18.025000000000002</v>
      </c>
      <c r="J572" s="589" t="s">
        <v>957</v>
      </c>
      <c r="K572" s="587">
        <f t="shared" si="161"/>
        <v>17.3</v>
      </c>
      <c r="L572" s="587"/>
      <c r="M572" s="587" t="str">
        <f t="shared" si="174"/>
        <v/>
      </c>
      <c r="N572" s="587"/>
      <c r="O572" s="587" t="str">
        <f t="shared" si="169"/>
        <v/>
      </c>
      <c r="P572" s="587"/>
      <c r="Q572" s="587" t="str">
        <f t="shared" si="162"/>
        <v/>
      </c>
      <c r="R572" s="587"/>
      <c r="S572" s="587" t="str">
        <f t="shared" si="170"/>
        <v/>
      </c>
      <c r="T572" s="587"/>
      <c r="U572" s="587" t="str">
        <f t="shared" si="172"/>
        <v/>
      </c>
      <c r="V572" s="587" t="s">
        <v>957</v>
      </c>
      <c r="W572" s="587">
        <f t="shared" si="173"/>
        <v>18.025000000000002</v>
      </c>
      <c r="X572" s="587"/>
      <c r="Y572" s="587" t="str">
        <f t="shared" si="168"/>
        <v/>
      </c>
      <c r="Z572" s="587"/>
      <c r="AA572" s="587" t="str">
        <f t="shared" si="166"/>
        <v/>
      </c>
      <c r="AB572" s="587"/>
      <c r="AC572" s="587" t="str">
        <f t="shared" si="167"/>
        <v/>
      </c>
      <c r="AD572" s="586"/>
      <c r="AE572" s="587" t="str">
        <f t="shared" si="163"/>
        <v/>
      </c>
    </row>
    <row r="573" spans="2:31">
      <c r="B573" s="586" t="s">
        <v>428</v>
      </c>
      <c r="C573" s="587"/>
      <c r="D573" s="588"/>
      <c r="E573" s="587"/>
      <c r="F573" s="587">
        <v>3.84</v>
      </c>
      <c r="G573" s="587">
        <v>8.26</v>
      </c>
      <c r="H573" s="589" t="s">
        <v>957</v>
      </c>
      <c r="I573" s="587">
        <f t="shared" si="171"/>
        <v>3.84</v>
      </c>
      <c r="J573" s="589" t="s">
        <v>957</v>
      </c>
      <c r="K573" s="587">
        <f t="shared" si="161"/>
        <v>8.26</v>
      </c>
      <c r="L573" s="587"/>
      <c r="M573" s="587" t="str">
        <f t="shared" si="174"/>
        <v/>
      </c>
      <c r="N573" s="587"/>
      <c r="O573" s="587" t="str">
        <f t="shared" si="169"/>
        <v/>
      </c>
      <c r="P573" s="587"/>
      <c r="Q573" s="587" t="str">
        <f t="shared" si="162"/>
        <v/>
      </c>
      <c r="R573" s="587"/>
      <c r="S573" s="587" t="str">
        <f t="shared" si="170"/>
        <v/>
      </c>
      <c r="T573" s="587"/>
      <c r="U573" s="587" t="str">
        <f t="shared" si="172"/>
        <v/>
      </c>
      <c r="V573" s="587" t="s">
        <v>957</v>
      </c>
      <c r="W573" s="587">
        <f t="shared" si="173"/>
        <v>3.84</v>
      </c>
      <c r="X573" s="587"/>
      <c r="Y573" s="587" t="str">
        <f t="shared" si="168"/>
        <v/>
      </c>
      <c r="Z573" s="587"/>
      <c r="AA573" s="587" t="str">
        <f t="shared" si="166"/>
        <v/>
      </c>
      <c r="AB573" s="587"/>
      <c r="AC573" s="587" t="str">
        <f t="shared" si="167"/>
        <v/>
      </c>
      <c r="AD573" s="586"/>
      <c r="AE573" s="587" t="str">
        <f t="shared" si="163"/>
        <v/>
      </c>
    </row>
    <row r="574" spans="2:31">
      <c r="B574" s="586" t="s">
        <v>430</v>
      </c>
      <c r="C574" s="587">
        <v>5.15</v>
      </c>
      <c r="D574" s="588" t="s">
        <v>957</v>
      </c>
      <c r="E574" s="587">
        <v>3.5</v>
      </c>
      <c r="F574" s="587">
        <f>C574*E574</f>
        <v>18.025000000000002</v>
      </c>
      <c r="G574" s="587">
        <f>(C574+E574)*2</f>
        <v>17.3</v>
      </c>
      <c r="H574" s="589" t="s">
        <v>957</v>
      </c>
      <c r="I574" s="587">
        <f t="shared" si="171"/>
        <v>18.025000000000002</v>
      </c>
      <c r="J574" s="589" t="s">
        <v>957</v>
      </c>
      <c r="K574" s="587">
        <f t="shared" si="161"/>
        <v>17.3</v>
      </c>
      <c r="L574" s="587"/>
      <c r="M574" s="587" t="str">
        <f t="shared" si="174"/>
        <v/>
      </c>
      <c r="N574" s="587"/>
      <c r="O574" s="587" t="str">
        <f t="shared" si="169"/>
        <v/>
      </c>
      <c r="P574" s="587"/>
      <c r="Q574" s="587" t="str">
        <f t="shared" si="162"/>
        <v/>
      </c>
      <c r="R574" s="587"/>
      <c r="S574" s="587" t="str">
        <f t="shared" si="170"/>
        <v/>
      </c>
      <c r="T574" s="587"/>
      <c r="U574" s="587" t="str">
        <f t="shared" si="172"/>
        <v/>
      </c>
      <c r="V574" s="587" t="s">
        <v>957</v>
      </c>
      <c r="W574" s="587">
        <f t="shared" si="173"/>
        <v>18.025000000000002</v>
      </c>
      <c r="X574" s="587"/>
      <c r="Y574" s="587" t="str">
        <f t="shared" si="168"/>
        <v/>
      </c>
      <c r="Z574" s="587"/>
      <c r="AA574" s="587" t="str">
        <f t="shared" si="166"/>
        <v/>
      </c>
      <c r="AB574" s="587"/>
      <c r="AC574" s="587" t="str">
        <f t="shared" si="167"/>
        <v/>
      </c>
      <c r="AD574" s="586"/>
      <c r="AE574" s="587" t="str">
        <f t="shared" si="163"/>
        <v/>
      </c>
    </row>
    <row r="575" spans="2:31">
      <c r="B575" s="586" t="s">
        <v>428</v>
      </c>
      <c r="C575" s="587"/>
      <c r="D575" s="588"/>
      <c r="E575" s="587"/>
      <c r="F575" s="587">
        <v>3.84</v>
      </c>
      <c r="G575" s="587">
        <v>8.26</v>
      </c>
      <c r="H575" s="589" t="s">
        <v>957</v>
      </c>
      <c r="I575" s="587">
        <f t="shared" si="171"/>
        <v>3.84</v>
      </c>
      <c r="J575" s="589" t="s">
        <v>957</v>
      </c>
      <c r="K575" s="587">
        <f t="shared" si="161"/>
        <v>8.26</v>
      </c>
      <c r="L575" s="587"/>
      <c r="M575" s="587" t="str">
        <f t="shared" si="174"/>
        <v/>
      </c>
      <c r="N575" s="587"/>
      <c r="O575" s="587" t="str">
        <f t="shared" si="169"/>
        <v/>
      </c>
      <c r="P575" s="587"/>
      <c r="Q575" s="587" t="str">
        <f t="shared" si="162"/>
        <v/>
      </c>
      <c r="R575" s="587"/>
      <c r="S575" s="587" t="str">
        <f t="shared" si="170"/>
        <v/>
      </c>
      <c r="T575" s="587"/>
      <c r="U575" s="587" t="str">
        <f t="shared" si="172"/>
        <v/>
      </c>
      <c r="V575" s="587" t="s">
        <v>957</v>
      </c>
      <c r="W575" s="587">
        <f t="shared" si="173"/>
        <v>3.84</v>
      </c>
      <c r="X575" s="587"/>
      <c r="Y575" s="587" t="str">
        <f t="shared" si="168"/>
        <v/>
      </c>
      <c r="Z575" s="587"/>
      <c r="AA575" s="587" t="str">
        <f t="shared" si="166"/>
        <v/>
      </c>
      <c r="AB575" s="587"/>
      <c r="AC575" s="587" t="str">
        <f t="shared" si="167"/>
        <v/>
      </c>
      <c r="AD575" s="586"/>
      <c r="AE575" s="587" t="str">
        <f t="shared" si="163"/>
        <v/>
      </c>
    </row>
    <row r="576" spans="2:31">
      <c r="B576" s="586" t="s">
        <v>473</v>
      </c>
      <c r="C576" s="587">
        <v>5.15</v>
      </c>
      <c r="D576" s="588" t="s">
        <v>957</v>
      </c>
      <c r="E576" s="587">
        <v>2.609</v>
      </c>
      <c r="F576" s="587">
        <f>C576*E576</f>
        <v>13.436350000000001</v>
      </c>
      <c r="G576" s="587">
        <f>(C576+E576)*2</f>
        <v>15.518000000000001</v>
      </c>
      <c r="H576" s="589" t="s">
        <v>957</v>
      </c>
      <c r="I576" s="587">
        <f t="shared" si="171"/>
        <v>13.436350000000001</v>
      </c>
      <c r="J576" s="589" t="s">
        <v>957</v>
      </c>
      <c r="K576" s="587">
        <f t="shared" si="161"/>
        <v>15.518000000000001</v>
      </c>
      <c r="L576" s="587"/>
      <c r="M576" s="587" t="str">
        <f t="shared" si="174"/>
        <v/>
      </c>
      <c r="N576" s="587"/>
      <c r="O576" s="587" t="str">
        <f t="shared" si="169"/>
        <v/>
      </c>
      <c r="P576" s="587"/>
      <c r="Q576" s="587" t="str">
        <f t="shared" si="162"/>
        <v/>
      </c>
      <c r="R576" s="587"/>
      <c r="S576" s="587" t="str">
        <f t="shared" si="170"/>
        <v/>
      </c>
      <c r="T576" s="587"/>
      <c r="U576" s="587" t="str">
        <f t="shared" si="172"/>
        <v/>
      </c>
      <c r="V576" s="587" t="s">
        <v>957</v>
      </c>
      <c r="W576" s="587">
        <f t="shared" si="173"/>
        <v>13.436350000000001</v>
      </c>
      <c r="X576" s="587"/>
      <c r="Y576" s="587" t="str">
        <f t="shared" si="168"/>
        <v/>
      </c>
      <c r="Z576" s="587"/>
      <c r="AA576" s="587" t="str">
        <f t="shared" si="166"/>
        <v/>
      </c>
      <c r="AB576" s="587"/>
      <c r="AC576" s="587" t="str">
        <f t="shared" si="167"/>
        <v/>
      </c>
      <c r="AD576" s="586"/>
      <c r="AE576" s="587" t="str">
        <f t="shared" si="163"/>
        <v/>
      </c>
    </row>
    <row r="577" spans="2:31">
      <c r="B577" s="586" t="s">
        <v>421</v>
      </c>
      <c r="C577" s="587">
        <v>5.15</v>
      </c>
      <c r="D577" s="588" t="s">
        <v>957</v>
      </c>
      <c r="E577" s="587">
        <v>2.23</v>
      </c>
      <c r="F577" s="587">
        <f>C577*E577</f>
        <v>11.484500000000001</v>
      </c>
      <c r="G577" s="587">
        <f>(C577+E577)*2</f>
        <v>14.760000000000002</v>
      </c>
      <c r="H577" s="589" t="s">
        <v>957</v>
      </c>
      <c r="I577" s="587">
        <f t="shared" si="171"/>
        <v>11.484500000000001</v>
      </c>
      <c r="J577" s="589" t="s">
        <v>957</v>
      </c>
      <c r="K577" s="587">
        <f t="shared" si="161"/>
        <v>14.760000000000002</v>
      </c>
      <c r="L577" s="587"/>
      <c r="M577" s="587" t="str">
        <f t="shared" si="174"/>
        <v/>
      </c>
      <c r="N577" s="587"/>
      <c r="O577" s="587" t="str">
        <f t="shared" si="169"/>
        <v/>
      </c>
      <c r="P577" s="587"/>
      <c r="Q577" s="587" t="str">
        <f t="shared" si="162"/>
        <v/>
      </c>
      <c r="R577" s="587"/>
      <c r="S577" s="587" t="str">
        <f t="shared" si="170"/>
        <v/>
      </c>
      <c r="T577" s="587"/>
      <c r="U577" s="587" t="str">
        <f t="shared" si="172"/>
        <v/>
      </c>
      <c r="V577" s="587" t="s">
        <v>957</v>
      </c>
      <c r="W577" s="587">
        <f t="shared" si="173"/>
        <v>11.484500000000001</v>
      </c>
      <c r="X577" s="587"/>
      <c r="Y577" s="587" t="str">
        <f t="shared" si="168"/>
        <v/>
      </c>
      <c r="Z577" s="587"/>
      <c r="AA577" s="587" t="str">
        <f t="shared" si="166"/>
        <v/>
      </c>
      <c r="AB577" s="587"/>
      <c r="AC577" s="587" t="str">
        <f t="shared" si="167"/>
        <v/>
      </c>
      <c r="AD577" s="586"/>
      <c r="AE577" s="587" t="str">
        <f t="shared" si="163"/>
        <v/>
      </c>
    </row>
    <row r="578" spans="2:31">
      <c r="B578" s="586" t="s">
        <v>539</v>
      </c>
      <c r="C578" s="587"/>
      <c r="D578" s="588"/>
      <c r="E578" s="587"/>
      <c r="F578" s="587">
        <v>40.78</v>
      </c>
      <c r="G578" s="587">
        <v>27.22</v>
      </c>
      <c r="H578" s="589" t="s">
        <v>957</v>
      </c>
      <c r="I578" s="587">
        <f t="shared" si="171"/>
        <v>40.78</v>
      </c>
      <c r="J578" s="589" t="s">
        <v>957</v>
      </c>
      <c r="K578" s="587">
        <f t="shared" si="161"/>
        <v>27.22</v>
      </c>
      <c r="L578" s="587"/>
      <c r="M578" s="587" t="str">
        <f t="shared" si="174"/>
        <v/>
      </c>
      <c r="N578" s="587"/>
      <c r="O578" s="587" t="str">
        <f t="shared" si="169"/>
        <v/>
      </c>
      <c r="P578" s="587"/>
      <c r="Q578" s="587" t="str">
        <f t="shared" si="162"/>
        <v/>
      </c>
      <c r="R578" s="587"/>
      <c r="S578" s="587" t="str">
        <f t="shared" si="170"/>
        <v/>
      </c>
      <c r="T578" s="587"/>
      <c r="U578" s="587" t="str">
        <f t="shared" si="172"/>
        <v/>
      </c>
      <c r="V578" s="587" t="s">
        <v>957</v>
      </c>
      <c r="W578" s="587">
        <f t="shared" si="173"/>
        <v>40.78</v>
      </c>
      <c r="X578" s="587"/>
      <c r="Y578" s="587" t="str">
        <f t="shared" si="168"/>
        <v/>
      </c>
      <c r="Z578" s="587"/>
      <c r="AA578" s="587" t="str">
        <f t="shared" si="166"/>
        <v/>
      </c>
      <c r="AB578" s="587"/>
      <c r="AC578" s="587" t="str">
        <f t="shared" si="167"/>
        <v/>
      </c>
      <c r="AD578" s="586"/>
      <c r="AE578" s="587" t="str">
        <f t="shared" si="163"/>
        <v/>
      </c>
    </row>
    <row r="579" spans="2:31">
      <c r="B579" s="586" t="s">
        <v>428</v>
      </c>
      <c r="C579" s="587"/>
      <c r="D579" s="588"/>
      <c r="E579" s="587"/>
      <c r="F579" s="587">
        <v>4.6500000000000004</v>
      </c>
      <c r="G579" s="587">
        <v>9.1999999999999993</v>
      </c>
      <c r="H579" s="589" t="s">
        <v>957</v>
      </c>
      <c r="I579" s="587">
        <f t="shared" si="171"/>
        <v>4.6500000000000004</v>
      </c>
      <c r="J579" s="589" t="s">
        <v>957</v>
      </c>
      <c r="K579" s="587">
        <f t="shared" si="161"/>
        <v>9.1999999999999993</v>
      </c>
      <c r="L579" s="587"/>
      <c r="M579" s="587" t="str">
        <f t="shared" si="174"/>
        <v/>
      </c>
      <c r="N579" s="587"/>
      <c r="O579" s="587" t="str">
        <f t="shared" si="169"/>
        <v/>
      </c>
      <c r="P579" s="587"/>
      <c r="Q579" s="587" t="str">
        <f t="shared" si="162"/>
        <v/>
      </c>
      <c r="R579" s="587"/>
      <c r="S579" s="587" t="str">
        <f t="shared" si="170"/>
        <v/>
      </c>
      <c r="T579" s="587"/>
      <c r="U579" s="587" t="str">
        <f t="shared" si="172"/>
        <v/>
      </c>
      <c r="V579" s="587" t="s">
        <v>957</v>
      </c>
      <c r="W579" s="587">
        <f t="shared" si="173"/>
        <v>4.6500000000000004</v>
      </c>
      <c r="X579" s="587"/>
      <c r="Y579" s="587" t="str">
        <f t="shared" si="168"/>
        <v/>
      </c>
      <c r="Z579" s="587"/>
      <c r="AA579" s="587" t="str">
        <f t="shared" si="166"/>
        <v/>
      </c>
      <c r="AB579" s="587"/>
      <c r="AC579" s="587" t="str">
        <f t="shared" si="167"/>
        <v/>
      </c>
      <c r="AD579" s="586"/>
      <c r="AE579" s="587" t="str">
        <f t="shared" si="163"/>
        <v/>
      </c>
    </row>
    <row r="580" spans="2:31">
      <c r="B580" s="586" t="s">
        <v>540</v>
      </c>
      <c r="C580" s="587"/>
      <c r="D580" s="588"/>
      <c r="E580" s="587"/>
      <c r="F580" s="587">
        <v>40.78</v>
      </c>
      <c r="G580" s="587">
        <v>27.22</v>
      </c>
      <c r="H580" s="589" t="s">
        <v>957</v>
      </c>
      <c r="I580" s="587">
        <f t="shared" si="171"/>
        <v>40.78</v>
      </c>
      <c r="J580" s="589" t="s">
        <v>957</v>
      </c>
      <c r="K580" s="587">
        <f t="shared" si="161"/>
        <v>27.22</v>
      </c>
      <c r="L580" s="587"/>
      <c r="M580" s="587" t="str">
        <f t="shared" si="174"/>
        <v/>
      </c>
      <c r="N580" s="587"/>
      <c r="O580" s="587" t="str">
        <f t="shared" si="169"/>
        <v/>
      </c>
      <c r="P580" s="587"/>
      <c r="Q580" s="587" t="str">
        <f t="shared" si="162"/>
        <v/>
      </c>
      <c r="R580" s="587"/>
      <c r="S580" s="587" t="str">
        <f t="shared" si="170"/>
        <v/>
      </c>
      <c r="T580" s="587"/>
      <c r="U580" s="587" t="str">
        <f t="shared" si="172"/>
        <v/>
      </c>
      <c r="V580" s="587" t="s">
        <v>957</v>
      </c>
      <c r="W580" s="587">
        <f t="shared" si="173"/>
        <v>40.78</v>
      </c>
      <c r="X580" s="587"/>
      <c r="Y580" s="587" t="str">
        <f t="shared" si="168"/>
        <v/>
      </c>
      <c r="Z580" s="587"/>
      <c r="AA580" s="587" t="str">
        <f t="shared" si="166"/>
        <v/>
      </c>
      <c r="AB580" s="587"/>
      <c r="AC580" s="587" t="str">
        <f t="shared" si="167"/>
        <v/>
      </c>
      <c r="AD580" s="586"/>
      <c r="AE580" s="587" t="str">
        <f t="shared" si="163"/>
        <v/>
      </c>
    </row>
    <row r="581" spans="2:31">
      <c r="B581" s="586" t="s">
        <v>428</v>
      </c>
      <c r="C581" s="587"/>
      <c r="D581" s="588"/>
      <c r="E581" s="587"/>
      <c r="F581" s="587">
        <v>4.6500000000000004</v>
      </c>
      <c r="G581" s="587">
        <v>9.1999999999999993</v>
      </c>
      <c r="H581" s="589" t="s">
        <v>957</v>
      </c>
      <c r="I581" s="587">
        <f t="shared" si="171"/>
        <v>4.6500000000000004</v>
      </c>
      <c r="J581" s="589" t="s">
        <v>957</v>
      </c>
      <c r="K581" s="587">
        <f t="shared" si="161"/>
        <v>9.1999999999999993</v>
      </c>
      <c r="L581" s="587"/>
      <c r="M581" s="587" t="str">
        <f t="shared" si="174"/>
        <v/>
      </c>
      <c r="N581" s="587"/>
      <c r="O581" s="587" t="str">
        <f t="shared" si="169"/>
        <v/>
      </c>
      <c r="P581" s="587"/>
      <c r="Q581" s="587" t="str">
        <f t="shared" si="162"/>
        <v/>
      </c>
      <c r="R581" s="587"/>
      <c r="S581" s="587" t="str">
        <f t="shared" si="170"/>
        <v/>
      </c>
      <c r="T581" s="587"/>
      <c r="U581" s="587" t="str">
        <f t="shared" si="172"/>
        <v/>
      </c>
      <c r="V581" s="587" t="s">
        <v>957</v>
      </c>
      <c r="W581" s="587">
        <f t="shared" si="173"/>
        <v>4.6500000000000004</v>
      </c>
      <c r="X581" s="587"/>
      <c r="Y581" s="587" t="str">
        <f t="shared" si="168"/>
        <v/>
      </c>
      <c r="Z581" s="587"/>
      <c r="AA581" s="587" t="str">
        <f t="shared" si="166"/>
        <v/>
      </c>
      <c r="AB581" s="587"/>
      <c r="AC581" s="587" t="str">
        <f t="shared" si="167"/>
        <v/>
      </c>
      <c r="AD581" s="586"/>
      <c r="AE581" s="587" t="str">
        <f t="shared" si="163"/>
        <v/>
      </c>
    </row>
    <row r="582" spans="2:31">
      <c r="B582" s="586" t="s">
        <v>541</v>
      </c>
      <c r="C582" s="587"/>
      <c r="D582" s="588"/>
      <c r="E582" s="587"/>
      <c r="F582" s="587">
        <v>40.78</v>
      </c>
      <c r="G582" s="587">
        <v>27.22</v>
      </c>
      <c r="H582" s="589" t="s">
        <v>957</v>
      </c>
      <c r="I582" s="587">
        <f t="shared" si="171"/>
        <v>40.78</v>
      </c>
      <c r="J582" s="589" t="s">
        <v>957</v>
      </c>
      <c r="K582" s="587">
        <f t="shared" si="161"/>
        <v>27.22</v>
      </c>
      <c r="L582" s="587"/>
      <c r="M582" s="587" t="str">
        <f t="shared" si="174"/>
        <v/>
      </c>
      <c r="N582" s="587"/>
      <c r="O582" s="587" t="str">
        <f t="shared" si="169"/>
        <v/>
      </c>
      <c r="P582" s="587"/>
      <c r="Q582" s="587" t="str">
        <f t="shared" si="162"/>
        <v/>
      </c>
      <c r="R582" s="587"/>
      <c r="S582" s="587" t="str">
        <f t="shared" si="170"/>
        <v/>
      </c>
      <c r="T582" s="587"/>
      <c r="U582" s="587" t="str">
        <f t="shared" si="172"/>
        <v/>
      </c>
      <c r="V582" s="587" t="s">
        <v>957</v>
      </c>
      <c r="W582" s="587">
        <f t="shared" si="173"/>
        <v>40.78</v>
      </c>
      <c r="X582" s="587"/>
      <c r="Y582" s="587" t="str">
        <f t="shared" si="168"/>
        <v/>
      </c>
      <c r="Z582" s="587"/>
      <c r="AA582" s="587" t="str">
        <f t="shared" si="166"/>
        <v/>
      </c>
      <c r="AB582" s="587"/>
      <c r="AC582" s="587" t="str">
        <f t="shared" si="167"/>
        <v/>
      </c>
      <c r="AD582" s="586"/>
      <c r="AE582" s="587" t="str">
        <f t="shared" si="163"/>
        <v/>
      </c>
    </row>
    <row r="583" spans="2:31">
      <c r="B583" s="586" t="s">
        <v>428</v>
      </c>
      <c r="C583" s="587"/>
      <c r="D583" s="588"/>
      <c r="E583" s="587"/>
      <c r="F583" s="587">
        <v>4.6500000000000004</v>
      </c>
      <c r="G583" s="587">
        <v>9.1999999999999993</v>
      </c>
      <c r="H583" s="589" t="s">
        <v>957</v>
      </c>
      <c r="I583" s="587">
        <f t="shared" si="171"/>
        <v>4.6500000000000004</v>
      </c>
      <c r="J583" s="589" t="s">
        <v>957</v>
      </c>
      <c r="K583" s="587">
        <f t="shared" ref="K583:K646" si="175">IF(J583="x",G583,"")</f>
        <v>9.1999999999999993</v>
      </c>
      <c r="L583" s="587"/>
      <c r="M583" s="587" t="str">
        <f t="shared" si="174"/>
        <v/>
      </c>
      <c r="N583" s="587"/>
      <c r="O583" s="587" t="str">
        <f t="shared" si="169"/>
        <v/>
      </c>
      <c r="P583" s="587"/>
      <c r="Q583" s="587" t="str">
        <f t="shared" ref="Q583:Q646" si="176">IF(P583="x",G583,"")</f>
        <v/>
      </c>
      <c r="R583" s="587"/>
      <c r="S583" s="587" t="str">
        <f t="shared" si="170"/>
        <v/>
      </c>
      <c r="T583" s="587"/>
      <c r="U583" s="587" t="str">
        <f t="shared" si="172"/>
        <v/>
      </c>
      <c r="V583" s="587" t="s">
        <v>957</v>
      </c>
      <c r="W583" s="587">
        <f t="shared" si="173"/>
        <v>4.6500000000000004</v>
      </c>
      <c r="X583" s="587"/>
      <c r="Y583" s="587" t="str">
        <f t="shared" si="168"/>
        <v/>
      </c>
      <c r="Z583" s="587"/>
      <c r="AA583" s="587" t="str">
        <f t="shared" si="166"/>
        <v/>
      </c>
      <c r="AB583" s="587"/>
      <c r="AC583" s="587" t="str">
        <f t="shared" si="167"/>
        <v/>
      </c>
      <c r="AD583" s="586"/>
      <c r="AE583" s="587" t="str">
        <f t="shared" ref="AE583:AE646" si="177">IF(AD583="x",F583,"")</f>
        <v/>
      </c>
    </row>
    <row r="584" spans="2:31">
      <c r="B584" s="586" t="s">
        <v>542</v>
      </c>
      <c r="C584" s="587"/>
      <c r="D584" s="588"/>
      <c r="E584" s="587"/>
      <c r="F584" s="587">
        <v>40.78</v>
      </c>
      <c r="G584" s="587">
        <v>27.22</v>
      </c>
      <c r="H584" s="589" t="s">
        <v>957</v>
      </c>
      <c r="I584" s="587">
        <f t="shared" si="171"/>
        <v>40.78</v>
      </c>
      <c r="J584" s="589" t="s">
        <v>957</v>
      </c>
      <c r="K584" s="587">
        <f t="shared" si="175"/>
        <v>27.22</v>
      </c>
      <c r="L584" s="587"/>
      <c r="M584" s="587" t="str">
        <f t="shared" si="174"/>
        <v/>
      </c>
      <c r="N584" s="587"/>
      <c r="O584" s="587" t="str">
        <f t="shared" si="169"/>
        <v/>
      </c>
      <c r="P584" s="587"/>
      <c r="Q584" s="587" t="str">
        <f t="shared" si="176"/>
        <v/>
      </c>
      <c r="R584" s="587"/>
      <c r="S584" s="587" t="str">
        <f t="shared" si="170"/>
        <v/>
      </c>
      <c r="T584" s="587"/>
      <c r="U584" s="587" t="str">
        <f t="shared" si="172"/>
        <v/>
      </c>
      <c r="V584" s="587" t="s">
        <v>957</v>
      </c>
      <c r="W584" s="587">
        <f t="shared" si="173"/>
        <v>40.78</v>
      </c>
      <c r="X584" s="587"/>
      <c r="Y584" s="587" t="str">
        <f t="shared" si="168"/>
        <v/>
      </c>
      <c r="Z584" s="587"/>
      <c r="AA584" s="587" t="str">
        <f t="shared" si="166"/>
        <v/>
      </c>
      <c r="AB584" s="587"/>
      <c r="AC584" s="587" t="str">
        <f t="shared" si="167"/>
        <v/>
      </c>
      <c r="AD584" s="586"/>
      <c r="AE584" s="587" t="str">
        <f t="shared" si="177"/>
        <v/>
      </c>
    </row>
    <row r="585" spans="2:31">
      <c r="B585" s="586" t="s">
        <v>428</v>
      </c>
      <c r="C585" s="587"/>
      <c r="D585" s="588"/>
      <c r="E585" s="587"/>
      <c r="F585" s="587">
        <v>4.6500000000000004</v>
      </c>
      <c r="G585" s="587">
        <v>9.1999999999999993</v>
      </c>
      <c r="H585" s="589" t="s">
        <v>957</v>
      </c>
      <c r="I585" s="587">
        <f t="shared" si="171"/>
        <v>4.6500000000000004</v>
      </c>
      <c r="J585" s="589" t="s">
        <v>957</v>
      </c>
      <c r="K585" s="587">
        <f t="shared" si="175"/>
        <v>9.1999999999999993</v>
      </c>
      <c r="L585" s="587"/>
      <c r="M585" s="587" t="str">
        <f t="shared" si="174"/>
        <v/>
      </c>
      <c r="N585" s="587"/>
      <c r="O585" s="587" t="str">
        <f t="shared" si="169"/>
        <v/>
      </c>
      <c r="P585" s="587"/>
      <c r="Q585" s="587" t="str">
        <f t="shared" si="176"/>
        <v/>
      </c>
      <c r="R585" s="587"/>
      <c r="S585" s="587" t="str">
        <f t="shared" si="170"/>
        <v/>
      </c>
      <c r="T585" s="587"/>
      <c r="U585" s="587" t="str">
        <f t="shared" si="172"/>
        <v/>
      </c>
      <c r="V585" s="587" t="s">
        <v>957</v>
      </c>
      <c r="W585" s="587">
        <f t="shared" si="173"/>
        <v>4.6500000000000004</v>
      </c>
      <c r="X585" s="587"/>
      <c r="Y585" s="587" t="str">
        <f t="shared" si="168"/>
        <v/>
      </c>
      <c r="Z585" s="587"/>
      <c r="AA585" s="587" t="str">
        <f t="shared" si="166"/>
        <v/>
      </c>
      <c r="AB585" s="587"/>
      <c r="AC585" s="587" t="str">
        <f t="shared" si="167"/>
        <v/>
      </c>
      <c r="AD585" s="586"/>
      <c r="AE585" s="587" t="str">
        <f t="shared" si="177"/>
        <v/>
      </c>
    </row>
    <row r="586" spans="2:31">
      <c r="B586" s="586" t="s">
        <v>472</v>
      </c>
      <c r="C586" s="587">
        <v>2.0619999999999998</v>
      </c>
      <c r="D586" s="588" t="s">
        <v>957</v>
      </c>
      <c r="E586" s="587">
        <v>2.85</v>
      </c>
      <c r="F586" s="587">
        <f t="shared" ref="F586:F592" si="178">C586*E586</f>
        <v>5.8766999999999996</v>
      </c>
      <c r="G586" s="587">
        <f t="shared" ref="G586:G592" si="179">(C586+E586)*2</f>
        <v>9.8239999999999998</v>
      </c>
      <c r="H586" s="589" t="s">
        <v>957</v>
      </c>
      <c r="I586" s="587">
        <f t="shared" si="171"/>
        <v>5.8766999999999996</v>
      </c>
      <c r="J586" s="589" t="s">
        <v>957</v>
      </c>
      <c r="K586" s="587">
        <f t="shared" si="175"/>
        <v>9.8239999999999998</v>
      </c>
      <c r="L586" s="587"/>
      <c r="M586" s="587" t="str">
        <f t="shared" si="174"/>
        <v/>
      </c>
      <c r="N586" s="587"/>
      <c r="O586" s="587" t="str">
        <f t="shared" si="169"/>
        <v/>
      </c>
      <c r="P586" s="587"/>
      <c r="Q586" s="587" t="str">
        <f t="shared" si="176"/>
        <v/>
      </c>
      <c r="R586" s="587"/>
      <c r="S586" s="587" t="str">
        <f t="shared" si="170"/>
        <v/>
      </c>
      <c r="T586" s="587"/>
      <c r="U586" s="587" t="str">
        <f t="shared" si="172"/>
        <v/>
      </c>
      <c r="V586" s="587" t="s">
        <v>957</v>
      </c>
      <c r="W586" s="587">
        <f t="shared" si="173"/>
        <v>5.8766999999999996</v>
      </c>
      <c r="X586" s="587"/>
      <c r="Y586" s="587" t="str">
        <f t="shared" si="168"/>
        <v/>
      </c>
      <c r="Z586" s="587"/>
      <c r="AA586" s="587" t="str">
        <f t="shared" si="166"/>
        <v/>
      </c>
      <c r="AB586" s="587"/>
      <c r="AC586" s="587" t="str">
        <f t="shared" si="167"/>
        <v/>
      </c>
      <c r="AD586" s="586"/>
      <c r="AE586" s="587" t="str">
        <f t="shared" si="177"/>
        <v/>
      </c>
    </row>
    <row r="587" spans="2:31">
      <c r="B587" s="586" t="s">
        <v>308</v>
      </c>
      <c r="C587" s="587">
        <v>4.3120000000000003</v>
      </c>
      <c r="D587" s="588" t="s">
        <v>957</v>
      </c>
      <c r="E587" s="587">
        <v>2.5</v>
      </c>
      <c r="F587" s="587">
        <f t="shared" si="178"/>
        <v>10.780000000000001</v>
      </c>
      <c r="G587" s="587">
        <f t="shared" si="179"/>
        <v>13.624000000000001</v>
      </c>
      <c r="H587" s="589" t="s">
        <v>957</v>
      </c>
      <c r="I587" s="587">
        <f t="shared" si="171"/>
        <v>10.780000000000001</v>
      </c>
      <c r="J587" s="589" t="s">
        <v>957</v>
      </c>
      <c r="K587" s="587">
        <f t="shared" si="175"/>
        <v>13.624000000000001</v>
      </c>
      <c r="L587" s="587"/>
      <c r="M587" s="587" t="str">
        <f t="shared" si="174"/>
        <v/>
      </c>
      <c r="N587" s="587"/>
      <c r="O587" s="587" t="str">
        <f t="shared" si="169"/>
        <v/>
      </c>
      <c r="P587" s="587"/>
      <c r="Q587" s="587" t="str">
        <f t="shared" si="176"/>
        <v/>
      </c>
      <c r="R587" s="587"/>
      <c r="S587" s="587" t="str">
        <f t="shared" si="170"/>
        <v/>
      </c>
      <c r="T587" s="587"/>
      <c r="U587" s="587" t="str">
        <f t="shared" si="172"/>
        <v/>
      </c>
      <c r="V587" s="587" t="s">
        <v>957</v>
      </c>
      <c r="W587" s="587">
        <f t="shared" si="173"/>
        <v>10.780000000000001</v>
      </c>
      <c r="X587" s="587"/>
      <c r="Y587" s="587" t="str">
        <f t="shared" si="168"/>
        <v/>
      </c>
      <c r="Z587" s="587"/>
      <c r="AA587" s="587" t="str">
        <f t="shared" si="166"/>
        <v/>
      </c>
      <c r="AB587" s="587"/>
      <c r="AC587" s="587" t="str">
        <f t="shared" si="167"/>
        <v/>
      </c>
      <c r="AD587" s="586"/>
      <c r="AE587" s="587" t="str">
        <f t="shared" si="177"/>
        <v/>
      </c>
    </row>
    <row r="588" spans="2:31">
      <c r="B588" s="586" t="s">
        <v>299</v>
      </c>
      <c r="C588" s="587">
        <v>4.3120000000000003</v>
      </c>
      <c r="D588" s="588" t="s">
        <v>957</v>
      </c>
      <c r="E588" s="587">
        <v>2.5</v>
      </c>
      <c r="F588" s="587">
        <f t="shared" si="178"/>
        <v>10.780000000000001</v>
      </c>
      <c r="G588" s="587">
        <f t="shared" si="179"/>
        <v>13.624000000000001</v>
      </c>
      <c r="H588" s="589" t="s">
        <v>957</v>
      </c>
      <c r="I588" s="587">
        <f t="shared" si="171"/>
        <v>10.780000000000001</v>
      </c>
      <c r="J588" s="589" t="s">
        <v>957</v>
      </c>
      <c r="K588" s="587">
        <f t="shared" si="175"/>
        <v>13.624000000000001</v>
      </c>
      <c r="L588" s="587"/>
      <c r="M588" s="587" t="str">
        <f t="shared" si="174"/>
        <v/>
      </c>
      <c r="N588" s="587"/>
      <c r="O588" s="587" t="str">
        <f t="shared" si="169"/>
        <v/>
      </c>
      <c r="P588" s="587"/>
      <c r="Q588" s="587" t="str">
        <f t="shared" si="176"/>
        <v/>
      </c>
      <c r="R588" s="587"/>
      <c r="S588" s="587" t="str">
        <f t="shared" si="170"/>
        <v/>
      </c>
      <c r="T588" s="587"/>
      <c r="U588" s="587" t="str">
        <f t="shared" si="172"/>
        <v/>
      </c>
      <c r="V588" s="587" t="s">
        <v>957</v>
      </c>
      <c r="W588" s="587">
        <f t="shared" si="173"/>
        <v>10.780000000000001</v>
      </c>
      <c r="X588" s="587"/>
      <c r="Y588" s="587" t="str">
        <f t="shared" si="168"/>
        <v/>
      </c>
      <c r="Z588" s="587"/>
      <c r="AA588" s="587" t="str">
        <f t="shared" si="166"/>
        <v/>
      </c>
      <c r="AB588" s="587"/>
      <c r="AC588" s="587" t="str">
        <f t="shared" si="167"/>
        <v/>
      </c>
      <c r="AD588" s="586"/>
      <c r="AE588" s="587" t="str">
        <f t="shared" si="177"/>
        <v/>
      </c>
    </row>
    <row r="589" spans="2:31">
      <c r="B589" s="586" t="s">
        <v>423</v>
      </c>
      <c r="C589" s="587">
        <v>4.3120000000000003</v>
      </c>
      <c r="D589" s="588" t="s">
        <v>957</v>
      </c>
      <c r="E589" s="587">
        <v>3</v>
      </c>
      <c r="F589" s="587">
        <f t="shared" si="178"/>
        <v>12.936</v>
      </c>
      <c r="G589" s="587">
        <f t="shared" si="179"/>
        <v>14.624000000000001</v>
      </c>
      <c r="H589" s="589" t="s">
        <v>957</v>
      </c>
      <c r="I589" s="587">
        <f t="shared" si="171"/>
        <v>12.936</v>
      </c>
      <c r="J589" s="589" t="s">
        <v>957</v>
      </c>
      <c r="K589" s="587">
        <f t="shared" si="175"/>
        <v>14.624000000000001</v>
      </c>
      <c r="L589" s="587"/>
      <c r="M589" s="587" t="str">
        <f t="shared" si="174"/>
        <v/>
      </c>
      <c r="N589" s="587"/>
      <c r="O589" s="587" t="str">
        <f t="shared" si="169"/>
        <v/>
      </c>
      <c r="P589" s="587"/>
      <c r="Q589" s="587" t="str">
        <f t="shared" si="176"/>
        <v/>
      </c>
      <c r="R589" s="587"/>
      <c r="S589" s="587" t="str">
        <f t="shared" si="170"/>
        <v/>
      </c>
      <c r="T589" s="587"/>
      <c r="U589" s="587" t="str">
        <f t="shared" si="172"/>
        <v/>
      </c>
      <c r="V589" s="587" t="s">
        <v>957</v>
      </c>
      <c r="W589" s="587">
        <f t="shared" si="173"/>
        <v>12.936</v>
      </c>
      <c r="X589" s="587"/>
      <c r="Y589" s="587" t="str">
        <f t="shared" si="168"/>
        <v/>
      </c>
      <c r="Z589" s="587"/>
      <c r="AA589" s="587" t="str">
        <f t="shared" si="166"/>
        <v/>
      </c>
      <c r="AB589" s="587"/>
      <c r="AC589" s="587" t="str">
        <f t="shared" si="167"/>
        <v/>
      </c>
      <c r="AD589" s="586"/>
      <c r="AE589" s="587" t="str">
        <f t="shared" si="177"/>
        <v/>
      </c>
    </row>
    <row r="590" spans="2:31">
      <c r="B590" s="586" t="s">
        <v>543</v>
      </c>
      <c r="C590" s="587">
        <v>2.3119999999999998</v>
      </c>
      <c r="D590" s="588" t="s">
        <v>957</v>
      </c>
      <c r="E590" s="587">
        <v>4.8639999999999999</v>
      </c>
      <c r="F590" s="587">
        <f t="shared" si="178"/>
        <v>11.245567999999999</v>
      </c>
      <c r="G590" s="587">
        <f t="shared" si="179"/>
        <v>14.352</v>
      </c>
      <c r="H590" s="589" t="s">
        <v>957</v>
      </c>
      <c r="I590" s="587">
        <f t="shared" si="171"/>
        <v>11.245567999999999</v>
      </c>
      <c r="J590" s="589" t="s">
        <v>957</v>
      </c>
      <c r="K590" s="587">
        <f t="shared" si="175"/>
        <v>14.352</v>
      </c>
      <c r="L590" s="587"/>
      <c r="M590" s="587" t="str">
        <f t="shared" si="174"/>
        <v/>
      </c>
      <c r="N590" s="587"/>
      <c r="O590" s="587" t="str">
        <f t="shared" si="169"/>
        <v/>
      </c>
      <c r="P590" s="587"/>
      <c r="Q590" s="587" t="str">
        <f t="shared" si="176"/>
        <v/>
      </c>
      <c r="R590" s="587"/>
      <c r="S590" s="587" t="str">
        <f t="shared" si="170"/>
        <v/>
      </c>
      <c r="T590" s="587"/>
      <c r="U590" s="587" t="str">
        <f t="shared" si="172"/>
        <v/>
      </c>
      <c r="V590" s="587" t="s">
        <v>957</v>
      </c>
      <c r="W590" s="587">
        <f t="shared" si="173"/>
        <v>11.245567999999999</v>
      </c>
      <c r="X590" s="587"/>
      <c r="Y590" s="587" t="str">
        <f t="shared" si="168"/>
        <v/>
      </c>
      <c r="Z590" s="587"/>
      <c r="AA590" s="587" t="str">
        <f t="shared" ref="AA590:AA653" si="180">IF(Z590="x",F590,"")</f>
        <v/>
      </c>
      <c r="AB590" s="587"/>
      <c r="AC590" s="587" t="str">
        <f t="shared" ref="AC590:AC653" si="181">IF(AB590="x",F590,"")</f>
        <v/>
      </c>
      <c r="AD590" s="586"/>
      <c r="AE590" s="587" t="str">
        <f t="shared" si="177"/>
        <v/>
      </c>
    </row>
    <row r="591" spans="2:31">
      <c r="B591" s="586" t="s">
        <v>544</v>
      </c>
      <c r="C591" s="587">
        <v>2.3119999999999998</v>
      </c>
      <c r="D591" s="588" t="s">
        <v>957</v>
      </c>
      <c r="E591" s="587">
        <v>4.8639999999999999</v>
      </c>
      <c r="F591" s="587">
        <f t="shared" si="178"/>
        <v>11.245567999999999</v>
      </c>
      <c r="G591" s="587">
        <f t="shared" si="179"/>
        <v>14.352</v>
      </c>
      <c r="H591" s="589" t="s">
        <v>957</v>
      </c>
      <c r="I591" s="587">
        <f t="shared" si="171"/>
        <v>11.245567999999999</v>
      </c>
      <c r="J591" s="589" t="s">
        <v>957</v>
      </c>
      <c r="K591" s="587">
        <f t="shared" si="175"/>
        <v>14.352</v>
      </c>
      <c r="L591" s="587"/>
      <c r="M591" s="587" t="str">
        <f t="shared" si="174"/>
        <v/>
      </c>
      <c r="N591" s="587"/>
      <c r="O591" s="587" t="str">
        <f t="shared" si="169"/>
        <v/>
      </c>
      <c r="P591" s="587"/>
      <c r="Q591" s="587" t="str">
        <f t="shared" si="176"/>
        <v/>
      </c>
      <c r="R591" s="587"/>
      <c r="S591" s="587" t="str">
        <f t="shared" si="170"/>
        <v/>
      </c>
      <c r="T591" s="587"/>
      <c r="U591" s="587" t="str">
        <f t="shared" si="172"/>
        <v/>
      </c>
      <c r="V591" s="587" t="s">
        <v>957</v>
      </c>
      <c r="W591" s="587">
        <f t="shared" si="173"/>
        <v>11.245567999999999</v>
      </c>
      <c r="X591" s="587"/>
      <c r="Y591" s="587" t="str">
        <f t="shared" si="168"/>
        <v/>
      </c>
      <c r="Z591" s="587"/>
      <c r="AA591" s="587" t="str">
        <f t="shared" si="180"/>
        <v/>
      </c>
      <c r="AB591" s="587"/>
      <c r="AC591" s="587" t="str">
        <f t="shared" si="181"/>
        <v/>
      </c>
      <c r="AD591" s="586"/>
      <c r="AE591" s="587" t="str">
        <f t="shared" si="177"/>
        <v/>
      </c>
    </row>
    <row r="592" spans="2:31">
      <c r="B592" s="586" t="s">
        <v>476</v>
      </c>
      <c r="C592" s="587">
        <v>2.3119999999999998</v>
      </c>
      <c r="D592" s="588" t="s">
        <v>957</v>
      </c>
      <c r="E592" s="587">
        <v>4.8639999999999999</v>
      </c>
      <c r="F592" s="587">
        <f t="shared" si="178"/>
        <v>11.245567999999999</v>
      </c>
      <c r="G592" s="587">
        <f t="shared" si="179"/>
        <v>14.352</v>
      </c>
      <c r="H592" s="589" t="s">
        <v>957</v>
      </c>
      <c r="I592" s="587">
        <f t="shared" si="171"/>
        <v>11.245567999999999</v>
      </c>
      <c r="J592" s="589" t="s">
        <v>957</v>
      </c>
      <c r="K592" s="587">
        <f t="shared" si="175"/>
        <v>14.352</v>
      </c>
      <c r="L592" s="587"/>
      <c r="M592" s="587" t="str">
        <f t="shared" si="174"/>
        <v/>
      </c>
      <c r="N592" s="587"/>
      <c r="O592" s="587" t="str">
        <f t="shared" si="169"/>
        <v/>
      </c>
      <c r="P592" s="587"/>
      <c r="Q592" s="587" t="str">
        <f t="shared" si="176"/>
        <v/>
      </c>
      <c r="R592" s="587"/>
      <c r="S592" s="587" t="str">
        <f t="shared" si="170"/>
        <v/>
      </c>
      <c r="T592" s="587"/>
      <c r="U592" s="587" t="str">
        <f t="shared" si="172"/>
        <v/>
      </c>
      <c r="V592" s="587" t="s">
        <v>957</v>
      </c>
      <c r="W592" s="587">
        <f t="shared" si="173"/>
        <v>11.245567999999999</v>
      </c>
      <c r="X592" s="587"/>
      <c r="Y592" s="587" t="str">
        <f t="shared" si="168"/>
        <v/>
      </c>
      <c r="Z592" s="587"/>
      <c r="AA592" s="587" t="str">
        <f t="shared" si="180"/>
        <v/>
      </c>
      <c r="AB592" s="587"/>
      <c r="AC592" s="587" t="str">
        <f t="shared" si="181"/>
        <v/>
      </c>
      <c r="AD592" s="586"/>
      <c r="AE592" s="587" t="str">
        <f t="shared" si="177"/>
        <v/>
      </c>
    </row>
    <row r="593" spans="2:31">
      <c r="B593" s="586" t="s">
        <v>545</v>
      </c>
      <c r="C593" s="587"/>
      <c r="D593" s="588"/>
      <c r="E593" s="587"/>
      <c r="F593" s="587">
        <v>28.427</v>
      </c>
      <c r="G593" s="587">
        <v>24.34</v>
      </c>
      <c r="H593" s="589" t="s">
        <v>957</v>
      </c>
      <c r="I593" s="587">
        <f t="shared" si="171"/>
        <v>28.427</v>
      </c>
      <c r="J593" s="589" t="s">
        <v>957</v>
      </c>
      <c r="K593" s="587">
        <f t="shared" si="175"/>
        <v>24.34</v>
      </c>
      <c r="L593" s="587"/>
      <c r="M593" s="587" t="str">
        <f t="shared" si="174"/>
        <v/>
      </c>
      <c r="N593" s="587"/>
      <c r="O593" s="587" t="str">
        <f t="shared" si="169"/>
        <v/>
      </c>
      <c r="P593" s="587"/>
      <c r="Q593" s="587" t="str">
        <f t="shared" si="176"/>
        <v/>
      </c>
      <c r="R593" s="587"/>
      <c r="S593" s="587" t="str">
        <f t="shared" si="170"/>
        <v/>
      </c>
      <c r="T593" s="587"/>
      <c r="U593" s="587" t="str">
        <f t="shared" si="172"/>
        <v/>
      </c>
      <c r="V593" s="587" t="s">
        <v>957</v>
      </c>
      <c r="W593" s="587">
        <f t="shared" si="173"/>
        <v>28.427</v>
      </c>
      <c r="X593" s="587"/>
      <c r="Y593" s="587" t="str">
        <f t="shared" si="168"/>
        <v/>
      </c>
      <c r="Z593" s="587"/>
      <c r="AA593" s="587" t="str">
        <f t="shared" si="180"/>
        <v/>
      </c>
      <c r="AB593" s="587"/>
      <c r="AC593" s="587" t="str">
        <f t="shared" si="181"/>
        <v/>
      </c>
      <c r="AD593" s="586"/>
      <c r="AE593" s="587" t="str">
        <f t="shared" si="177"/>
        <v/>
      </c>
    </row>
    <row r="594" spans="2:31">
      <c r="B594" s="586" t="s">
        <v>546</v>
      </c>
      <c r="C594" s="587">
        <v>2.8</v>
      </c>
      <c r="D594" s="588" t="s">
        <v>957</v>
      </c>
      <c r="E594" s="587">
        <v>1.6</v>
      </c>
      <c r="F594" s="587">
        <f>C594*E594</f>
        <v>4.4799999999999995</v>
      </c>
      <c r="G594" s="587">
        <f>(C594+E594)*2</f>
        <v>8.8000000000000007</v>
      </c>
      <c r="H594" s="589" t="s">
        <v>957</v>
      </c>
      <c r="I594" s="587">
        <f t="shared" si="171"/>
        <v>4.4799999999999995</v>
      </c>
      <c r="J594" s="589" t="s">
        <v>957</v>
      </c>
      <c r="K594" s="587">
        <f t="shared" si="175"/>
        <v>8.8000000000000007</v>
      </c>
      <c r="L594" s="587"/>
      <c r="M594" s="587" t="str">
        <f t="shared" si="174"/>
        <v/>
      </c>
      <c r="N594" s="587"/>
      <c r="O594" s="587" t="str">
        <f t="shared" si="169"/>
        <v/>
      </c>
      <c r="P594" s="587"/>
      <c r="Q594" s="587" t="str">
        <f t="shared" si="176"/>
        <v/>
      </c>
      <c r="R594" s="587"/>
      <c r="S594" s="587" t="str">
        <f t="shared" si="170"/>
        <v/>
      </c>
      <c r="T594" s="587"/>
      <c r="U594" s="587" t="str">
        <f t="shared" si="172"/>
        <v/>
      </c>
      <c r="V594" s="587" t="s">
        <v>957</v>
      </c>
      <c r="W594" s="587">
        <f t="shared" si="173"/>
        <v>4.4799999999999995</v>
      </c>
      <c r="X594" s="587"/>
      <c r="Y594" s="587" t="str">
        <f t="shared" si="168"/>
        <v/>
      </c>
      <c r="Z594" s="587"/>
      <c r="AA594" s="587" t="str">
        <f t="shared" si="180"/>
        <v/>
      </c>
      <c r="AB594" s="587"/>
      <c r="AC594" s="587" t="str">
        <f t="shared" si="181"/>
        <v/>
      </c>
      <c r="AD594" s="586"/>
      <c r="AE594" s="587" t="str">
        <f t="shared" si="177"/>
        <v/>
      </c>
    </row>
    <row r="595" spans="2:31">
      <c r="B595" s="586" t="s">
        <v>547</v>
      </c>
      <c r="C595" s="587">
        <v>2.8</v>
      </c>
      <c r="D595" s="588" t="s">
        <v>957</v>
      </c>
      <c r="E595" s="587">
        <v>1.6</v>
      </c>
      <c r="F595" s="587">
        <f>C595*E595</f>
        <v>4.4799999999999995</v>
      </c>
      <c r="G595" s="587">
        <f>(C595+E595)*2</f>
        <v>8.8000000000000007</v>
      </c>
      <c r="H595" s="589" t="s">
        <v>957</v>
      </c>
      <c r="I595" s="587">
        <f t="shared" si="171"/>
        <v>4.4799999999999995</v>
      </c>
      <c r="J595" s="589" t="s">
        <v>957</v>
      </c>
      <c r="K595" s="587">
        <f t="shared" si="175"/>
        <v>8.8000000000000007</v>
      </c>
      <c r="L595" s="587"/>
      <c r="M595" s="587" t="str">
        <f t="shared" si="174"/>
        <v/>
      </c>
      <c r="N595" s="587"/>
      <c r="O595" s="587" t="str">
        <f t="shared" si="169"/>
        <v/>
      </c>
      <c r="P595" s="587"/>
      <c r="Q595" s="587" t="str">
        <f t="shared" si="176"/>
        <v/>
      </c>
      <c r="R595" s="587"/>
      <c r="S595" s="587" t="str">
        <f t="shared" si="170"/>
        <v/>
      </c>
      <c r="T595" s="587"/>
      <c r="U595" s="587" t="str">
        <f t="shared" si="172"/>
        <v/>
      </c>
      <c r="V595" s="587" t="s">
        <v>957</v>
      </c>
      <c r="W595" s="587">
        <f t="shared" si="173"/>
        <v>4.4799999999999995</v>
      </c>
      <c r="X595" s="587"/>
      <c r="Y595" s="587" t="str">
        <f t="shared" ref="Y595:Y658" si="182">IF(X595="x",F595,"")</f>
        <v/>
      </c>
      <c r="Z595" s="587"/>
      <c r="AA595" s="587" t="str">
        <f t="shared" si="180"/>
        <v/>
      </c>
      <c r="AB595" s="587"/>
      <c r="AC595" s="587" t="str">
        <f t="shared" si="181"/>
        <v/>
      </c>
      <c r="AD595" s="586"/>
      <c r="AE595" s="587" t="str">
        <f t="shared" si="177"/>
        <v/>
      </c>
    </row>
    <row r="596" spans="2:31">
      <c r="B596" s="586" t="s">
        <v>548</v>
      </c>
      <c r="C596" s="587"/>
      <c r="D596" s="588"/>
      <c r="E596" s="587"/>
      <c r="F596" s="587">
        <v>28.427</v>
      </c>
      <c r="G596" s="587">
        <v>24.34</v>
      </c>
      <c r="H596" s="589" t="s">
        <v>957</v>
      </c>
      <c r="I596" s="587">
        <f t="shared" si="171"/>
        <v>28.427</v>
      </c>
      <c r="J596" s="589" t="s">
        <v>957</v>
      </c>
      <c r="K596" s="587">
        <f t="shared" si="175"/>
        <v>24.34</v>
      </c>
      <c r="L596" s="587"/>
      <c r="M596" s="587" t="str">
        <f t="shared" si="174"/>
        <v/>
      </c>
      <c r="N596" s="587"/>
      <c r="O596" s="587" t="str">
        <f t="shared" si="169"/>
        <v/>
      </c>
      <c r="P596" s="587"/>
      <c r="Q596" s="587" t="str">
        <f t="shared" si="176"/>
        <v/>
      </c>
      <c r="R596" s="587"/>
      <c r="S596" s="587" t="str">
        <f t="shared" si="170"/>
        <v/>
      </c>
      <c r="T596" s="587"/>
      <c r="U596" s="587" t="str">
        <f t="shared" si="172"/>
        <v/>
      </c>
      <c r="V596" s="587" t="s">
        <v>957</v>
      </c>
      <c r="W596" s="587">
        <f t="shared" si="173"/>
        <v>28.427</v>
      </c>
      <c r="X596" s="587"/>
      <c r="Y596" s="587" t="str">
        <f t="shared" si="182"/>
        <v/>
      </c>
      <c r="Z596" s="587"/>
      <c r="AA596" s="587" t="str">
        <f t="shared" si="180"/>
        <v/>
      </c>
      <c r="AB596" s="587"/>
      <c r="AC596" s="587" t="str">
        <f t="shared" si="181"/>
        <v/>
      </c>
      <c r="AD596" s="586"/>
      <c r="AE596" s="587" t="str">
        <f t="shared" si="177"/>
        <v/>
      </c>
    </row>
    <row r="597" spans="2:31">
      <c r="B597" s="586" t="s">
        <v>549</v>
      </c>
      <c r="C597" s="587">
        <v>2.4</v>
      </c>
      <c r="D597" s="588" t="s">
        <v>957</v>
      </c>
      <c r="E597" s="587">
        <v>4.8650000000000002</v>
      </c>
      <c r="F597" s="587">
        <f>C597*E597</f>
        <v>11.676</v>
      </c>
      <c r="G597" s="587">
        <f>(C597+E597)*2</f>
        <v>14.530000000000001</v>
      </c>
      <c r="H597" s="589" t="s">
        <v>957</v>
      </c>
      <c r="I597" s="587">
        <f t="shared" si="171"/>
        <v>11.676</v>
      </c>
      <c r="J597" s="589" t="s">
        <v>957</v>
      </c>
      <c r="K597" s="587">
        <f t="shared" si="175"/>
        <v>14.530000000000001</v>
      </c>
      <c r="L597" s="587"/>
      <c r="M597" s="587" t="str">
        <f t="shared" si="174"/>
        <v/>
      </c>
      <c r="N597" s="587"/>
      <c r="O597" s="587" t="str">
        <f t="shared" si="169"/>
        <v/>
      </c>
      <c r="P597" s="587"/>
      <c r="Q597" s="587" t="str">
        <f t="shared" si="176"/>
        <v/>
      </c>
      <c r="R597" s="587"/>
      <c r="S597" s="587" t="str">
        <f t="shared" si="170"/>
        <v/>
      </c>
      <c r="T597" s="587"/>
      <c r="U597" s="587" t="str">
        <f t="shared" si="172"/>
        <v/>
      </c>
      <c r="V597" s="587" t="s">
        <v>957</v>
      </c>
      <c r="W597" s="587">
        <f t="shared" si="173"/>
        <v>11.676</v>
      </c>
      <c r="X597" s="587"/>
      <c r="Y597" s="587" t="str">
        <f t="shared" si="182"/>
        <v/>
      </c>
      <c r="Z597" s="587"/>
      <c r="AA597" s="587" t="str">
        <f t="shared" si="180"/>
        <v/>
      </c>
      <c r="AB597" s="587"/>
      <c r="AC597" s="587" t="str">
        <f t="shared" si="181"/>
        <v/>
      </c>
      <c r="AD597" s="586"/>
      <c r="AE597" s="587" t="str">
        <f t="shared" si="177"/>
        <v/>
      </c>
    </row>
    <row r="598" spans="2:31">
      <c r="B598" s="586" t="s">
        <v>550</v>
      </c>
      <c r="C598" s="587"/>
      <c r="D598" s="588"/>
      <c r="E598" s="587"/>
      <c r="F598" s="587">
        <v>16.940000000000001</v>
      </c>
      <c r="G598" s="587">
        <v>19.155000000000001</v>
      </c>
      <c r="H598" s="589" t="s">
        <v>957</v>
      </c>
      <c r="I598" s="587">
        <f t="shared" si="171"/>
        <v>16.940000000000001</v>
      </c>
      <c r="J598" s="589" t="s">
        <v>957</v>
      </c>
      <c r="K598" s="587">
        <f t="shared" si="175"/>
        <v>19.155000000000001</v>
      </c>
      <c r="L598" s="587"/>
      <c r="M598" s="587" t="str">
        <f t="shared" si="174"/>
        <v/>
      </c>
      <c r="N598" s="587"/>
      <c r="O598" s="587" t="str">
        <f t="shared" si="169"/>
        <v/>
      </c>
      <c r="P598" s="587"/>
      <c r="Q598" s="587" t="str">
        <f t="shared" si="176"/>
        <v/>
      </c>
      <c r="R598" s="587"/>
      <c r="S598" s="587" t="str">
        <f t="shared" si="170"/>
        <v/>
      </c>
      <c r="T598" s="587"/>
      <c r="U598" s="587" t="str">
        <f t="shared" si="172"/>
        <v/>
      </c>
      <c r="V598" s="587" t="s">
        <v>957</v>
      </c>
      <c r="W598" s="587">
        <f t="shared" si="173"/>
        <v>16.940000000000001</v>
      </c>
      <c r="X598" s="587"/>
      <c r="Y598" s="587" t="str">
        <f t="shared" si="182"/>
        <v/>
      </c>
      <c r="Z598" s="587"/>
      <c r="AA598" s="587" t="str">
        <f t="shared" si="180"/>
        <v/>
      </c>
      <c r="AB598" s="587"/>
      <c r="AC598" s="587" t="str">
        <f t="shared" si="181"/>
        <v/>
      </c>
      <c r="AD598" s="586"/>
      <c r="AE598" s="587" t="str">
        <f t="shared" si="177"/>
        <v/>
      </c>
    </row>
    <row r="599" spans="2:31">
      <c r="B599" s="586" t="s">
        <v>428</v>
      </c>
      <c r="C599" s="587">
        <v>1.75</v>
      </c>
      <c r="D599" s="588"/>
      <c r="E599" s="587">
        <v>2.9990000000000001</v>
      </c>
      <c r="F599" s="587">
        <f>C599*E599</f>
        <v>5.2482500000000005</v>
      </c>
      <c r="G599" s="587">
        <f>(C599+E599)*2</f>
        <v>9.4980000000000011</v>
      </c>
      <c r="H599" s="589" t="s">
        <v>957</v>
      </c>
      <c r="I599" s="587">
        <f t="shared" si="171"/>
        <v>5.2482500000000005</v>
      </c>
      <c r="J599" s="589" t="s">
        <v>957</v>
      </c>
      <c r="K599" s="587">
        <f t="shared" si="175"/>
        <v>9.4980000000000011</v>
      </c>
      <c r="L599" s="587"/>
      <c r="M599" s="587" t="str">
        <f t="shared" si="174"/>
        <v/>
      </c>
      <c r="N599" s="587"/>
      <c r="O599" s="587" t="str">
        <f t="shared" si="169"/>
        <v/>
      </c>
      <c r="P599" s="587"/>
      <c r="Q599" s="587" t="str">
        <f t="shared" si="176"/>
        <v/>
      </c>
      <c r="R599" s="587"/>
      <c r="S599" s="587" t="str">
        <f t="shared" si="170"/>
        <v/>
      </c>
      <c r="T599" s="587"/>
      <c r="U599" s="587" t="str">
        <f t="shared" si="172"/>
        <v/>
      </c>
      <c r="V599" s="587" t="s">
        <v>957</v>
      </c>
      <c r="W599" s="587">
        <f t="shared" si="173"/>
        <v>5.2482500000000005</v>
      </c>
      <c r="X599" s="587"/>
      <c r="Y599" s="587" t="str">
        <f t="shared" si="182"/>
        <v/>
      </c>
      <c r="Z599" s="587"/>
      <c r="AA599" s="587" t="str">
        <f t="shared" si="180"/>
        <v/>
      </c>
      <c r="AB599" s="587"/>
      <c r="AC599" s="587" t="str">
        <f t="shared" si="181"/>
        <v/>
      </c>
      <c r="AD599" s="586"/>
      <c r="AE599" s="587" t="str">
        <f t="shared" si="177"/>
        <v/>
      </c>
    </row>
    <row r="600" spans="2:31">
      <c r="B600" s="586" t="s">
        <v>551</v>
      </c>
      <c r="C600" s="587"/>
      <c r="D600" s="588"/>
      <c r="E600" s="587"/>
      <c r="F600" s="587">
        <v>37.72</v>
      </c>
      <c r="G600" s="587">
        <v>26.3</v>
      </c>
      <c r="H600" s="589" t="s">
        <v>957</v>
      </c>
      <c r="I600" s="587">
        <f t="shared" si="171"/>
        <v>37.72</v>
      </c>
      <c r="J600" s="589" t="s">
        <v>957</v>
      </c>
      <c r="K600" s="587">
        <f t="shared" si="175"/>
        <v>26.3</v>
      </c>
      <c r="L600" s="587"/>
      <c r="M600" s="587" t="str">
        <f t="shared" si="174"/>
        <v/>
      </c>
      <c r="N600" s="587"/>
      <c r="O600" s="587" t="str">
        <f t="shared" si="169"/>
        <v/>
      </c>
      <c r="P600" s="587"/>
      <c r="Q600" s="587" t="str">
        <f t="shared" si="176"/>
        <v/>
      </c>
      <c r="R600" s="587"/>
      <c r="S600" s="587" t="str">
        <f t="shared" si="170"/>
        <v/>
      </c>
      <c r="T600" s="587"/>
      <c r="U600" s="587" t="str">
        <f t="shared" si="172"/>
        <v/>
      </c>
      <c r="V600" s="587" t="s">
        <v>957</v>
      </c>
      <c r="W600" s="587">
        <f t="shared" si="173"/>
        <v>37.72</v>
      </c>
      <c r="X600" s="587"/>
      <c r="Y600" s="587" t="str">
        <f t="shared" si="182"/>
        <v/>
      </c>
      <c r="Z600" s="587"/>
      <c r="AA600" s="587" t="str">
        <f t="shared" si="180"/>
        <v/>
      </c>
      <c r="AB600" s="587"/>
      <c r="AC600" s="587" t="str">
        <f t="shared" si="181"/>
        <v/>
      </c>
      <c r="AD600" s="586"/>
      <c r="AE600" s="587" t="str">
        <f t="shared" si="177"/>
        <v/>
      </c>
    </row>
    <row r="601" spans="2:31">
      <c r="B601" s="586" t="s">
        <v>428</v>
      </c>
      <c r="C601" s="587"/>
      <c r="D601" s="588"/>
      <c r="E601" s="587"/>
      <c r="F601" s="587">
        <v>4.6500000000000004</v>
      </c>
      <c r="G601" s="587">
        <v>9.1999999999999993</v>
      </c>
      <c r="H601" s="589" t="s">
        <v>957</v>
      </c>
      <c r="I601" s="587">
        <f t="shared" si="171"/>
        <v>4.6500000000000004</v>
      </c>
      <c r="J601" s="589" t="s">
        <v>957</v>
      </c>
      <c r="K601" s="587">
        <f t="shared" si="175"/>
        <v>9.1999999999999993</v>
      </c>
      <c r="L601" s="587"/>
      <c r="M601" s="587" t="str">
        <f t="shared" si="174"/>
        <v/>
      </c>
      <c r="N601" s="587"/>
      <c r="O601" s="587" t="str">
        <f t="shared" si="169"/>
        <v/>
      </c>
      <c r="P601" s="587"/>
      <c r="Q601" s="587" t="str">
        <f t="shared" si="176"/>
        <v/>
      </c>
      <c r="R601" s="587"/>
      <c r="S601" s="587" t="str">
        <f t="shared" si="170"/>
        <v/>
      </c>
      <c r="T601" s="587"/>
      <c r="U601" s="587" t="str">
        <f t="shared" si="172"/>
        <v/>
      </c>
      <c r="V601" s="587" t="s">
        <v>957</v>
      </c>
      <c r="W601" s="587">
        <f t="shared" si="173"/>
        <v>4.6500000000000004</v>
      </c>
      <c r="X601" s="587"/>
      <c r="Y601" s="587" t="str">
        <f t="shared" si="182"/>
        <v/>
      </c>
      <c r="Z601" s="587"/>
      <c r="AA601" s="587" t="str">
        <f t="shared" si="180"/>
        <v/>
      </c>
      <c r="AB601" s="587"/>
      <c r="AC601" s="587" t="str">
        <f t="shared" si="181"/>
        <v/>
      </c>
      <c r="AD601" s="586"/>
      <c r="AE601" s="587" t="str">
        <f t="shared" si="177"/>
        <v/>
      </c>
    </row>
    <row r="602" spans="2:31">
      <c r="B602" s="586" t="s">
        <v>552</v>
      </c>
      <c r="C602" s="587"/>
      <c r="D602" s="588"/>
      <c r="E602" s="587"/>
      <c r="F602" s="587">
        <v>37.72</v>
      </c>
      <c r="G602" s="587">
        <v>26.3</v>
      </c>
      <c r="H602" s="589" t="s">
        <v>957</v>
      </c>
      <c r="I602" s="587">
        <f t="shared" si="171"/>
        <v>37.72</v>
      </c>
      <c r="J602" s="589" t="s">
        <v>957</v>
      </c>
      <c r="K602" s="587">
        <f t="shared" si="175"/>
        <v>26.3</v>
      </c>
      <c r="L602" s="587"/>
      <c r="M602" s="587" t="str">
        <f t="shared" si="174"/>
        <v/>
      </c>
      <c r="N602" s="587"/>
      <c r="O602" s="587" t="str">
        <f t="shared" si="169"/>
        <v/>
      </c>
      <c r="P602" s="587"/>
      <c r="Q602" s="587" t="str">
        <f t="shared" si="176"/>
        <v/>
      </c>
      <c r="R602" s="587"/>
      <c r="S602" s="587" t="str">
        <f t="shared" si="170"/>
        <v/>
      </c>
      <c r="T602" s="587"/>
      <c r="U602" s="587" t="str">
        <f t="shared" si="172"/>
        <v/>
      </c>
      <c r="V602" s="587" t="s">
        <v>957</v>
      </c>
      <c r="W602" s="587">
        <f t="shared" si="173"/>
        <v>37.72</v>
      </c>
      <c r="X602" s="587"/>
      <c r="Y602" s="587" t="str">
        <f t="shared" si="182"/>
        <v/>
      </c>
      <c r="Z602" s="587"/>
      <c r="AA602" s="587" t="str">
        <f t="shared" si="180"/>
        <v/>
      </c>
      <c r="AB602" s="587"/>
      <c r="AC602" s="587" t="str">
        <f t="shared" si="181"/>
        <v/>
      </c>
      <c r="AD602" s="586"/>
      <c r="AE602" s="587" t="str">
        <f t="shared" si="177"/>
        <v/>
      </c>
    </row>
    <row r="603" spans="2:31">
      <c r="B603" s="586" t="s">
        <v>428</v>
      </c>
      <c r="C603" s="587"/>
      <c r="D603" s="588"/>
      <c r="E603" s="587"/>
      <c r="F603" s="587">
        <v>4.6500000000000004</v>
      </c>
      <c r="G603" s="587">
        <v>9.1999999999999993</v>
      </c>
      <c r="H603" s="589" t="s">
        <v>957</v>
      </c>
      <c r="I603" s="587">
        <f t="shared" si="171"/>
        <v>4.6500000000000004</v>
      </c>
      <c r="J603" s="589" t="s">
        <v>957</v>
      </c>
      <c r="K603" s="587">
        <f t="shared" si="175"/>
        <v>9.1999999999999993</v>
      </c>
      <c r="L603" s="587"/>
      <c r="M603" s="587" t="str">
        <f t="shared" si="174"/>
        <v/>
      </c>
      <c r="N603" s="587"/>
      <c r="O603" s="587" t="str">
        <f t="shared" si="169"/>
        <v/>
      </c>
      <c r="P603" s="587"/>
      <c r="Q603" s="587" t="str">
        <f t="shared" si="176"/>
        <v/>
      </c>
      <c r="R603" s="587"/>
      <c r="S603" s="587" t="str">
        <f t="shared" si="170"/>
        <v/>
      </c>
      <c r="T603" s="587"/>
      <c r="U603" s="587" t="str">
        <f t="shared" si="172"/>
        <v/>
      </c>
      <c r="V603" s="587" t="s">
        <v>957</v>
      </c>
      <c r="W603" s="587">
        <f t="shared" si="173"/>
        <v>4.6500000000000004</v>
      </c>
      <c r="X603" s="587"/>
      <c r="Y603" s="587" t="str">
        <f t="shared" si="182"/>
        <v/>
      </c>
      <c r="Z603" s="587"/>
      <c r="AA603" s="587" t="str">
        <f t="shared" si="180"/>
        <v/>
      </c>
      <c r="AB603" s="587"/>
      <c r="AC603" s="587" t="str">
        <f t="shared" si="181"/>
        <v/>
      </c>
      <c r="AD603" s="586"/>
      <c r="AE603" s="587" t="str">
        <f t="shared" si="177"/>
        <v/>
      </c>
    </row>
    <row r="604" spans="2:31">
      <c r="B604" s="586" t="s">
        <v>553</v>
      </c>
      <c r="C604" s="587"/>
      <c r="D604" s="588"/>
      <c r="E604" s="587"/>
      <c r="F604" s="587">
        <v>37.72</v>
      </c>
      <c r="G604" s="587">
        <v>26.3</v>
      </c>
      <c r="H604" s="589" t="s">
        <v>957</v>
      </c>
      <c r="I604" s="587">
        <f t="shared" si="171"/>
        <v>37.72</v>
      </c>
      <c r="J604" s="589" t="s">
        <v>957</v>
      </c>
      <c r="K604" s="587">
        <f t="shared" si="175"/>
        <v>26.3</v>
      </c>
      <c r="L604" s="587"/>
      <c r="M604" s="587" t="str">
        <f t="shared" si="174"/>
        <v/>
      </c>
      <c r="N604" s="587"/>
      <c r="O604" s="587" t="str">
        <f t="shared" si="169"/>
        <v/>
      </c>
      <c r="P604" s="587"/>
      <c r="Q604" s="587" t="str">
        <f t="shared" si="176"/>
        <v/>
      </c>
      <c r="R604" s="587"/>
      <c r="S604" s="587" t="str">
        <f t="shared" si="170"/>
        <v/>
      </c>
      <c r="T604" s="587"/>
      <c r="U604" s="587" t="str">
        <f t="shared" si="172"/>
        <v/>
      </c>
      <c r="V604" s="587" t="s">
        <v>957</v>
      </c>
      <c r="W604" s="587">
        <f t="shared" si="173"/>
        <v>37.72</v>
      </c>
      <c r="X604" s="587"/>
      <c r="Y604" s="587" t="str">
        <f t="shared" si="182"/>
        <v/>
      </c>
      <c r="Z604" s="587"/>
      <c r="AA604" s="587" t="str">
        <f t="shared" si="180"/>
        <v/>
      </c>
      <c r="AB604" s="587"/>
      <c r="AC604" s="587" t="str">
        <f t="shared" si="181"/>
        <v/>
      </c>
      <c r="AD604" s="586"/>
      <c r="AE604" s="587" t="str">
        <f t="shared" si="177"/>
        <v/>
      </c>
    </row>
    <row r="605" spans="2:31">
      <c r="B605" s="586" t="s">
        <v>428</v>
      </c>
      <c r="C605" s="587"/>
      <c r="D605" s="588"/>
      <c r="E605" s="587"/>
      <c r="F605" s="587">
        <v>4.6500000000000004</v>
      </c>
      <c r="G605" s="587">
        <v>9.1999999999999993</v>
      </c>
      <c r="H605" s="589" t="s">
        <v>957</v>
      </c>
      <c r="I605" s="587">
        <f t="shared" si="171"/>
        <v>4.6500000000000004</v>
      </c>
      <c r="J605" s="589" t="s">
        <v>957</v>
      </c>
      <c r="K605" s="587">
        <f t="shared" si="175"/>
        <v>9.1999999999999993</v>
      </c>
      <c r="L605" s="587"/>
      <c r="M605" s="587" t="str">
        <f t="shared" si="174"/>
        <v/>
      </c>
      <c r="N605" s="587"/>
      <c r="O605" s="587" t="str">
        <f t="shared" si="169"/>
        <v/>
      </c>
      <c r="P605" s="587"/>
      <c r="Q605" s="587" t="str">
        <f t="shared" si="176"/>
        <v/>
      </c>
      <c r="R605" s="587"/>
      <c r="S605" s="587" t="str">
        <f t="shared" si="170"/>
        <v/>
      </c>
      <c r="T605" s="587"/>
      <c r="U605" s="587" t="str">
        <f t="shared" si="172"/>
        <v/>
      </c>
      <c r="V605" s="587" t="s">
        <v>957</v>
      </c>
      <c r="W605" s="587">
        <f t="shared" si="173"/>
        <v>4.6500000000000004</v>
      </c>
      <c r="X605" s="587"/>
      <c r="Y605" s="587" t="str">
        <f t="shared" si="182"/>
        <v/>
      </c>
      <c r="Z605" s="587"/>
      <c r="AA605" s="587" t="str">
        <f t="shared" si="180"/>
        <v/>
      </c>
      <c r="AB605" s="587"/>
      <c r="AC605" s="587" t="str">
        <f t="shared" si="181"/>
        <v/>
      </c>
      <c r="AD605" s="586"/>
      <c r="AE605" s="587" t="str">
        <f t="shared" si="177"/>
        <v/>
      </c>
    </row>
    <row r="606" spans="2:31">
      <c r="B606" s="586" t="s">
        <v>554</v>
      </c>
      <c r="C606" s="587"/>
      <c r="D606" s="588"/>
      <c r="E606" s="587"/>
      <c r="F606" s="587">
        <v>37.72</v>
      </c>
      <c r="G606" s="587">
        <v>26.3</v>
      </c>
      <c r="H606" s="589" t="s">
        <v>957</v>
      </c>
      <c r="I606" s="587">
        <f t="shared" si="171"/>
        <v>37.72</v>
      </c>
      <c r="J606" s="589" t="s">
        <v>957</v>
      </c>
      <c r="K606" s="587">
        <f t="shared" si="175"/>
        <v>26.3</v>
      </c>
      <c r="L606" s="587"/>
      <c r="M606" s="587" t="str">
        <f t="shared" si="174"/>
        <v/>
      </c>
      <c r="N606" s="587"/>
      <c r="O606" s="587" t="str">
        <f t="shared" si="169"/>
        <v/>
      </c>
      <c r="P606" s="587"/>
      <c r="Q606" s="587" t="str">
        <f t="shared" si="176"/>
        <v/>
      </c>
      <c r="R606" s="587"/>
      <c r="S606" s="587" t="str">
        <f t="shared" si="170"/>
        <v/>
      </c>
      <c r="T606" s="587"/>
      <c r="U606" s="587" t="str">
        <f t="shared" si="172"/>
        <v/>
      </c>
      <c r="V606" s="587" t="s">
        <v>957</v>
      </c>
      <c r="W606" s="587">
        <f t="shared" si="173"/>
        <v>37.72</v>
      </c>
      <c r="X606" s="587"/>
      <c r="Y606" s="587" t="str">
        <f t="shared" si="182"/>
        <v/>
      </c>
      <c r="Z606" s="587"/>
      <c r="AA606" s="587" t="str">
        <f t="shared" si="180"/>
        <v/>
      </c>
      <c r="AB606" s="587"/>
      <c r="AC606" s="587" t="str">
        <f t="shared" si="181"/>
        <v/>
      </c>
      <c r="AD606" s="586"/>
      <c r="AE606" s="587" t="str">
        <f t="shared" si="177"/>
        <v/>
      </c>
    </row>
    <row r="607" spans="2:31">
      <c r="B607" s="586" t="s">
        <v>428</v>
      </c>
      <c r="C607" s="587"/>
      <c r="D607" s="588"/>
      <c r="E607" s="587"/>
      <c r="F607" s="587">
        <v>4.6500000000000004</v>
      </c>
      <c r="G607" s="587">
        <v>9.1999999999999993</v>
      </c>
      <c r="H607" s="589" t="s">
        <v>957</v>
      </c>
      <c r="I607" s="587">
        <f t="shared" si="171"/>
        <v>4.6500000000000004</v>
      </c>
      <c r="J607" s="589" t="s">
        <v>957</v>
      </c>
      <c r="K607" s="587">
        <f t="shared" si="175"/>
        <v>9.1999999999999993</v>
      </c>
      <c r="L607" s="587"/>
      <c r="M607" s="587" t="str">
        <f t="shared" si="174"/>
        <v/>
      </c>
      <c r="N607" s="587"/>
      <c r="O607" s="587" t="str">
        <f t="shared" si="169"/>
        <v/>
      </c>
      <c r="P607" s="587"/>
      <c r="Q607" s="587" t="str">
        <f t="shared" si="176"/>
        <v/>
      </c>
      <c r="R607" s="587"/>
      <c r="S607" s="587" t="str">
        <f t="shared" si="170"/>
        <v/>
      </c>
      <c r="T607" s="587"/>
      <c r="U607" s="587" t="str">
        <f t="shared" si="172"/>
        <v/>
      </c>
      <c r="V607" s="587" t="s">
        <v>957</v>
      </c>
      <c r="W607" s="587">
        <f t="shared" si="173"/>
        <v>4.6500000000000004</v>
      </c>
      <c r="X607" s="587"/>
      <c r="Y607" s="587" t="str">
        <f t="shared" si="182"/>
        <v/>
      </c>
      <c r="Z607" s="587"/>
      <c r="AA607" s="587" t="str">
        <f t="shared" si="180"/>
        <v/>
      </c>
      <c r="AB607" s="587"/>
      <c r="AC607" s="587" t="str">
        <f t="shared" si="181"/>
        <v/>
      </c>
      <c r="AD607" s="586"/>
      <c r="AE607" s="587" t="str">
        <f t="shared" si="177"/>
        <v/>
      </c>
    </row>
    <row r="608" spans="2:31">
      <c r="B608" s="586" t="s">
        <v>555</v>
      </c>
      <c r="C608" s="587"/>
      <c r="D608" s="588"/>
      <c r="E608" s="587"/>
      <c r="F608" s="587">
        <v>37.72</v>
      </c>
      <c r="G608" s="587">
        <v>26.3</v>
      </c>
      <c r="H608" s="589" t="s">
        <v>957</v>
      </c>
      <c r="I608" s="587">
        <f t="shared" si="171"/>
        <v>37.72</v>
      </c>
      <c r="J608" s="589" t="s">
        <v>957</v>
      </c>
      <c r="K608" s="587">
        <f t="shared" si="175"/>
        <v>26.3</v>
      </c>
      <c r="L608" s="587"/>
      <c r="M608" s="587" t="str">
        <f t="shared" si="174"/>
        <v/>
      </c>
      <c r="N608" s="587"/>
      <c r="O608" s="587" t="str">
        <f t="shared" si="169"/>
        <v/>
      </c>
      <c r="P608" s="587"/>
      <c r="Q608" s="587" t="str">
        <f t="shared" si="176"/>
        <v/>
      </c>
      <c r="R608" s="587"/>
      <c r="S608" s="587" t="str">
        <f t="shared" si="170"/>
        <v/>
      </c>
      <c r="T608" s="587"/>
      <c r="U608" s="587" t="str">
        <f t="shared" si="172"/>
        <v/>
      </c>
      <c r="V608" s="587" t="s">
        <v>957</v>
      </c>
      <c r="W608" s="587">
        <f t="shared" si="173"/>
        <v>37.72</v>
      </c>
      <c r="X608" s="587"/>
      <c r="Y608" s="587" t="str">
        <f t="shared" si="182"/>
        <v/>
      </c>
      <c r="Z608" s="587"/>
      <c r="AA608" s="587" t="str">
        <f t="shared" si="180"/>
        <v/>
      </c>
      <c r="AB608" s="587"/>
      <c r="AC608" s="587" t="str">
        <f t="shared" si="181"/>
        <v/>
      </c>
      <c r="AD608" s="586"/>
      <c r="AE608" s="587" t="str">
        <f t="shared" si="177"/>
        <v/>
      </c>
    </row>
    <row r="609" spans="2:31">
      <c r="B609" s="586" t="s">
        <v>428</v>
      </c>
      <c r="C609" s="587"/>
      <c r="D609" s="588"/>
      <c r="E609" s="587"/>
      <c r="F609" s="587">
        <v>4.6500000000000004</v>
      </c>
      <c r="G609" s="587">
        <v>9.1999999999999993</v>
      </c>
      <c r="H609" s="589" t="s">
        <v>957</v>
      </c>
      <c r="I609" s="587">
        <f t="shared" si="171"/>
        <v>4.6500000000000004</v>
      </c>
      <c r="J609" s="589" t="s">
        <v>957</v>
      </c>
      <c r="K609" s="587">
        <f t="shared" si="175"/>
        <v>9.1999999999999993</v>
      </c>
      <c r="L609" s="587"/>
      <c r="M609" s="587" t="str">
        <f t="shared" si="174"/>
        <v/>
      </c>
      <c r="N609" s="587"/>
      <c r="O609" s="587" t="str">
        <f t="shared" si="169"/>
        <v/>
      </c>
      <c r="P609" s="587"/>
      <c r="Q609" s="587" t="str">
        <f t="shared" si="176"/>
        <v/>
      </c>
      <c r="R609" s="587"/>
      <c r="S609" s="587" t="str">
        <f t="shared" si="170"/>
        <v/>
      </c>
      <c r="T609" s="587"/>
      <c r="U609" s="587" t="str">
        <f t="shared" si="172"/>
        <v/>
      </c>
      <c r="V609" s="587" t="s">
        <v>957</v>
      </c>
      <c r="W609" s="587">
        <f t="shared" si="173"/>
        <v>4.6500000000000004</v>
      </c>
      <c r="X609" s="587"/>
      <c r="Y609" s="587" t="str">
        <f t="shared" si="182"/>
        <v/>
      </c>
      <c r="Z609" s="587"/>
      <c r="AA609" s="587" t="str">
        <f t="shared" si="180"/>
        <v/>
      </c>
      <c r="AB609" s="587"/>
      <c r="AC609" s="587" t="str">
        <f t="shared" si="181"/>
        <v/>
      </c>
      <c r="AD609" s="586"/>
      <c r="AE609" s="587" t="str">
        <f t="shared" si="177"/>
        <v/>
      </c>
    </row>
    <row r="610" spans="2:31">
      <c r="B610" s="586" t="s">
        <v>307</v>
      </c>
      <c r="C610" s="587">
        <v>2.25</v>
      </c>
      <c r="D610" s="588" t="s">
        <v>957</v>
      </c>
      <c r="E610" s="587">
        <v>3.65</v>
      </c>
      <c r="F610" s="587">
        <f>C610*E610</f>
        <v>8.2125000000000004</v>
      </c>
      <c r="G610" s="587">
        <f>(C610+E610)*2</f>
        <v>11.8</v>
      </c>
      <c r="H610" s="589"/>
      <c r="I610" s="587" t="str">
        <f t="shared" si="171"/>
        <v/>
      </c>
      <c r="J610" s="589"/>
      <c r="K610" s="587" t="str">
        <f t="shared" si="175"/>
        <v/>
      </c>
      <c r="L610" s="587" t="s">
        <v>952</v>
      </c>
      <c r="M610" s="587">
        <f t="shared" si="174"/>
        <v>8.2125000000000004</v>
      </c>
      <c r="N610" s="587"/>
      <c r="O610" s="587" t="str">
        <f t="shared" si="169"/>
        <v/>
      </c>
      <c r="P610" s="587"/>
      <c r="Q610" s="587" t="str">
        <f t="shared" si="176"/>
        <v/>
      </c>
      <c r="R610" s="587"/>
      <c r="S610" s="587" t="str">
        <f t="shared" si="170"/>
        <v/>
      </c>
      <c r="T610" s="587"/>
      <c r="U610" s="587" t="str">
        <f t="shared" si="172"/>
        <v/>
      </c>
      <c r="V610" s="587" t="s">
        <v>957</v>
      </c>
      <c r="W610" s="587">
        <f t="shared" si="173"/>
        <v>8.2125000000000004</v>
      </c>
      <c r="X610" s="587"/>
      <c r="Y610" s="587" t="str">
        <f t="shared" si="182"/>
        <v/>
      </c>
      <c r="Z610" s="587"/>
      <c r="AA610" s="587" t="str">
        <f t="shared" si="180"/>
        <v/>
      </c>
      <c r="AB610" s="587"/>
      <c r="AC610" s="587" t="str">
        <f t="shared" si="181"/>
        <v/>
      </c>
      <c r="AD610" s="586"/>
      <c r="AE610" s="587" t="str">
        <f t="shared" si="177"/>
        <v/>
      </c>
    </row>
    <row r="611" spans="2:31">
      <c r="B611" s="586" t="s">
        <v>437</v>
      </c>
      <c r="C611" s="587">
        <v>8.17</v>
      </c>
      <c r="D611" s="588"/>
      <c r="E611" s="587">
        <v>6.8</v>
      </c>
      <c r="F611" s="587">
        <f>C611*E611</f>
        <v>55.555999999999997</v>
      </c>
      <c r="G611" s="587">
        <f>(C611+E611)*2</f>
        <v>29.939999999999998</v>
      </c>
      <c r="H611" s="589"/>
      <c r="I611" s="587" t="str">
        <f t="shared" si="171"/>
        <v/>
      </c>
      <c r="J611" s="589"/>
      <c r="K611" s="587" t="str">
        <f t="shared" si="175"/>
        <v/>
      </c>
      <c r="L611" s="587"/>
      <c r="M611" s="587" t="str">
        <f t="shared" si="174"/>
        <v/>
      </c>
      <c r="N611" s="587"/>
      <c r="O611" s="587" t="str">
        <f t="shared" si="169"/>
        <v/>
      </c>
      <c r="P611" s="587"/>
      <c r="Q611" s="587" t="str">
        <f t="shared" si="176"/>
        <v/>
      </c>
      <c r="R611" s="587"/>
      <c r="S611" s="587" t="str">
        <f t="shared" si="170"/>
        <v/>
      </c>
      <c r="T611" s="587" t="s">
        <v>952</v>
      </c>
      <c r="U611" s="587">
        <f t="shared" si="172"/>
        <v>55.555999999999997</v>
      </c>
      <c r="V611" s="587"/>
      <c r="W611" s="587" t="str">
        <f t="shared" si="173"/>
        <v/>
      </c>
      <c r="X611" s="587"/>
      <c r="Y611" s="587" t="str">
        <f t="shared" si="182"/>
        <v/>
      </c>
      <c r="Z611" s="587"/>
      <c r="AA611" s="587" t="str">
        <f t="shared" si="180"/>
        <v/>
      </c>
      <c r="AB611" s="587"/>
      <c r="AC611" s="587" t="str">
        <f t="shared" si="181"/>
        <v/>
      </c>
      <c r="AD611" s="586"/>
      <c r="AE611" s="587" t="str">
        <f t="shared" si="177"/>
        <v/>
      </c>
    </row>
    <row r="612" spans="2:31">
      <c r="B612" s="586" t="s">
        <v>418</v>
      </c>
      <c r="C612" s="587"/>
      <c r="D612" s="588"/>
      <c r="E612" s="587"/>
      <c r="F612" s="587">
        <v>404.82</v>
      </c>
      <c r="G612" s="587">
        <v>254.55</v>
      </c>
      <c r="H612" s="589" t="s">
        <v>952</v>
      </c>
      <c r="I612" s="587">
        <f t="shared" si="171"/>
        <v>404.82</v>
      </c>
      <c r="J612" s="589" t="s">
        <v>952</v>
      </c>
      <c r="K612" s="587">
        <f t="shared" si="175"/>
        <v>254.55</v>
      </c>
      <c r="L612" s="587"/>
      <c r="M612" s="587" t="str">
        <f t="shared" si="174"/>
        <v/>
      </c>
      <c r="N612" s="587"/>
      <c r="O612" s="587" t="str">
        <f t="shared" si="169"/>
        <v/>
      </c>
      <c r="P612" s="587"/>
      <c r="Q612" s="587" t="str">
        <f t="shared" si="176"/>
        <v/>
      </c>
      <c r="R612" s="587"/>
      <c r="S612" s="587" t="str">
        <f t="shared" si="170"/>
        <v/>
      </c>
      <c r="T612" s="587"/>
      <c r="U612" s="587" t="str">
        <f t="shared" si="172"/>
        <v/>
      </c>
      <c r="V612" s="587"/>
      <c r="W612" s="587" t="str">
        <f t="shared" si="173"/>
        <v/>
      </c>
      <c r="X612" s="587" t="s">
        <v>957</v>
      </c>
      <c r="Y612" s="587">
        <f t="shared" si="182"/>
        <v>404.82</v>
      </c>
      <c r="Z612" s="587"/>
      <c r="AA612" s="587" t="str">
        <f t="shared" si="180"/>
        <v/>
      </c>
      <c r="AB612" s="587"/>
      <c r="AC612" s="587" t="str">
        <f t="shared" si="181"/>
        <v/>
      </c>
      <c r="AD612" s="586"/>
      <c r="AE612" s="587" t="str">
        <f t="shared" si="177"/>
        <v/>
      </c>
    </row>
    <row r="613" spans="2:31">
      <c r="B613" s="590" t="s">
        <v>457</v>
      </c>
      <c r="C613" s="596">
        <v>3.5</v>
      </c>
      <c r="D613" s="597" t="s">
        <v>957</v>
      </c>
      <c r="E613" s="596">
        <v>6.62</v>
      </c>
      <c r="F613" s="596">
        <f>C613*E613</f>
        <v>23.17</v>
      </c>
      <c r="G613" s="596">
        <f>(C613+E613)*2</f>
        <v>20.240000000000002</v>
      </c>
      <c r="H613" s="589"/>
      <c r="I613" s="587" t="str">
        <f t="shared" si="171"/>
        <v/>
      </c>
      <c r="J613" s="589"/>
      <c r="K613" s="587" t="str">
        <f t="shared" si="175"/>
        <v/>
      </c>
      <c r="L613" s="587" t="s">
        <v>952</v>
      </c>
      <c r="M613" s="587">
        <f t="shared" si="174"/>
        <v>23.17</v>
      </c>
      <c r="N613" s="587"/>
      <c r="O613" s="587" t="str">
        <f t="shared" si="169"/>
        <v/>
      </c>
      <c r="P613" s="587"/>
      <c r="Q613" s="587" t="str">
        <f t="shared" si="176"/>
        <v/>
      </c>
      <c r="R613" s="587"/>
      <c r="S613" s="587" t="str">
        <f t="shared" si="170"/>
        <v/>
      </c>
      <c r="T613" s="587"/>
      <c r="U613" s="587" t="str">
        <f t="shared" si="172"/>
        <v/>
      </c>
      <c r="V613" s="587"/>
      <c r="W613" s="587" t="str">
        <f t="shared" si="173"/>
        <v/>
      </c>
      <c r="X613" s="587"/>
      <c r="Y613" s="587" t="str">
        <f t="shared" si="182"/>
        <v/>
      </c>
      <c r="Z613" s="587"/>
      <c r="AA613" s="587" t="str">
        <f t="shared" si="180"/>
        <v/>
      </c>
      <c r="AB613" s="587" t="s">
        <v>952</v>
      </c>
      <c r="AC613" s="587">
        <f t="shared" si="181"/>
        <v>23.17</v>
      </c>
      <c r="AD613" s="586"/>
      <c r="AE613" s="587" t="str">
        <f t="shared" si="177"/>
        <v/>
      </c>
    </row>
    <row r="614" spans="2:31">
      <c r="B614" s="590" t="s">
        <v>458</v>
      </c>
      <c r="C614" s="596">
        <v>3.5</v>
      </c>
      <c r="D614" s="597" t="s">
        <v>957</v>
      </c>
      <c r="E614" s="596">
        <v>6.62</v>
      </c>
      <c r="F614" s="596">
        <f>C614*E614</f>
        <v>23.17</v>
      </c>
      <c r="G614" s="596">
        <f>(C614+E614)*2</f>
        <v>20.240000000000002</v>
      </c>
      <c r="H614" s="589"/>
      <c r="I614" s="587" t="str">
        <f t="shared" si="171"/>
        <v/>
      </c>
      <c r="J614" s="589"/>
      <c r="K614" s="587" t="str">
        <f t="shared" si="175"/>
        <v/>
      </c>
      <c r="L614" s="587" t="s">
        <v>952</v>
      </c>
      <c r="M614" s="587">
        <f t="shared" si="174"/>
        <v>23.17</v>
      </c>
      <c r="N614" s="587"/>
      <c r="O614" s="587" t="str">
        <f t="shared" ref="O614:O664" si="183">IF(N614="x",F614,"")</f>
        <v/>
      </c>
      <c r="P614" s="587"/>
      <c r="Q614" s="587" t="str">
        <f t="shared" si="176"/>
        <v/>
      </c>
      <c r="R614" s="587"/>
      <c r="S614" s="587" t="str">
        <f t="shared" ref="S614:S664" si="184">IF(R614="x",F614,"")</f>
        <v/>
      </c>
      <c r="T614" s="587"/>
      <c r="U614" s="587" t="str">
        <f t="shared" si="172"/>
        <v/>
      </c>
      <c r="V614" s="587"/>
      <c r="W614" s="587" t="str">
        <f t="shared" si="173"/>
        <v/>
      </c>
      <c r="X614" s="587"/>
      <c r="Y614" s="587" t="str">
        <f t="shared" si="182"/>
        <v/>
      </c>
      <c r="Z614" s="587"/>
      <c r="AA614" s="587" t="str">
        <f t="shared" si="180"/>
        <v/>
      </c>
      <c r="AB614" s="587" t="s">
        <v>952</v>
      </c>
      <c r="AC614" s="587">
        <f t="shared" si="181"/>
        <v>23.17</v>
      </c>
      <c r="AD614" s="586"/>
      <c r="AE614" s="587" t="str">
        <f t="shared" si="177"/>
        <v/>
      </c>
    </row>
    <row r="615" spans="2:31">
      <c r="B615" s="590" t="s">
        <v>459</v>
      </c>
      <c r="C615" s="596">
        <v>2.9</v>
      </c>
      <c r="D615" s="597" t="s">
        <v>957</v>
      </c>
      <c r="E615" s="596">
        <v>6.65</v>
      </c>
      <c r="F615" s="596">
        <f>C615*E615</f>
        <v>19.285</v>
      </c>
      <c r="G615" s="596">
        <f>(C615+E615)*2</f>
        <v>19.100000000000001</v>
      </c>
      <c r="H615" s="589"/>
      <c r="I615" s="587" t="str">
        <f t="shared" si="171"/>
        <v/>
      </c>
      <c r="J615" s="589"/>
      <c r="K615" s="587" t="str">
        <f t="shared" si="175"/>
        <v/>
      </c>
      <c r="L615" s="587" t="s">
        <v>952</v>
      </c>
      <c r="M615" s="587">
        <f t="shared" si="174"/>
        <v>19.285</v>
      </c>
      <c r="N615" s="587"/>
      <c r="O615" s="587" t="str">
        <f t="shared" si="183"/>
        <v/>
      </c>
      <c r="P615" s="587"/>
      <c r="Q615" s="587" t="str">
        <f t="shared" si="176"/>
        <v/>
      </c>
      <c r="R615" s="587"/>
      <c r="S615" s="587" t="str">
        <f t="shared" si="184"/>
        <v/>
      </c>
      <c r="T615" s="587"/>
      <c r="U615" s="587" t="str">
        <f t="shared" si="172"/>
        <v/>
      </c>
      <c r="V615" s="587"/>
      <c r="W615" s="587" t="str">
        <f t="shared" si="173"/>
        <v/>
      </c>
      <c r="X615" s="587"/>
      <c r="Y615" s="587" t="str">
        <f t="shared" si="182"/>
        <v/>
      </c>
      <c r="Z615" s="587"/>
      <c r="AA615" s="587" t="str">
        <f t="shared" si="180"/>
        <v/>
      </c>
      <c r="AB615" s="587" t="s">
        <v>952</v>
      </c>
      <c r="AC615" s="587">
        <f t="shared" si="181"/>
        <v>19.285</v>
      </c>
      <c r="AD615" s="586"/>
      <c r="AE615" s="587" t="str">
        <f t="shared" si="177"/>
        <v/>
      </c>
    </row>
    <row r="616" spans="2:31">
      <c r="B616" s="582" t="s">
        <v>971</v>
      </c>
      <c r="C616" s="583"/>
      <c r="D616" s="583"/>
      <c r="E616" s="583"/>
      <c r="F616" s="583"/>
      <c r="G616" s="583"/>
      <c r="H616" s="584"/>
      <c r="I616" s="583"/>
      <c r="J616" s="584"/>
      <c r="K616" s="587" t="str">
        <f t="shared" si="175"/>
        <v/>
      </c>
      <c r="L616" s="583"/>
      <c r="M616" s="583"/>
      <c r="N616" s="583"/>
      <c r="O616" s="583"/>
      <c r="P616" s="583"/>
      <c r="Q616" s="587" t="str">
        <f t="shared" si="176"/>
        <v/>
      </c>
      <c r="R616" s="583"/>
      <c r="S616" s="583"/>
      <c r="T616" s="583"/>
      <c r="U616" s="583"/>
      <c r="V616" s="583"/>
      <c r="W616" s="583"/>
      <c r="X616" s="583"/>
      <c r="Y616" s="587" t="str">
        <f t="shared" si="182"/>
        <v/>
      </c>
      <c r="Z616" s="583"/>
      <c r="AA616" s="587" t="str">
        <f t="shared" si="180"/>
        <v/>
      </c>
      <c r="AB616" s="583"/>
      <c r="AC616" s="587" t="str">
        <f t="shared" si="181"/>
        <v/>
      </c>
      <c r="AD616" s="586"/>
      <c r="AE616" s="587" t="str">
        <f t="shared" si="177"/>
        <v/>
      </c>
    </row>
    <row r="617" spans="2:31">
      <c r="B617" s="586" t="s">
        <v>295</v>
      </c>
      <c r="C617" s="587"/>
      <c r="D617" s="588"/>
      <c r="E617" s="587"/>
      <c r="F617" s="587">
        <f>2.5*(13.75*4+2.15*2)+5.15*2*3</f>
        <v>179.15</v>
      </c>
      <c r="G617" s="587"/>
      <c r="H617" s="589"/>
      <c r="I617" s="587" t="str">
        <f t="shared" ref="I617:I660" si="185">IF(H617="x",F617,"")</f>
        <v/>
      </c>
      <c r="J617" s="589"/>
      <c r="K617" s="587" t="str">
        <f t="shared" si="175"/>
        <v/>
      </c>
      <c r="L617" s="587" t="s">
        <v>952</v>
      </c>
      <c r="M617" s="587">
        <f t="shared" si="174"/>
        <v>179.15</v>
      </c>
      <c r="N617" s="587"/>
      <c r="O617" s="587" t="str">
        <f t="shared" si="183"/>
        <v/>
      </c>
      <c r="P617" s="587"/>
      <c r="Q617" s="587" t="str">
        <f t="shared" si="176"/>
        <v/>
      </c>
      <c r="R617" s="587"/>
      <c r="S617" s="587" t="str">
        <f t="shared" si="184"/>
        <v/>
      </c>
      <c r="T617" s="587"/>
      <c r="U617" s="587" t="str">
        <f t="shared" ref="U617:U660" si="186">IF(T617="x",F617,"")</f>
        <v/>
      </c>
      <c r="V617" s="587"/>
      <c r="W617" s="587" t="str">
        <f t="shared" ref="W617:W660" si="187">IF(V617="x",F617,"")</f>
        <v/>
      </c>
      <c r="X617" s="587"/>
      <c r="Y617" s="587" t="str">
        <f t="shared" si="182"/>
        <v/>
      </c>
      <c r="Z617" s="587"/>
      <c r="AA617" s="587" t="str">
        <f t="shared" si="180"/>
        <v/>
      </c>
      <c r="AB617" s="587" t="s">
        <v>952</v>
      </c>
      <c r="AC617" s="587">
        <f t="shared" si="181"/>
        <v>179.15</v>
      </c>
      <c r="AD617" s="586"/>
      <c r="AE617" s="587" t="str">
        <f t="shared" si="177"/>
        <v/>
      </c>
    </row>
    <row r="618" spans="2:31">
      <c r="B618" s="586" t="s">
        <v>296</v>
      </c>
      <c r="C618" s="587"/>
      <c r="D618" s="588"/>
      <c r="E618" s="587"/>
      <c r="F618" s="587">
        <v>139.33000000000001</v>
      </c>
      <c r="G618" s="587">
        <v>64.38</v>
      </c>
      <c r="H618" s="589" t="s">
        <v>957</v>
      </c>
      <c r="I618" s="587">
        <f t="shared" si="185"/>
        <v>139.33000000000001</v>
      </c>
      <c r="J618" s="589" t="s">
        <v>957</v>
      </c>
      <c r="K618" s="587">
        <f t="shared" si="175"/>
        <v>64.38</v>
      </c>
      <c r="L618" s="587"/>
      <c r="M618" s="587" t="str">
        <f t="shared" si="174"/>
        <v/>
      </c>
      <c r="N618" s="587"/>
      <c r="O618" s="587" t="str">
        <f t="shared" si="183"/>
        <v/>
      </c>
      <c r="P618" s="587"/>
      <c r="Q618" s="587" t="str">
        <f t="shared" si="176"/>
        <v/>
      </c>
      <c r="R618" s="587"/>
      <c r="S618" s="587" t="str">
        <f t="shared" si="184"/>
        <v/>
      </c>
      <c r="T618" s="587"/>
      <c r="U618" s="587" t="str">
        <f t="shared" si="186"/>
        <v/>
      </c>
      <c r="V618" s="587"/>
      <c r="W618" s="587" t="str">
        <f t="shared" si="187"/>
        <v/>
      </c>
      <c r="X618" s="587" t="s">
        <v>957</v>
      </c>
      <c r="Y618" s="587">
        <f t="shared" si="182"/>
        <v>139.33000000000001</v>
      </c>
      <c r="Z618" s="587"/>
      <c r="AA618" s="587" t="str">
        <f t="shared" si="180"/>
        <v/>
      </c>
      <c r="AB618" s="587"/>
      <c r="AC618" s="587" t="str">
        <f t="shared" si="181"/>
        <v/>
      </c>
      <c r="AD618" s="586"/>
      <c r="AE618" s="587" t="str">
        <f t="shared" si="177"/>
        <v/>
      </c>
    </row>
    <row r="619" spans="2:31">
      <c r="B619" s="586" t="s">
        <v>556</v>
      </c>
      <c r="C619" s="587">
        <v>4.2119999999999997</v>
      </c>
      <c r="D619" s="588" t="s">
        <v>957</v>
      </c>
      <c r="E619" s="587">
        <v>9.82</v>
      </c>
      <c r="F619" s="587">
        <f>C619*E619</f>
        <v>41.361840000000001</v>
      </c>
      <c r="G619" s="587">
        <f>(C619+E619)*2</f>
        <v>28.064</v>
      </c>
      <c r="H619" s="589" t="s">
        <v>957</v>
      </c>
      <c r="I619" s="587">
        <f t="shared" si="185"/>
        <v>41.361840000000001</v>
      </c>
      <c r="J619" s="589" t="s">
        <v>957</v>
      </c>
      <c r="K619" s="587">
        <f t="shared" si="175"/>
        <v>28.064</v>
      </c>
      <c r="L619" s="587"/>
      <c r="M619" s="587" t="str">
        <f t="shared" si="174"/>
        <v/>
      </c>
      <c r="N619" s="587"/>
      <c r="O619" s="587" t="str">
        <f t="shared" si="183"/>
        <v/>
      </c>
      <c r="P619" s="587"/>
      <c r="Q619" s="587" t="str">
        <f t="shared" si="176"/>
        <v/>
      </c>
      <c r="R619" s="587"/>
      <c r="S619" s="587" t="str">
        <f t="shared" si="184"/>
        <v/>
      </c>
      <c r="T619" s="587"/>
      <c r="U619" s="587" t="str">
        <f t="shared" si="186"/>
        <v/>
      </c>
      <c r="V619" s="587" t="s">
        <v>957</v>
      </c>
      <c r="W619" s="587">
        <f t="shared" si="187"/>
        <v>41.361840000000001</v>
      </c>
      <c r="X619" s="587"/>
      <c r="Y619" s="587" t="str">
        <f t="shared" si="182"/>
        <v/>
      </c>
      <c r="Z619" s="587"/>
      <c r="AA619" s="587" t="str">
        <f t="shared" si="180"/>
        <v/>
      </c>
      <c r="AB619" s="587"/>
      <c r="AC619" s="587" t="str">
        <f t="shared" si="181"/>
        <v/>
      </c>
      <c r="AD619" s="586"/>
      <c r="AE619" s="587" t="str">
        <f t="shared" si="177"/>
        <v/>
      </c>
    </row>
    <row r="620" spans="2:31">
      <c r="B620" s="586" t="s">
        <v>297</v>
      </c>
      <c r="C620" s="587">
        <v>3</v>
      </c>
      <c r="D620" s="588" t="s">
        <v>957</v>
      </c>
      <c r="E620" s="587">
        <v>4.1500000000000004</v>
      </c>
      <c r="F620" s="587">
        <f>C620*E620</f>
        <v>12.450000000000001</v>
      </c>
      <c r="G620" s="587">
        <f>(C620+E620)*2</f>
        <v>14.3</v>
      </c>
      <c r="H620" s="589" t="s">
        <v>957</v>
      </c>
      <c r="I620" s="587">
        <f t="shared" si="185"/>
        <v>12.450000000000001</v>
      </c>
      <c r="J620" s="589" t="s">
        <v>957</v>
      </c>
      <c r="K620" s="587">
        <f t="shared" si="175"/>
        <v>14.3</v>
      </c>
      <c r="L620" s="587"/>
      <c r="M620" s="587" t="str">
        <f t="shared" si="174"/>
        <v/>
      </c>
      <c r="N620" s="587"/>
      <c r="O620" s="587" t="str">
        <f t="shared" si="183"/>
        <v/>
      </c>
      <c r="P620" s="587"/>
      <c r="Q620" s="587" t="str">
        <f t="shared" si="176"/>
        <v/>
      </c>
      <c r="R620" s="587"/>
      <c r="S620" s="587" t="str">
        <f t="shared" si="184"/>
        <v/>
      </c>
      <c r="T620" s="587"/>
      <c r="U620" s="587" t="str">
        <f t="shared" si="186"/>
        <v/>
      </c>
      <c r="V620" s="587"/>
      <c r="W620" s="587" t="str">
        <f t="shared" si="187"/>
        <v/>
      </c>
      <c r="X620" s="587" t="s">
        <v>957</v>
      </c>
      <c r="Y620" s="587">
        <f t="shared" si="182"/>
        <v>12.450000000000001</v>
      </c>
      <c r="Z620" s="587"/>
      <c r="AA620" s="587" t="str">
        <f t="shared" si="180"/>
        <v/>
      </c>
      <c r="AB620" s="587"/>
      <c r="AC620" s="587" t="str">
        <f t="shared" si="181"/>
        <v/>
      </c>
      <c r="AD620" s="586"/>
      <c r="AE620" s="587" t="str">
        <f t="shared" si="177"/>
        <v/>
      </c>
    </row>
    <row r="621" spans="2:31">
      <c r="B621" s="586" t="s">
        <v>408</v>
      </c>
      <c r="C621" s="587"/>
      <c r="D621" s="588"/>
      <c r="E621" s="587"/>
      <c r="F621" s="587">
        <v>53.02</v>
      </c>
      <c r="G621" s="587">
        <v>36.619999999999997</v>
      </c>
      <c r="H621" s="589" t="s">
        <v>957</v>
      </c>
      <c r="I621" s="587">
        <f t="shared" si="185"/>
        <v>53.02</v>
      </c>
      <c r="J621" s="589" t="s">
        <v>957</v>
      </c>
      <c r="K621" s="587">
        <f t="shared" si="175"/>
        <v>36.619999999999997</v>
      </c>
      <c r="L621" s="587"/>
      <c r="M621" s="587" t="str">
        <f t="shared" si="174"/>
        <v/>
      </c>
      <c r="N621" s="587"/>
      <c r="O621" s="587" t="str">
        <f t="shared" si="183"/>
        <v/>
      </c>
      <c r="P621" s="587"/>
      <c r="Q621" s="587" t="str">
        <f t="shared" si="176"/>
        <v/>
      </c>
      <c r="R621" s="587"/>
      <c r="S621" s="587" t="str">
        <f t="shared" si="184"/>
        <v/>
      </c>
      <c r="T621" s="587"/>
      <c r="U621" s="587" t="str">
        <f t="shared" si="186"/>
        <v/>
      </c>
      <c r="V621" s="587"/>
      <c r="W621" s="587" t="str">
        <f t="shared" si="187"/>
        <v/>
      </c>
      <c r="X621" s="587"/>
      <c r="Y621" s="587" t="str">
        <f t="shared" si="182"/>
        <v/>
      </c>
      <c r="Z621" s="587" t="s">
        <v>952</v>
      </c>
      <c r="AA621" s="587">
        <f t="shared" si="180"/>
        <v>53.02</v>
      </c>
      <c r="AB621" s="587"/>
      <c r="AC621" s="587" t="str">
        <f t="shared" si="181"/>
        <v/>
      </c>
      <c r="AD621" s="586"/>
      <c r="AE621" s="587" t="str">
        <f t="shared" si="177"/>
        <v/>
      </c>
    </row>
    <row r="622" spans="2:31">
      <c r="B622" s="586" t="s">
        <v>357</v>
      </c>
      <c r="C622" s="587">
        <v>1.95</v>
      </c>
      <c r="D622" s="588" t="s">
        <v>957</v>
      </c>
      <c r="E622" s="587">
        <v>1.6</v>
      </c>
      <c r="F622" s="587">
        <f>C622*E622</f>
        <v>3.12</v>
      </c>
      <c r="G622" s="587">
        <f>(C622+E622)*2</f>
        <v>7.1</v>
      </c>
      <c r="H622" s="589" t="s">
        <v>957</v>
      </c>
      <c r="I622" s="587">
        <f t="shared" si="185"/>
        <v>3.12</v>
      </c>
      <c r="J622" s="589" t="s">
        <v>957</v>
      </c>
      <c r="K622" s="587">
        <f t="shared" si="175"/>
        <v>7.1</v>
      </c>
      <c r="L622" s="587"/>
      <c r="M622" s="587" t="str">
        <f t="shared" si="174"/>
        <v/>
      </c>
      <c r="N622" s="587"/>
      <c r="O622" s="587" t="str">
        <f t="shared" si="183"/>
        <v/>
      </c>
      <c r="P622" s="587"/>
      <c r="Q622" s="587" t="str">
        <f t="shared" si="176"/>
        <v/>
      </c>
      <c r="R622" s="587"/>
      <c r="S622" s="587" t="str">
        <f t="shared" si="184"/>
        <v/>
      </c>
      <c r="T622" s="587"/>
      <c r="U622" s="587" t="str">
        <f t="shared" si="186"/>
        <v/>
      </c>
      <c r="V622" s="587" t="s">
        <v>957</v>
      </c>
      <c r="W622" s="587">
        <f t="shared" si="187"/>
        <v>3.12</v>
      </c>
      <c r="X622" s="587"/>
      <c r="Y622" s="587" t="str">
        <f t="shared" si="182"/>
        <v/>
      </c>
      <c r="Z622" s="587"/>
      <c r="AA622" s="587" t="str">
        <f t="shared" si="180"/>
        <v/>
      </c>
      <c r="AB622" s="587"/>
      <c r="AC622" s="587" t="str">
        <f t="shared" si="181"/>
        <v/>
      </c>
      <c r="AD622" s="586"/>
      <c r="AE622" s="587" t="str">
        <f t="shared" si="177"/>
        <v/>
      </c>
    </row>
    <row r="623" spans="2:31">
      <c r="B623" s="586" t="s">
        <v>356</v>
      </c>
      <c r="C623" s="587">
        <v>1.95</v>
      </c>
      <c r="D623" s="588" t="s">
        <v>957</v>
      </c>
      <c r="E623" s="587">
        <v>1.6</v>
      </c>
      <c r="F623" s="587">
        <f>C623*E623</f>
        <v>3.12</v>
      </c>
      <c r="G623" s="587">
        <f>(C623+E623)*2</f>
        <v>7.1</v>
      </c>
      <c r="H623" s="589" t="s">
        <v>957</v>
      </c>
      <c r="I623" s="587">
        <f t="shared" si="185"/>
        <v>3.12</v>
      </c>
      <c r="J623" s="589" t="s">
        <v>957</v>
      </c>
      <c r="K623" s="587">
        <f t="shared" si="175"/>
        <v>7.1</v>
      </c>
      <c r="L623" s="587"/>
      <c r="M623" s="587" t="str">
        <f t="shared" si="174"/>
        <v/>
      </c>
      <c r="N623" s="587"/>
      <c r="O623" s="587" t="str">
        <f t="shared" si="183"/>
        <v/>
      </c>
      <c r="P623" s="587"/>
      <c r="Q623" s="587" t="str">
        <f t="shared" si="176"/>
        <v/>
      </c>
      <c r="R623" s="587"/>
      <c r="S623" s="587" t="str">
        <f t="shared" si="184"/>
        <v/>
      </c>
      <c r="T623" s="587"/>
      <c r="U623" s="587" t="str">
        <f t="shared" si="186"/>
        <v/>
      </c>
      <c r="V623" s="587" t="s">
        <v>957</v>
      </c>
      <c r="W623" s="587">
        <f t="shared" si="187"/>
        <v>3.12</v>
      </c>
      <c r="X623" s="587"/>
      <c r="Y623" s="587" t="str">
        <f t="shared" si="182"/>
        <v/>
      </c>
      <c r="Z623" s="587"/>
      <c r="AA623" s="587" t="str">
        <f t="shared" si="180"/>
        <v/>
      </c>
      <c r="AB623" s="587"/>
      <c r="AC623" s="587" t="str">
        <f t="shared" si="181"/>
        <v/>
      </c>
      <c r="AD623" s="586"/>
      <c r="AE623" s="587" t="str">
        <f t="shared" si="177"/>
        <v/>
      </c>
    </row>
    <row r="624" spans="2:31">
      <c r="B624" s="586" t="s">
        <v>307</v>
      </c>
      <c r="C624" s="587">
        <v>2.25</v>
      </c>
      <c r="D624" s="588" t="s">
        <v>957</v>
      </c>
      <c r="E624" s="587">
        <v>3.65</v>
      </c>
      <c r="F624" s="587">
        <f>C624*E624</f>
        <v>8.2125000000000004</v>
      </c>
      <c r="G624" s="587">
        <f>(C624+E624)*2</f>
        <v>11.8</v>
      </c>
      <c r="H624" s="589"/>
      <c r="I624" s="587" t="str">
        <f t="shared" si="185"/>
        <v/>
      </c>
      <c r="J624" s="589"/>
      <c r="K624" s="587" t="str">
        <f t="shared" si="175"/>
        <v/>
      </c>
      <c r="L624" s="587" t="s">
        <v>952</v>
      </c>
      <c r="M624" s="587">
        <f t="shared" si="174"/>
        <v>8.2125000000000004</v>
      </c>
      <c r="N624" s="587"/>
      <c r="O624" s="587" t="str">
        <f t="shared" si="183"/>
        <v/>
      </c>
      <c r="P624" s="587"/>
      <c r="Q624" s="587" t="str">
        <f t="shared" si="176"/>
        <v/>
      </c>
      <c r="R624" s="587"/>
      <c r="S624" s="587" t="str">
        <f t="shared" si="184"/>
        <v/>
      </c>
      <c r="T624" s="587"/>
      <c r="U624" s="587" t="str">
        <f t="shared" si="186"/>
        <v/>
      </c>
      <c r="V624" s="587" t="s">
        <v>957</v>
      </c>
      <c r="W624" s="587">
        <f t="shared" si="187"/>
        <v>8.2125000000000004</v>
      </c>
      <c r="X624" s="587"/>
      <c r="Y624" s="587" t="str">
        <f t="shared" si="182"/>
        <v/>
      </c>
      <c r="Z624" s="587"/>
      <c r="AA624" s="587" t="str">
        <f t="shared" si="180"/>
        <v/>
      </c>
      <c r="AB624" s="587"/>
      <c r="AC624" s="587" t="str">
        <f t="shared" si="181"/>
        <v/>
      </c>
      <c r="AD624" s="586"/>
      <c r="AE624" s="587" t="str">
        <f t="shared" si="177"/>
        <v/>
      </c>
    </row>
    <row r="625" spans="2:31">
      <c r="B625" s="590" t="s">
        <v>557</v>
      </c>
      <c r="C625" s="596">
        <v>2.9980000000000002</v>
      </c>
      <c r="D625" s="588" t="s">
        <v>957</v>
      </c>
      <c r="E625" s="596">
        <v>3.3879999999999999</v>
      </c>
      <c r="F625" s="596">
        <f>C625*E625</f>
        <v>10.157224000000001</v>
      </c>
      <c r="G625" s="596">
        <f>(C625+E625)*2</f>
        <v>12.772</v>
      </c>
      <c r="H625" s="589" t="s">
        <v>957</v>
      </c>
      <c r="I625" s="587">
        <f t="shared" si="185"/>
        <v>10.157224000000001</v>
      </c>
      <c r="J625" s="589" t="s">
        <v>957</v>
      </c>
      <c r="K625" s="587">
        <f t="shared" si="175"/>
        <v>12.772</v>
      </c>
      <c r="L625" s="587"/>
      <c r="M625" s="587" t="str">
        <f t="shared" si="174"/>
        <v/>
      </c>
      <c r="N625" s="587"/>
      <c r="O625" s="587" t="str">
        <f t="shared" si="183"/>
        <v/>
      </c>
      <c r="P625" s="587"/>
      <c r="Q625" s="587" t="str">
        <f t="shared" si="176"/>
        <v/>
      </c>
      <c r="R625" s="587"/>
      <c r="S625" s="587" t="str">
        <f t="shared" si="184"/>
        <v/>
      </c>
      <c r="T625" s="587"/>
      <c r="U625" s="587" t="str">
        <f t="shared" si="186"/>
        <v/>
      </c>
      <c r="V625" s="587" t="s">
        <v>957</v>
      </c>
      <c r="W625" s="587">
        <f t="shared" si="187"/>
        <v>10.157224000000001</v>
      </c>
      <c r="X625" s="587"/>
      <c r="Y625" s="587" t="str">
        <f t="shared" si="182"/>
        <v/>
      </c>
      <c r="Z625" s="587"/>
      <c r="AA625" s="587" t="str">
        <f t="shared" si="180"/>
        <v/>
      </c>
      <c r="AB625" s="587"/>
      <c r="AC625" s="587" t="str">
        <f t="shared" si="181"/>
        <v/>
      </c>
      <c r="AD625" s="586"/>
      <c r="AE625" s="587" t="str">
        <f t="shared" si="177"/>
        <v/>
      </c>
    </row>
    <row r="626" spans="2:31">
      <c r="B626" s="590" t="s">
        <v>558</v>
      </c>
      <c r="C626" s="596">
        <v>2.9980000000000002</v>
      </c>
      <c r="D626" s="588" t="s">
        <v>957</v>
      </c>
      <c r="E626" s="596">
        <v>3.387</v>
      </c>
      <c r="F626" s="596">
        <f>C626*E626</f>
        <v>10.154226000000001</v>
      </c>
      <c r="G626" s="596">
        <f>(C626+E626)*2</f>
        <v>12.77</v>
      </c>
      <c r="H626" s="589" t="s">
        <v>957</v>
      </c>
      <c r="I626" s="587">
        <f t="shared" si="185"/>
        <v>10.154226000000001</v>
      </c>
      <c r="J626" s="589" t="s">
        <v>957</v>
      </c>
      <c r="K626" s="587">
        <f t="shared" si="175"/>
        <v>12.77</v>
      </c>
      <c r="L626" s="587"/>
      <c r="M626" s="587" t="str">
        <f t="shared" si="174"/>
        <v/>
      </c>
      <c r="N626" s="587"/>
      <c r="O626" s="587" t="str">
        <f t="shared" si="183"/>
        <v/>
      </c>
      <c r="P626" s="587"/>
      <c r="Q626" s="587" t="str">
        <f t="shared" si="176"/>
        <v/>
      </c>
      <c r="R626" s="587"/>
      <c r="S626" s="587" t="str">
        <f t="shared" si="184"/>
        <v/>
      </c>
      <c r="T626" s="587"/>
      <c r="U626" s="587" t="str">
        <f t="shared" si="186"/>
        <v/>
      </c>
      <c r="V626" s="587" t="s">
        <v>957</v>
      </c>
      <c r="W626" s="587">
        <f t="shared" si="187"/>
        <v>10.154226000000001</v>
      </c>
      <c r="X626" s="587"/>
      <c r="Y626" s="587" t="str">
        <f t="shared" si="182"/>
        <v/>
      </c>
      <c r="Z626" s="587"/>
      <c r="AA626" s="587" t="str">
        <f t="shared" si="180"/>
        <v/>
      </c>
      <c r="AB626" s="587"/>
      <c r="AC626" s="587" t="str">
        <f t="shared" si="181"/>
        <v/>
      </c>
      <c r="AD626" s="586"/>
      <c r="AE626" s="587" t="str">
        <f t="shared" si="177"/>
        <v/>
      </c>
    </row>
    <row r="627" spans="2:31">
      <c r="B627" s="590" t="s">
        <v>559</v>
      </c>
      <c r="C627" s="596"/>
      <c r="D627" s="597"/>
      <c r="E627" s="596"/>
      <c r="F627" s="596">
        <v>209.18</v>
      </c>
      <c r="G627" s="596">
        <v>73.19</v>
      </c>
      <c r="H627" s="589"/>
      <c r="I627" s="587" t="str">
        <f t="shared" si="185"/>
        <v/>
      </c>
      <c r="J627" s="589"/>
      <c r="K627" s="587" t="str">
        <f t="shared" si="175"/>
        <v/>
      </c>
      <c r="L627" s="587"/>
      <c r="M627" s="587" t="str">
        <f t="shared" si="174"/>
        <v/>
      </c>
      <c r="N627" s="587"/>
      <c r="O627" s="587" t="str">
        <f t="shared" si="183"/>
        <v/>
      </c>
      <c r="P627" s="587"/>
      <c r="Q627" s="587" t="str">
        <f t="shared" si="176"/>
        <v/>
      </c>
      <c r="R627" s="587"/>
      <c r="S627" s="587" t="str">
        <f t="shared" si="184"/>
        <v/>
      </c>
      <c r="T627" s="587"/>
      <c r="U627" s="587" t="str">
        <f t="shared" si="186"/>
        <v/>
      </c>
      <c r="V627" s="587"/>
      <c r="W627" s="587" t="str">
        <f t="shared" si="187"/>
        <v/>
      </c>
      <c r="X627" s="587"/>
      <c r="Y627" s="587" t="str">
        <f t="shared" si="182"/>
        <v/>
      </c>
      <c r="Z627" s="587" t="s">
        <v>952</v>
      </c>
      <c r="AA627" s="587">
        <f t="shared" si="180"/>
        <v>209.18</v>
      </c>
      <c r="AB627" s="587"/>
      <c r="AC627" s="587" t="str">
        <f t="shared" si="181"/>
        <v/>
      </c>
      <c r="AD627" s="586" t="s">
        <v>952</v>
      </c>
      <c r="AE627" s="587">
        <f t="shared" si="177"/>
        <v>209.18</v>
      </c>
    </row>
    <row r="628" spans="2:31">
      <c r="B628" s="590" t="s">
        <v>560</v>
      </c>
      <c r="C628" s="596">
        <v>4.9630000000000001</v>
      </c>
      <c r="D628" s="588" t="s">
        <v>957</v>
      </c>
      <c r="E628" s="596">
        <v>3</v>
      </c>
      <c r="F628" s="596">
        <f t="shared" ref="F628:F640" si="188">C628*E628</f>
        <v>14.888999999999999</v>
      </c>
      <c r="G628" s="596">
        <f t="shared" ref="G628:G640" si="189">(C628+E628)*2</f>
        <v>15.926</v>
      </c>
      <c r="H628" s="589" t="s">
        <v>957</v>
      </c>
      <c r="I628" s="587">
        <f t="shared" si="185"/>
        <v>14.888999999999999</v>
      </c>
      <c r="J628" s="589" t="s">
        <v>957</v>
      </c>
      <c r="K628" s="587">
        <f t="shared" si="175"/>
        <v>15.926</v>
      </c>
      <c r="L628" s="587"/>
      <c r="M628" s="587" t="str">
        <f t="shared" si="174"/>
        <v/>
      </c>
      <c r="N628" s="587"/>
      <c r="O628" s="587" t="str">
        <f t="shared" si="183"/>
        <v/>
      </c>
      <c r="P628" s="587"/>
      <c r="Q628" s="587" t="str">
        <f t="shared" si="176"/>
        <v/>
      </c>
      <c r="R628" s="587"/>
      <c r="S628" s="587" t="str">
        <f t="shared" si="184"/>
        <v/>
      </c>
      <c r="T628" s="587"/>
      <c r="U628" s="587" t="str">
        <f t="shared" si="186"/>
        <v/>
      </c>
      <c r="V628" s="587"/>
      <c r="W628" s="587" t="str">
        <f t="shared" si="187"/>
        <v/>
      </c>
      <c r="X628" s="587"/>
      <c r="Y628" s="587" t="str">
        <f t="shared" si="182"/>
        <v/>
      </c>
      <c r="Z628" s="587" t="s">
        <v>952</v>
      </c>
      <c r="AA628" s="587">
        <f t="shared" si="180"/>
        <v>14.888999999999999</v>
      </c>
      <c r="AB628" s="587"/>
      <c r="AC628" s="587" t="str">
        <f t="shared" si="181"/>
        <v/>
      </c>
      <c r="AD628" s="586"/>
      <c r="AE628" s="587" t="str">
        <f t="shared" si="177"/>
        <v/>
      </c>
    </row>
    <row r="629" spans="2:31">
      <c r="B629" s="590" t="s">
        <v>299</v>
      </c>
      <c r="C629" s="596">
        <v>3</v>
      </c>
      <c r="D629" s="588" t="s">
        <v>957</v>
      </c>
      <c r="E629" s="596">
        <v>3</v>
      </c>
      <c r="F629" s="596">
        <f t="shared" si="188"/>
        <v>9</v>
      </c>
      <c r="G629" s="596">
        <f t="shared" si="189"/>
        <v>12</v>
      </c>
      <c r="H629" s="589" t="s">
        <v>957</v>
      </c>
      <c r="I629" s="587">
        <f t="shared" si="185"/>
        <v>9</v>
      </c>
      <c r="J629" s="589" t="s">
        <v>957</v>
      </c>
      <c r="K629" s="587">
        <f t="shared" si="175"/>
        <v>12</v>
      </c>
      <c r="L629" s="587"/>
      <c r="M629" s="587" t="str">
        <f t="shared" si="174"/>
        <v/>
      </c>
      <c r="N629" s="587"/>
      <c r="O629" s="587" t="str">
        <f t="shared" si="183"/>
        <v/>
      </c>
      <c r="P629" s="587"/>
      <c r="Q629" s="587" t="str">
        <f t="shared" si="176"/>
        <v/>
      </c>
      <c r="R629" s="587"/>
      <c r="S629" s="587" t="str">
        <f t="shared" si="184"/>
        <v/>
      </c>
      <c r="T629" s="587"/>
      <c r="U629" s="587" t="str">
        <f t="shared" si="186"/>
        <v/>
      </c>
      <c r="V629" s="587" t="s">
        <v>957</v>
      </c>
      <c r="W629" s="587">
        <f t="shared" si="187"/>
        <v>9</v>
      </c>
      <c r="X629" s="587"/>
      <c r="Y629" s="587" t="str">
        <f t="shared" si="182"/>
        <v/>
      </c>
      <c r="Z629" s="587"/>
      <c r="AA629" s="587" t="str">
        <f t="shared" si="180"/>
        <v/>
      </c>
      <c r="AB629" s="587"/>
      <c r="AC629" s="587" t="str">
        <f t="shared" si="181"/>
        <v/>
      </c>
      <c r="AD629" s="586"/>
      <c r="AE629" s="587" t="str">
        <f t="shared" si="177"/>
        <v/>
      </c>
    </row>
    <row r="630" spans="2:31">
      <c r="B630" s="590" t="s">
        <v>561</v>
      </c>
      <c r="C630" s="596">
        <v>3.5</v>
      </c>
      <c r="D630" s="588" t="s">
        <v>957</v>
      </c>
      <c r="E630" s="596">
        <v>6.7270000000000003</v>
      </c>
      <c r="F630" s="596">
        <f t="shared" si="188"/>
        <v>23.544499999999999</v>
      </c>
      <c r="G630" s="596">
        <f t="shared" si="189"/>
        <v>20.454000000000001</v>
      </c>
      <c r="H630" s="589" t="s">
        <v>957</v>
      </c>
      <c r="I630" s="587">
        <f t="shared" si="185"/>
        <v>23.544499999999999</v>
      </c>
      <c r="J630" s="589" t="s">
        <v>957</v>
      </c>
      <c r="K630" s="587">
        <f t="shared" si="175"/>
        <v>20.454000000000001</v>
      </c>
      <c r="L630" s="587"/>
      <c r="M630" s="587" t="str">
        <f t="shared" si="174"/>
        <v/>
      </c>
      <c r="N630" s="587"/>
      <c r="O630" s="587" t="str">
        <f t="shared" si="183"/>
        <v/>
      </c>
      <c r="P630" s="587"/>
      <c r="Q630" s="587" t="str">
        <f t="shared" si="176"/>
        <v/>
      </c>
      <c r="R630" s="587"/>
      <c r="S630" s="587" t="str">
        <f t="shared" si="184"/>
        <v/>
      </c>
      <c r="T630" s="587"/>
      <c r="U630" s="587" t="str">
        <f t="shared" si="186"/>
        <v/>
      </c>
      <c r="V630" s="587" t="s">
        <v>957</v>
      </c>
      <c r="W630" s="587">
        <f t="shared" si="187"/>
        <v>23.544499999999999</v>
      </c>
      <c r="X630" s="587"/>
      <c r="Y630" s="587" t="str">
        <f t="shared" si="182"/>
        <v/>
      </c>
      <c r="Z630" s="587"/>
      <c r="AA630" s="587" t="str">
        <f t="shared" si="180"/>
        <v/>
      </c>
      <c r="AB630" s="587"/>
      <c r="AC630" s="587" t="str">
        <f t="shared" si="181"/>
        <v/>
      </c>
      <c r="AD630" s="586"/>
      <c r="AE630" s="587" t="str">
        <f t="shared" si="177"/>
        <v/>
      </c>
    </row>
    <row r="631" spans="2:31">
      <c r="B631" s="590" t="s">
        <v>562</v>
      </c>
      <c r="C631" s="596">
        <v>9.7750000000000004</v>
      </c>
      <c r="D631" s="588" t="s">
        <v>957</v>
      </c>
      <c r="E631" s="596">
        <v>6.7249999999999996</v>
      </c>
      <c r="F631" s="596">
        <f t="shared" si="188"/>
        <v>65.736874999999998</v>
      </c>
      <c r="G631" s="596">
        <f t="shared" si="189"/>
        <v>33</v>
      </c>
      <c r="H631" s="589" t="s">
        <v>957</v>
      </c>
      <c r="I631" s="587">
        <f t="shared" si="185"/>
        <v>65.736874999999998</v>
      </c>
      <c r="J631" s="589" t="s">
        <v>957</v>
      </c>
      <c r="K631" s="587">
        <f t="shared" si="175"/>
        <v>33</v>
      </c>
      <c r="L631" s="587"/>
      <c r="M631" s="587" t="str">
        <f t="shared" ref="M631:M660" si="190">IF(L631="x",$F631,"")</f>
        <v/>
      </c>
      <c r="N631" s="587"/>
      <c r="O631" s="587" t="str">
        <f t="shared" si="183"/>
        <v/>
      </c>
      <c r="P631" s="587"/>
      <c r="Q631" s="587" t="str">
        <f t="shared" si="176"/>
        <v/>
      </c>
      <c r="R631" s="587"/>
      <c r="S631" s="587" t="str">
        <f t="shared" si="184"/>
        <v/>
      </c>
      <c r="T631" s="587"/>
      <c r="U631" s="587" t="str">
        <f t="shared" si="186"/>
        <v/>
      </c>
      <c r="V631" s="587"/>
      <c r="W631" s="587" t="str">
        <f t="shared" si="187"/>
        <v/>
      </c>
      <c r="X631" s="587"/>
      <c r="Y631" s="587" t="str">
        <f t="shared" si="182"/>
        <v/>
      </c>
      <c r="Z631" s="587" t="s">
        <v>952</v>
      </c>
      <c r="AA631" s="587">
        <f t="shared" si="180"/>
        <v>65.736874999999998</v>
      </c>
      <c r="AB631" s="587"/>
      <c r="AC631" s="587" t="str">
        <f t="shared" si="181"/>
        <v/>
      </c>
      <c r="AD631" s="586"/>
      <c r="AE631" s="587" t="str">
        <f t="shared" si="177"/>
        <v/>
      </c>
    </row>
    <row r="632" spans="2:31">
      <c r="B632" s="590" t="s">
        <v>563</v>
      </c>
      <c r="C632" s="596">
        <v>8.1129999999999995</v>
      </c>
      <c r="D632" s="597" t="s">
        <v>957</v>
      </c>
      <c r="E632" s="596">
        <v>5.7249999999999996</v>
      </c>
      <c r="F632" s="596">
        <f t="shared" si="188"/>
        <v>46.446924999999993</v>
      </c>
      <c r="G632" s="596">
        <f t="shared" si="189"/>
        <v>27.675999999999998</v>
      </c>
      <c r="H632" s="589" t="s">
        <v>957</v>
      </c>
      <c r="I632" s="587">
        <f t="shared" si="185"/>
        <v>46.446924999999993</v>
      </c>
      <c r="J632" s="589" t="s">
        <v>957</v>
      </c>
      <c r="K632" s="587">
        <f t="shared" si="175"/>
        <v>27.675999999999998</v>
      </c>
      <c r="L632" s="587"/>
      <c r="M632" s="587" t="str">
        <f t="shared" si="190"/>
        <v/>
      </c>
      <c r="N632" s="587"/>
      <c r="O632" s="587" t="str">
        <f t="shared" si="183"/>
        <v/>
      </c>
      <c r="P632" s="587"/>
      <c r="Q632" s="587" t="str">
        <f t="shared" si="176"/>
        <v/>
      </c>
      <c r="R632" s="587"/>
      <c r="S632" s="587" t="str">
        <f t="shared" si="184"/>
        <v/>
      </c>
      <c r="T632" s="587"/>
      <c r="U632" s="587" t="str">
        <f t="shared" si="186"/>
        <v/>
      </c>
      <c r="V632" s="587"/>
      <c r="W632" s="587" t="str">
        <f t="shared" si="187"/>
        <v/>
      </c>
      <c r="X632" s="587"/>
      <c r="Y632" s="587" t="str">
        <f t="shared" si="182"/>
        <v/>
      </c>
      <c r="Z632" s="587" t="s">
        <v>952</v>
      </c>
      <c r="AA632" s="587">
        <f t="shared" si="180"/>
        <v>46.446924999999993</v>
      </c>
      <c r="AB632" s="587"/>
      <c r="AC632" s="587" t="str">
        <f t="shared" si="181"/>
        <v/>
      </c>
      <c r="AD632" s="586"/>
      <c r="AE632" s="587" t="str">
        <f t="shared" si="177"/>
        <v/>
      </c>
    </row>
    <row r="633" spans="2:31">
      <c r="B633" s="590" t="s">
        <v>564</v>
      </c>
      <c r="C633" s="596">
        <v>8.1129999999999995</v>
      </c>
      <c r="D633" s="597" t="s">
        <v>957</v>
      </c>
      <c r="E633" s="596">
        <v>9.7249999999999996</v>
      </c>
      <c r="F633" s="596">
        <f t="shared" si="188"/>
        <v>78.898924999999991</v>
      </c>
      <c r="G633" s="596">
        <f t="shared" si="189"/>
        <v>35.676000000000002</v>
      </c>
      <c r="H633" s="589" t="s">
        <v>957</v>
      </c>
      <c r="I633" s="587">
        <f t="shared" si="185"/>
        <v>78.898924999999991</v>
      </c>
      <c r="J633" s="589" t="s">
        <v>957</v>
      </c>
      <c r="K633" s="587">
        <f t="shared" si="175"/>
        <v>35.676000000000002</v>
      </c>
      <c r="L633" s="587"/>
      <c r="M633" s="587" t="str">
        <f t="shared" si="190"/>
        <v/>
      </c>
      <c r="N633" s="587"/>
      <c r="O633" s="587" t="str">
        <f t="shared" si="183"/>
        <v/>
      </c>
      <c r="P633" s="587"/>
      <c r="Q633" s="587" t="str">
        <f t="shared" si="176"/>
        <v/>
      </c>
      <c r="R633" s="587"/>
      <c r="S633" s="587" t="str">
        <f t="shared" si="184"/>
        <v/>
      </c>
      <c r="T633" s="587"/>
      <c r="U633" s="587" t="str">
        <f t="shared" si="186"/>
        <v/>
      </c>
      <c r="V633" s="587"/>
      <c r="W633" s="587" t="str">
        <f t="shared" si="187"/>
        <v/>
      </c>
      <c r="X633" s="587"/>
      <c r="Y633" s="587" t="str">
        <f t="shared" si="182"/>
        <v/>
      </c>
      <c r="Z633" s="587" t="s">
        <v>952</v>
      </c>
      <c r="AA633" s="587">
        <f t="shared" si="180"/>
        <v>78.898924999999991</v>
      </c>
      <c r="AB633" s="587"/>
      <c r="AC633" s="587" t="str">
        <f t="shared" si="181"/>
        <v/>
      </c>
      <c r="AD633" s="586"/>
      <c r="AE633" s="587" t="str">
        <f t="shared" si="177"/>
        <v/>
      </c>
    </row>
    <row r="634" spans="2:31">
      <c r="B634" s="590" t="s">
        <v>565</v>
      </c>
      <c r="C634" s="596">
        <v>3.2440000000000002</v>
      </c>
      <c r="D634" s="597" t="s">
        <v>957</v>
      </c>
      <c r="E634" s="596">
        <v>6.726</v>
      </c>
      <c r="F634" s="596">
        <f t="shared" si="188"/>
        <v>21.819144000000001</v>
      </c>
      <c r="G634" s="596">
        <f t="shared" si="189"/>
        <v>19.940000000000001</v>
      </c>
      <c r="H634" s="589" t="s">
        <v>957</v>
      </c>
      <c r="I634" s="587">
        <f t="shared" si="185"/>
        <v>21.819144000000001</v>
      </c>
      <c r="J634" s="589" t="s">
        <v>957</v>
      </c>
      <c r="K634" s="587">
        <f t="shared" si="175"/>
        <v>19.940000000000001</v>
      </c>
      <c r="L634" s="587"/>
      <c r="M634" s="587" t="str">
        <f t="shared" si="190"/>
        <v/>
      </c>
      <c r="N634" s="587"/>
      <c r="O634" s="587" t="str">
        <f t="shared" si="183"/>
        <v/>
      </c>
      <c r="P634" s="587"/>
      <c r="Q634" s="587" t="str">
        <f t="shared" si="176"/>
        <v/>
      </c>
      <c r="R634" s="587"/>
      <c r="S634" s="587" t="str">
        <f t="shared" si="184"/>
        <v/>
      </c>
      <c r="T634" s="587"/>
      <c r="U634" s="587" t="str">
        <f t="shared" si="186"/>
        <v/>
      </c>
      <c r="V634" s="587" t="s">
        <v>957</v>
      </c>
      <c r="W634" s="587">
        <f t="shared" si="187"/>
        <v>21.819144000000001</v>
      </c>
      <c r="X634" s="587"/>
      <c r="Y634" s="587" t="str">
        <f t="shared" si="182"/>
        <v/>
      </c>
      <c r="Z634" s="587"/>
      <c r="AA634" s="587" t="str">
        <f t="shared" si="180"/>
        <v/>
      </c>
      <c r="AB634" s="587"/>
      <c r="AC634" s="587" t="str">
        <f t="shared" si="181"/>
        <v/>
      </c>
      <c r="AD634" s="586"/>
      <c r="AE634" s="587" t="str">
        <f t="shared" si="177"/>
        <v/>
      </c>
    </row>
    <row r="635" spans="2:31">
      <c r="B635" s="590" t="s">
        <v>566</v>
      </c>
      <c r="C635" s="596">
        <v>3.2440000000000002</v>
      </c>
      <c r="D635" s="597" t="s">
        <v>957</v>
      </c>
      <c r="E635" s="596">
        <v>6.726</v>
      </c>
      <c r="F635" s="596">
        <f t="shared" si="188"/>
        <v>21.819144000000001</v>
      </c>
      <c r="G635" s="596">
        <f t="shared" si="189"/>
        <v>19.940000000000001</v>
      </c>
      <c r="H635" s="589" t="s">
        <v>957</v>
      </c>
      <c r="I635" s="587">
        <f t="shared" si="185"/>
        <v>21.819144000000001</v>
      </c>
      <c r="J635" s="589" t="s">
        <v>957</v>
      </c>
      <c r="K635" s="587">
        <f t="shared" si="175"/>
        <v>19.940000000000001</v>
      </c>
      <c r="L635" s="587"/>
      <c r="M635" s="587" t="str">
        <f t="shared" si="190"/>
        <v/>
      </c>
      <c r="N635" s="587"/>
      <c r="O635" s="587" t="str">
        <f t="shared" si="183"/>
        <v/>
      </c>
      <c r="P635" s="587"/>
      <c r="Q635" s="587" t="str">
        <f t="shared" si="176"/>
        <v/>
      </c>
      <c r="R635" s="587"/>
      <c r="S635" s="587" t="str">
        <f t="shared" si="184"/>
        <v/>
      </c>
      <c r="T635" s="587"/>
      <c r="U635" s="587" t="str">
        <f t="shared" si="186"/>
        <v/>
      </c>
      <c r="V635" s="587" t="s">
        <v>957</v>
      </c>
      <c r="W635" s="587">
        <f t="shared" si="187"/>
        <v>21.819144000000001</v>
      </c>
      <c r="X635" s="587"/>
      <c r="Y635" s="587" t="str">
        <f t="shared" si="182"/>
        <v/>
      </c>
      <c r="Z635" s="587"/>
      <c r="AA635" s="587" t="str">
        <f t="shared" si="180"/>
        <v/>
      </c>
      <c r="AB635" s="587"/>
      <c r="AC635" s="587" t="str">
        <f t="shared" si="181"/>
        <v/>
      </c>
      <c r="AD635" s="586"/>
      <c r="AE635" s="587" t="str">
        <f t="shared" si="177"/>
        <v/>
      </c>
    </row>
    <row r="636" spans="2:31">
      <c r="B636" s="590" t="s">
        <v>567</v>
      </c>
      <c r="C636" s="596">
        <v>3.2440000000000002</v>
      </c>
      <c r="D636" s="597" t="s">
        <v>957</v>
      </c>
      <c r="E636" s="596">
        <v>6.726</v>
      </c>
      <c r="F636" s="596">
        <f t="shared" si="188"/>
        <v>21.819144000000001</v>
      </c>
      <c r="G636" s="596">
        <f t="shared" si="189"/>
        <v>19.940000000000001</v>
      </c>
      <c r="H636" s="589" t="s">
        <v>957</v>
      </c>
      <c r="I636" s="587">
        <f t="shared" si="185"/>
        <v>21.819144000000001</v>
      </c>
      <c r="J636" s="589" t="s">
        <v>957</v>
      </c>
      <c r="K636" s="587">
        <f t="shared" si="175"/>
        <v>19.940000000000001</v>
      </c>
      <c r="L636" s="587"/>
      <c r="M636" s="587" t="str">
        <f t="shared" si="190"/>
        <v/>
      </c>
      <c r="N636" s="587"/>
      <c r="O636" s="587" t="str">
        <f t="shared" si="183"/>
        <v/>
      </c>
      <c r="P636" s="587"/>
      <c r="Q636" s="587" t="str">
        <f t="shared" si="176"/>
        <v/>
      </c>
      <c r="R636" s="587"/>
      <c r="S636" s="587" t="str">
        <f t="shared" si="184"/>
        <v/>
      </c>
      <c r="T636" s="587"/>
      <c r="U636" s="587" t="str">
        <f t="shared" si="186"/>
        <v/>
      </c>
      <c r="V636" s="587" t="s">
        <v>957</v>
      </c>
      <c r="W636" s="587">
        <f t="shared" si="187"/>
        <v>21.819144000000001</v>
      </c>
      <c r="X636" s="587"/>
      <c r="Y636" s="587" t="str">
        <f t="shared" si="182"/>
        <v/>
      </c>
      <c r="Z636" s="587"/>
      <c r="AA636" s="587" t="str">
        <f t="shared" si="180"/>
        <v/>
      </c>
      <c r="AB636" s="587"/>
      <c r="AC636" s="587" t="str">
        <f t="shared" si="181"/>
        <v/>
      </c>
      <c r="AD636" s="586"/>
      <c r="AE636" s="587" t="str">
        <f t="shared" si="177"/>
        <v/>
      </c>
    </row>
    <row r="637" spans="2:31">
      <c r="B637" s="590" t="s">
        <v>568</v>
      </c>
      <c r="C637" s="596">
        <v>3.2440000000000002</v>
      </c>
      <c r="D637" s="597" t="s">
        <v>957</v>
      </c>
      <c r="E637" s="596">
        <v>6.726</v>
      </c>
      <c r="F637" s="596">
        <f t="shared" si="188"/>
        <v>21.819144000000001</v>
      </c>
      <c r="G637" s="596">
        <f t="shared" si="189"/>
        <v>19.940000000000001</v>
      </c>
      <c r="H637" s="589" t="s">
        <v>957</v>
      </c>
      <c r="I637" s="587">
        <f t="shared" si="185"/>
        <v>21.819144000000001</v>
      </c>
      <c r="J637" s="589" t="s">
        <v>957</v>
      </c>
      <c r="K637" s="587">
        <f t="shared" si="175"/>
        <v>19.940000000000001</v>
      </c>
      <c r="L637" s="587"/>
      <c r="M637" s="587" t="str">
        <f t="shared" si="190"/>
        <v/>
      </c>
      <c r="N637" s="587"/>
      <c r="O637" s="587" t="str">
        <f t="shared" si="183"/>
        <v/>
      </c>
      <c r="P637" s="587"/>
      <c r="Q637" s="587" t="str">
        <f t="shared" si="176"/>
        <v/>
      </c>
      <c r="R637" s="587"/>
      <c r="S637" s="587" t="str">
        <f t="shared" si="184"/>
        <v/>
      </c>
      <c r="T637" s="587"/>
      <c r="U637" s="587" t="str">
        <f t="shared" si="186"/>
        <v/>
      </c>
      <c r="V637" s="587" t="s">
        <v>957</v>
      </c>
      <c r="W637" s="587">
        <f t="shared" si="187"/>
        <v>21.819144000000001</v>
      </c>
      <c r="X637" s="587"/>
      <c r="Y637" s="587" t="str">
        <f t="shared" si="182"/>
        <v/>
      </c>
      <c r="Z637" s="587"/>
      <c r="AA637" s="587" t="str">
        <f t="shared" si="180"/>
        <v/>
      </c>
      <c r="AB637" s="587"/>
      <c r="AC637" s="587" t="str">
        <f t="shared" si="181"/>
        <v/>
      </c>
      <c r="AD637" s="586"/>
      <c r="AE637" s="587" t="str">
        <f t="shared" si="177"/>
        <v/>
      </c>
    </row>
    <row r="638" spans="2:31">
      <c r="B638" s="590" t="s">
        <v>569</v>
      </c>
      <c r="C638" s="596">
        <v>2.1</v>
      </c>
      <c r="D638" s="597" t="s">
        <v>957</v>
      </c>
      <c r="E638" s="596">
        <v>2.5</v>
      </c>
      <c r="F638" s="596">
        <f t="shared" si="188"/>
        <v>5.25</v>
      </c>
      <c r="G638" s="596">
        <f t="shared" si="189"/>
        <v>9.1999999999999993</v>
      </c>
      <c r="H638" s="589" t="s">
        <v>957</v>
      </c>
      <c r="I638" s="587">
        <f t="shared" si="185"/>
        <v>5.25</v>
      </c>
      <c r="J638" s="589" t="s">
        <v>957</v>
      </c>
      <c r="K638" s="587">
        <f t="shared" si="175"/>
        <v>9.1999999999999993</v>
      </c>
      <c r="L638" s="587"/>
      <c r="M638" s="587" t="str">
        <f t="shared" si="190"/>
        <v/>
      </c>
      <c r="N638" s="587"/>
      <c r="O638" s="587" t="str">
        <f t="shared" si="183"/>
        <v/>
      </c>
      <c r="P638" s="587"/>
      <c r="Q638" s="587" t="str">
        <f t="shared" si="176"/>
        <v/>
      </c>
      <c r="R638" s="587"/>
      <c r="S638" s="587" t="str">
        <f t="shared" si="184"/>
        <v/>
      </c>
      <c r="T638" s="587"/>
      <c r="U638" s="587" t="str">
        <f t="shared" si="186"/>
        <v/>
      </c>
      <c r="V638" s="587" t="s">
        <v>957</v>
      </c>
      <c r="W638" s="587">
        <f t="shared" si="187"/>
        <v>5.25</v>
      </c>
      <c r="X638" s="587"/>
      <c r="Y638" s="587" t="str">
        <f t="shared" si="182"/>
        <v/>
      </c>
      <c r="Z638" s="587"/>
      <c r="AA638" s="587" t="str">
        <f t="shared" si="180"/>
        <v/>
      </c>
      <c r="AB638" s="587"/>
      <c r="AC638" s="587" t="str">
        <f t="shared" si="181"/>
        <v/>
      </c>
      <c r="AD638" s="586"/>
      <c r="AE638" s="587" t="str">
        <f t="shared" si="177"/>
        <v/>
      </c>
    </row>
    <row r="639" spans="2:31">
      <c r="B639" s="590" t="s">
        <v>570</v>
      </c>
      <c r="C639" s="596">
        <v>2.1</v>
      </c>
      <c r="D639" s="597" t="s">
        <v>957</v>
      </c>
      <c r="E639" s="596">
        <v>4.95</v>
      </c>
      <c r="F639" s="596">
        <f t="shared" si="188"/>
        <v>10.395000000000001</v>
      </c>
      <c r="G639" s="596">
        <f t="shared" si="189"/>
        <v>14.100000000000001</v>
      </c>
      <c r="H639" s="589" t="s">
        <v>957</v>
      </c>
      <c r="I639" s="587">
        <f t="shared" si="185"/>
        <v>10.395000000000001</v>
      </c>
      <c r="J639" s="589" t="s">
        <v>957</v>
      </c>
      <c r="K639" s="587">
        <f t="shared" si="175"/>
        <v>14.100000000000001</v>
      </c>
      <c r="L639" s="587"/>
      <c r="M639" s="587" t="str">
        <f t="shared" si="190"/>
        <v/>
      </c>
      <c r="N639" s="587"/>
      <c r="O639" s="587" t="str">
        <f t="shared" si="183"/>
        <v/>
      </c>
      <c r="P639" s="587"/>
      <c r="Q639" s="587" t="str">
        <f t="shared" si="176"/>
        <v/>
      </c>
      <c r="R639" s="587"/>
      <c r="S639" s="587" t="str">
        <f t="shared" si="184"/>
        <v/>
      </c>
      <c r="T639" s="587"/>
      <c r="U639" s="587" t="str">
        <f t="shared" si="186"/>
        <v/>
      </c>
      <c r="V639" s="587" t="s">
        <v>957</v>
      </c>
      <c r="W639" s="587">
        <f t="shared" si="187"/>
        <v>10.395000000000001</v>
      </c>
      <c r="X639" s="587"/>
      <c r="Y639" s="587" t="str">
        <f t="shared" si="182"/>
        <v/>
      </c>
      <c r="Z639" s="587"/>
      <c r="AA639" s="587" t="str">
        <f t="shared" si="180"/>
        <v/>
      </c>
      <c r="AB639" s="587"/>
      <c r="AC639" s="587" t="str">
        <f t="shared" si="181"/>
        <v/>
      </c>
      <c r="AD639" s="586"/>
      <c r="AE639" s="587" t="str">
        <f t="shared" si="177"/>
        <v/>
      </c>
    </row>
    <row r="640" spans="2:31">
      <c r="B640" s="590" t="s">
        <v>571</v>
      </c>
      <c r="C640" s="596">
        <v>7.2619999999999996</v>
      </c>
      <c r="D640" s="597" t="s">
        <v>957</v>
      </c>
      <c r="E640" s="596">
        <v>4.6139999999999999</v>
      </c>
      <c r="F640" s="596">
        <f t="shared" si="188"/>
        <v>33.506867999999997</v>
      </c>
      <c r="G640" s="596">
        <f t="shared" si="189"/>
        <v>23.751999999999999</v>
      </c>
      <c r="H640" s="589" t="s">
        <v>957</v>
      </c>
      <c r="I640" s="587">
        <f t="shared" si="185"/>
        <v>33.506867999999997</v>
      </c>
      <c r="J640" s="589" t="s">
        <v>957</v>
      </c>
      <c r="K640" s="587">
        <f t="shared" si="175"/>
        <v>23.751999999999999</v>
      </c>
      <c r="L640" s="587"/>
      <c r="M640" s="587" t="str">
        <f t="shared" si="190"/>
        <v/>
      </c>
      <c r="N640" s="587"/>
      <c r="O640" s="587" t="str">
        <f t="shared" si="183"/>
        <v/>
      </c>
      <c r="P640" s="587"/>
      <c r="Q640" s="587" t="str">
        <f t="shared" si="176"/>
        <v/>
      </c>
      <c r="R640" s="587"/>
      <c r="S640" s="587" t="str">
        <f t="shared" si="184"/>
        <v/>
      </c>
      <c r="T640" s="587"/>
      <c r="U640" s="587" t="str">
        <f t="shared" si="186"/>
        <v/>
      </c>
      <c r="V640" s="587" t="s">
        <v>957</v>
      </c>
      <c r="W640" s="587">
        <f t="shared" si="187"/>
        <v>33.506867999999997</v>
      </c>
      <c r="X640" s="587"/>
      <c r="Y640" s="587" t="str">
        <f t="shared" si="182"/>
        <v/>
      </c>
      <c r="Z640" s="587"/>
      <c r="AA640" s="587" t="str">
        <f t="shared" si="180"/>
        <v/>
      </c>
      <c r="AB640" s="587"/>
      <c r="AC640" s="587" t="str">
        <f t="shared" si="181"/>
        <v/>
      </c>
      <c r="AD640" s="586"/>
      <c r="AE640" s="587" t="str">
        <f t="shared" si="177"/>
        <v/>
      </c>
    </row>
    <row r="641" spans="2:31">
      <c r="B641" s="586" t="s">
        <v>545</v>
      </c>
      <c r="C641" s="587"/>
      <c r="D641" s="588"/>
      <c r="E641" s="587"/>
      <c r="F641" s="587">
        <v>28.427</v>
      </c>
      <c r="G641" s="587">
        <v>24.34</v>
      </c>
      <c r="H641" s="589" t="s">
        <v>957</v>
      </c>
      <c r="I641" s="587">
        <f t="shared" si="185"/>
        <v>28.427</v>
      </c>
      <c r="J641" s="589" t="s">
        <v>957</v>
      </c>
      <c r="K641" s="587">
        <f t="shared" si="175"/>
        <v>24.34</v>
      </c>
      <c r="L641" s="587"/>
      <c r="M641" s="587" t="str">
        <f t="shared" si="190"/>
        <v/>
      </c>
      <c r="N641" s="587"/>
      <c r="O641" s="587" t="str">
        <f t="shared" si="183"/>
        <v/>
      </c>
      <c r="P641" s="587"/>
      <c r="Q641" s="587" t="str">
        <f t="shared" si="176"/>
        <v/>
      </c>
      <c r="R641" s="587"/>
      <c r="S641" s="587" t="str">
        <f t="shared" si="184"/>
        <v/>
      </c>
      <c r="T641" s="587"/>
      <c r="U641" s="587" t="str">
        <f t="shared" si="186"/>
        <v/>
      </c>
      <c r="V641" s="587" t="s">
        <v>957</v>
      </c>
      <c r="W641" s="587">
        <f t="shared" si="187"/>
        <v>28.427</v>
      </c>
      <c r="X641" s="587"/>
      <c r="Y641" s="587" t="str">
        <f t="shared" si="182"/>
        <v/>
      </c>
      <c r="Z641" s="587"/>
      <c r="AA641" s="587" t="str">
        <f t="shared" si="180"/>
        <v/>
      </c>
      <c r="AB641" s="587"/>
      <c r="AC641" s="587" t="str">
        <f t="shared" si="181"/>
        <v/>
      </c>
      <c r="AD641" s="586"/>
      <c r="AE641" s="587" t="str">
        <f t="shared" si="177"/>
        <v/>
      </c>
    </row>
    <row r="642" spans="2:31">
      <c r="B642" s="586" t="s">
        <v>546</v>
      </c>
      <c r="C642" s="587">
        <v>2.8</v>
      </c>
      <c r="D642" s="588" t="s">
        <v>957</v>
      </c>
      <c r="E642" s="587">
        <v>1.6</v>
      </c>
      <c r="F642" s="587">
        <f>C642*E642</f>
        <v>4.4799999999999995</v>
      </c>
      <c r="G642" s="587">
        <f>(C642+E642)*2</f>
        <v>8.8000000000000007</v>
      </c>
      <c r="H642" s="589" t="s">
        <v>957</v>
      </c>
      <c r="I642" s="587">
        <f t="shared" si="185"/>
        <v>4.4799999999999995</v>
      </c>
      <c r="J642" s="589" t="s">
        <v>957</v>
      </c>
      <c r="K642" s="587">
        <f t="shared" si="175"/>
        <v>8.8000000000000007</v>
      </c>
      <c r="L642" s="587"/>
      <c r="M642" s="587" t="str">
        <f t="shared" si="190"/>
        <v/>
      </c>
      <c r="N642" s="587"/>
      <c r="O642" s="587" t="str">
        <f t="shared" si="183"/>
        <v/>
      </c>
      <c r="P642" s="587"/>
      <c r="Q642" s="587" t="str">
        <f t="shared" si="176"/>
        <v/>
      </c>
      <c r="R642" s="587"/>
      <c r="S642" s="587" t="str">
        <f t="shared" si="184"/>
        <v/>
      </c>
      <c r="T642" s="587"/>
      <c r="U642" s="587" t="str">
        <f t="shared" si="186"/>
        <v/>
      </c>
      <c r="V642" s="587" t="s">
        <v>957</v>
      </c>
      <c r="W642" s="587">
        <f t="shared" si="187"/>
        <v>4.4799999999999995</v>
      </c>
      <c r="X642" s="587"/>
      <c r="Y642" s="587" t="str">
        <f t="shared" si="182"/>
        <v/>
      </c>
      <c r="Z642" s="587"/>
      <c r="AA642" s="587" t="str">
        <f t="shared" si="180"/>
        <v/>
      </c>
      <c r="AB642" s="587"/>
      <c r="AC642" s="587" t="str">
        <f t="shared" si="181"/>
        <v/>
      </c>
      <c r="AD642" s="586"/>
      <c r="AE642" s="587" t="str">
        <f t="shared" si="177"/>
        <v/>
      </c>
    </row>
    <row r="643" spans="2:31">
      <c r="B643" s="586" t="s">
        <v>547</v>
      </c>
      <c r="C643" s="587">
        <v>2.8</v>
      </c>
      <c r="D643" s="588" t="s">
        <v>957</v>
      </c>
      <c r="E643" s="587">
        <v>1.6</v>
      </c>
      <c r="F643" s="587">
        <f>C643*E643</f>
        <v>4.4799999999999995</v>
      </c>
      <c r="G643" s="587">
        <f>(C643+E643)*2</f>
        <v>8.8000000000000007</v>
      </c>
      <c r="H643" s="589" t="s">
        <v>957</v>
      </c>
      <c r="I643" s="587">
        <f t="shared" si="185"/>
        <v>4.4799999999999995</v>
      </c>
      <c r="J643" s="589" t="s">
        <v>957</v>
      </c>
      <c r="K643" s="587">
        <f t="shared" si="175"/>
        <v>8.8000000000000007</v>
      </c>
      <c r="L643" s="587"/>
      <c r="M643" s="587" t="str">
        <f t="shared" si="190"/>
        <v/>
      </c>
      <c r="N643" s="587"/>
      <c r="O643" s="587" t="str">
        <f t="shared" si="183"/>
        <v/>
      </c>
      <c r="P643" s="587"/>
      <c r="Q643" s="587" t="str">
        <f t="shared" si="176"/>
        <v/>
      </c>
      <c r="R643" s="587"/>
      <c r="S643" s="587" t="str">
        <f t="shared" si="184"/>
        <v/>
      </c>
      <c r="T643" s="587"/>
      <c r="U643" s="587" t="str">
        <f t="shared" si="186"/>
        <v/>
      </c>
      <c r="V643" s="587" t="s">
        <v>957</v>
      </c>
      <c r="W643" s="587">
        <f t="shared" si="187"/>
        <v>4.4799999999999995</v>
      </c>
      <c r="X643" s="587"/>
      <c r="Y643" s="587" t="str">
        <f t="shared" si="182"/>
        <v/>
      </c>
      <c r="Z643" s="587"/>
      <c r="AA643" s="587" t="str">
        <f t="shared" si="180"/>
        <v/>
      </c>
      <c r="AB643" s="587"/>
      <c r="AC643" s="587" t="str">
        <f t="shared" si="181"/>
        <v/>
      </c>
      <c r="AD643" s="586"/>
      <c r="AE643" s="587" t="str">
        <f t="shared" si="177"/>
        <v/>
      </c>
    </row>
    <row r="644" spans="2:31">
      <c r="B644" s="586" t="s">
        <v>548</v>
      </c>
      <c r="C644" s="587"/>
      <c r="D644" s="588"/>
      <c r="E644" s="587"/>
      <c r="F644" s="587">
        <v>28.427</v>
      </c>
      <c r="G644" s="587">
        <v>24.34</v>
      </c>
      <c r="H644" s="589" t="s">
        <v>957</v>
      </c>
      <c r="I644" s="587">
        <f t="shared" si="185"/>
        <v>28.427</v>
      </c>
      <c r="J644" s="589" t="s">
        <v>957</v>
      </c>
      <c r="K644" s="587">
        <f t="shared" si="175"/>
        <v>24.34</v>
      </c>
      <c r="L644" s="587"/>
      <c r="M644" s="587" t="str">
        <f t="shared" si="190"/>
        <v/>
      </c>
      <c r="N644" s="587"/>
      <c r="O644" s="587" t="str">
        <f t="shared" si="183"/>
        <v/>
      </c>
      <c r="P644" s="587"/>
      <c r="Q644" s="587" t="str">
        <f t="shared" si="176"/>
        <v/>
      </c>
      <c r="R644" s="587"/>
      <c r="S644" s="587" t="str">
        <f t="shared" si="184"/>
        <v/>
      </c>
      <c r="T644" s="587"/>
      <c r="U644" s="587" t="str">
        <f t="shared" si="186"/>
        <v/>
      </c>
      <c r="V644" s="587" t="s">
        <v>957</v>
      </c>
      <c r="W644" s="587">
        <f t="shared" si="187"/>
        <v>28.427</v>
      </c>
      <c r="X644" s="587"/>
      <c r="Y644" s="587" t="str">
        <f t="shared" si="182"/>
        <v/>
      </c>
      <c r="Z644" s="587"/>
      <c r="AA644" s="587" t="str">
        <f t="shared" si="180"/>
        <v/>
      </c>
      <c r="AB644" s="587"/>
      <c r="AC644" s="587" t="str">
        <f t="shared" si="181"/>
        <v/>
      </c>
      <c r="AD644" s="586"/>
      <c r="AE644" s="587" t="str">
        <f t="shared" si="177"/>
        <v/>
      </c>
    </row>
    <row r="645" spans="2:31">
      <c r="B645" s="590" t="s">
        <v>411</v>
      </c>
      <c r="C645" s="596">
        <v>3.0649999999999999</v>
      </c>
      <c r="D645" s="597" t="s">
        <v>957</v>
      </c>
      <c r="E645" s="596">
        <v>4.7359999999999998</v>
      </c>
      <c r="F645" s="587">
        <f>C645*E645</f>
        <v>14.515839999999999</v>
      </c>
      <c r="G645" s="587">
        <f>(C645+E645)*2</f>
        <v>15.602</v>
      </c>
      <c r="H645" s="589" t="s">
        <v>957</v>
      </c>
      <c r="I645" s="587">
        <f t="shared" si="185"/>
        <v>14.515839999999999</v>
      </c>
      <c r="J645" s="589" t="s">
        <v>957</v>
      </c>
      <c r="K645" s="587">
        <f t="shared" si="175"/>
        <v>15.602</v>
      </c>
      <c r="L645" s="587"/>
      <c r="M645" s="587" t="str">
        <f t="shared" si="190"/>
        <v/>
      </c>
      <c r="N645" s="587"/>
      <c r="O645" s="587" t="str">
        <f t="shared" si="183"/>
        <v/>
      </c>
      <c r="P645" s="587"/>
      <c r="Q645" s="587" t="str">
        <f t="shared" si="176"/>
        <v/>
      </c>
      <c r="R645" s="587"/>
      <c r="S645" s="587" t="str">
        <f t="shared" si="184"/>
        <v/>
      </c>
      <c r="T645" s="587"/>
      <c r="U645" s="587" t="str">
        <f t="shared" si="186"/>
        <v/>
      </c>
      <c r="V645" s="587" t="s">
        <v>957</v>
      </c>
      <c r="W645" s="587">
        <f t="shared" si="187"/>
        <v>14.515839999999999</v>
      </c>
      <c r="X645" s="587"/>
      <c r="Y645" s="587" t="str">
        <f t="shared" si="182"/>
        <v/>
      </c>
      <c r="Z645" s="587"/>
      <c r="AA645" s="587" t="str">
        <f t="shared" si="180"/>
        <v/>
      </c>
      <c r="AB645" s="587"/>
      <c r="AC645" s="587" t="str">
        <f t="shared" si="181"/>
        <v/>
      </c>
      <c r="AD645" s="586"/>
      <c r="AE645" s="587" t="str">
        <f t="shared" si="177"/>
        <v/>
      </c>
    </row>
    <row r="646" spans="2:31">
      <c r="B646" s="590" t="s">
        <v>396</v>
      </c>
      <c r="C646" s="596">
        <v>4.056</v>
      </c>
      <c r="D646" s="597" t="s">
        <v>957</v>
      </c>
      <c r="E646" s="596">
        <v>2.2930000000000001</v>
      </c>
      <c r="F646" s="587">
        <f>C646*E646</f>
        <v>9.3004080000000009</v>
      </c>
      <c r="G646" s="587">
        <f>(C646+E646)*2</f>
        <v>12.698</v>
      </c>
      <c r="H646" s="589" t="s">
        <v>957</v>
      </c>
      <c r="I646" s="587">
        <f t="shared" si="185"/>
        <v>9.3004080000000009</v>
      </c>
      <c r="J646" s="589" t="s">
        <v>957</v>
      </c>
      <c r="K646" s="587">
        <f t="shared" si="175"/>
        <v>12.698</v>
      </c>
      <c r="L646" s="587"/>
      <c r="M646" s="587" t="str">
        <f t="shared" si="190"/>
        <v/>
      </c>
      <c r="N646" s="587"/>
      <c r="O646" s="587" t="str">
        <f t="shared" si="183"/>
        <v/>
      </c>
      <c r="P646" s="587"/>
      <c r="Q646" s="587" t="str">
        <f t="shared" si="176"/>
        <v/>
      </c>
      <c r="R646" s="587"/>
      <c r="S646" s="587" t="str">
        <f t="shared" si="184"/>
        <v/>
      </c>
      <c r="T646" s="587"/>
      <c r="U646" s="587" t="str">
        <f t="shared" si="186"/>
        <v/>
      </c>
      <c r="V646" s="587" t="s">
        <v>957</v>
      </c>
      <c r="W646" s="587">
        <f t="shared" si="187"/>
        <v>9.3004080000000009</v>
      </c>
      <c r="X646" s="587"/>
      <c r="Y646" s="587" t="str">
        <f t="shared" si="182"/>
        <v/>
      </c>
      <c r="Z646" s="587"/>
      <c r="AA646" s="587" t="str">
        <f t="shared" si="180"/>
        <v/>
      </c>
      <c r="AB646" s="587"/>
      <c r="AC646" s="587" t="str">
        <f t="shared" si="181"/>
        <v/>
      </c>
      <c r="AD646" s="586"/>
      <c r="AE646" s="587" t="str">
        <f t="shared" si="177"/>
        <v/>
      </c>
    </row>
    <row r="647" spans="2:31">
      <c r="B647" s="586" t="s">
        <v>307</v>
      </c>
      <c r="C647" s="587">
        <v>2.25</v>
      </c>
      <c r="D647" s="588" t="s">
        <v>957</v>
      </c>
      <c r="E647" s="587">
        <v>3.65</v>
      </c>
      <c r="F647" s="587">
        <f>C647*E647</f>
        <v>8.2125000000000004</v>
      </c>
      <c r="G647" s="587">
        <f>(C647+E647)*2</f>
        <v>11.8</v>
      </c>
      <c r="H647" s="589"/>
      <c r="I647" s="587" t="str">
        <f t="shared" si="185"/>
        <v/>
      </c>
      <c r="J647" s="589"/>
      <c r="K647" s="587" t="str">
        <f t="shared" ref="K647:K664" si="191">IF(J647="x",G647,"")</f>
        <v/>
      </c>
      <c r="L647" s="587" t="s">
        <v>952</v>
      </c>
      <c r="M647" s="587">
        <f t="shared" si="190"/>
        <v>8.2125000000000004</v>
      </c>
      <c r="N647" s="587"/>
      <c r="O647" s="587" t="str">
        <f t="shared" si="183"/>
        <v/>
      </c>
      <c r="P647" s="587"/>
      <c r="Q647" s="587" t="str">
        <f t="shared" ref="Q647:Q663" si="192">IF(P647="x",G647,"")</f>
        <v/>
      </c>
      <c r="R647" s="587"/>
      <c r="S647" s="587" t="str">
        <f t="shared" si="184"/>
        <v/>
      </c>
      <c r="T647" s="587"/>
      <c r="U647" s="587" t="str">
        <f t="shared" si="186"/>
        <v/>
      </c>
      <c r="V647" s="587" t="s">
        <v>957</v>
      </c>
      <c r="W647" s="587">
        <f t="shared" si="187"/>
        <v>8.2125000000000004</v>
      </c>
      <c r="X647" s="587"/>
      <c r="Y647" s="587" t="str">
        <f t="shared" si="182"/>
        <v/>
      </c>
      <c r="Z647" s="587"/>
      <c r="AA647" s="587" t="str">
        <f t="shared" si="180"/>
        <v/>
      </c>
      <c r="AB647" s="587"/>
      <c r="AC647" s="587" t="str">
        <f t="shared" si="181"/>
        <v/>
      </c>
      <c r="AD647" s="586"/>
      <c r="AE647" s="587" t="str">
        <f t="shared" ref="AE647:AE663" si="193">IF(AD647="x",F647,"")</f>
        <v/>
      </c>
    </row>
    <row r="648" spans="2:31">
      <c r="B648" s="590" t="s">
        <v>407</v>
      </c>
      <c r="C648" s="596">
        <v>4.45</v>
      </c>
      <c r="D648" s="597" t="s">
        <v>957</v>
      </c>
      <c r="E648" s="596">
        <v>4.78</v>
      </c>
      <c r="F648" s="596">
        <f>C648*E648</f>
        <v>21.271000000000001</v>
      </c>
      <c r="G648" s="596">
        <f>(C648+E648)*2</f>
        <v>18.46</v>
      </c>
      <c r="H648" s="589" t="s">
        <v>957</v>
      </c>
      <c r="I648" s="587">
        <f t="shared" si="185"/>
        <v>21.271000000000001</v>
      </c>
      <c r="J648" s="589" t="s">
        <v>957</v>
      </c>
      <c r="K648" s="587">
        <f t="shared" si="191"/>
        <v>18.46</v>
      </c>
      <c r="L648" s="587"/>
      <c r="M648" s="587" t="str">
        <f t="shared" si="190"/>
        <v/>
      </c>
      <c r="N648" s="587"/>
      <c r="O648" s="587" t="str">
        <f t="shared" si="183"/>
        <v/>
      </c>
      <c r="P648" s="587"/>
      <c r="Q648" s="587" t="str">
        <f t="shared" si="192"/>
        <v/>
      </c>
      <c r="R648" s="587"/>
      <c r="S648" s="587" t="str">
        <f t="shared" si="184"/>
        <v/>
      </c>
      <c r="T648" s="587"/>
      <c r="U648" s="587" t="str">
        <f t="shared" si="186"/>
        <v/>
      </c>
      <c r="V648" s="587" t="s">
        <v>957</v>
      </c>
      <c r="W648" s="587">
        <f t="shared" si="187"/>
        <v>21.271000000000001</v>
      </c>
      <c r="X648" s="587"/>
      <c r="Y648" s="587" t="str">
        <f t="shared" si="182"/>
        <v/>
      </c>
      <c r="Z648" s="587"/>
      <c r="AA648" s="587" t="str">
        <f t="shared" si="180"/>
        <v/>
      </c>
      <c r="AB648" s="587"/>
      <c r="AC648" s="587" t="str">
        <f t="shared" si="181"/>
        <v/>
      </c>
      <c r="AD648" s="586"/>
      <c r="AE648" s="587" t="str">
        <f t="shared" si="193"/>
        <v/>
      </c>
    </row>
    <row r="649" spans="2:31">
      <c r="B649" s="590" t="s">
        <v>572</v>
      </c>
      <c r="C649" s="596"/>
      <c r="D649" s="597"/>
      <c r="E649" s="596"/>
      <c r="F649" s="596">
        <v>31.58</v>
      </c>
      <c r="G649" s="596">
        <v>25.74</v>
      </c>
      <c r="H649" s="589" t="s">
        <v>957</v>
      </c>
      <c r="I649" s="587">
        <f t="shared" si="185"/>
        <v>31.58</v>
      </c>
      <c r="J649" s="589" t="s">
        <v>957</v>
      </c>
      <c r="K649" s="587">
        <f t="shared" si="191"/>
        <v>25.74</v>
      </c>
      <c r="L649" s="587"/>
      <c r="M649" s="587" t="str">
        <f t="shared" si="190"/>
        <v/>
      </c>
      <c r="N649" s="587"/>
      <c r="O649" s="587" t="str">
        <f t="shared" si="183"/>
        <v/>
      </c>
      <c r="P649" s="587"/>
      <c r="Q649" s="587" t="str">
        <f t="shared" si="192"/>
        <v/>
      </c>
      <c r="R649" s="587"/>
      <c r="S649" s="587" t="str">
        <f t="shared" si="184"/>
        <v/>
      </c>
      <c r="T649" s="587"/>
      <c r="U649" s="587" t="str">
        <f t="shared" si="186"/>
        <v/>
      </c>
      <c r="V649" s="587" t="s">
        <v>957</v>
      </c>
      <c r="W649" s="587">
        <f t="shared" si="187"/>
        <v>31.58</v>
      </c>
      <c r="X649" s="587"/>
      <c r="Y649" s="587" t="str">
        <f t="shared" si="182"/>
        <v/>
      </c>
      <c r="Z649" s="587"/>
      <c r="AA649" s="587" t="str">
        <f t="shared" si="180"/>
        <v/>
      </c>
      <c r="AB649" s="587"/>
      <c r="AC649" s="587" t="str">
        <f t="shared" si="181"/>
        <v/>
      </c>
      <c r="AD649" s="586"/>
      <c r="AE649" s="587" t="str">
        <f t="shared" si="193"/>
        <v/>
      </c>
    </row>
    <row r="650" spans="2:31">
      <c r="B650" s="590" t="s">
        <v>397</v>
      </c>
      <c r="C650" s="596">
        <v>2.5</v>
      </c>
      <c r="D650" s="597" t="s">
        <v>957</v>
      </c>
      <c r="E650" s="596">
        <v>1.994</v>
      </c>
      <c r="F650" s="596">
        <f>C650*E650</f>
        <v>4.9850000000000003</v>
      </c>
      <c r="G650" s="596">
        <f>(C650+E650)*2</f>
        <v>8.9879999999999995</v>
      </c>
      <c r="H650" s="589" t="s">
        <v>957</v>
      </c>
      <c r="I650" s="587">
        <f t="shared" si="185"/>
        <v>4.9850000000000003</v>
      </c>
      <c r="J650" s="589" t="s">
        <v>957</v>
      </c>
      <c r="K650" s="587">
        <f t="shared" si="191"/>
        <v>8.9879999999999995</v>
      </c>
      <c r="L650" s="587"/>
      <c r="M650" s="587" t="str">
        <f t="shared" si="190"/>
        <v/>
      </c>
      <c r="N650" s="587"/>
      <c r="O650" s="587" t="str">
        <f t="shared" si="183"/>
        <v/>
      </c>
      <c r="P650" s="587"/>
      <c r="Q650" s="587" t="str">
        <f t="shared" si="192"/>
        <v/>
      </c>
      <c r="R650" s="587"/>
      <c r="S650" s="587" t="str">
        <f t="shared" si="184"/>
        <v/>
      </c>
      <c r="T650" s="587"/>
      <c r="U650" s="587" t="str">
        <f t="shared" si="186"/>
        <v/>
      </c>
      <c r="V650" s="587" t="s">
        <v>957</v>
      </c>
      <c r="W650" s="587">
        <f t="shared" si="187"/>
        <v>4.9850000000000003</v>
      </c>
      <c r="X650" s="587"/>
      <c r="Y650" s="587" t="str">
        <f t="shared" si="182"/>
        <v/>
      </c>
      <c r="Z650" s="587"/>
      <c r="AA650" s="587" t="str">
        <f t="shared" si="180"/>
        <v/>
      </c>
      <c r="AB650" s="587"/>
      <c r="AC650" s="587" t="str">
        <f t="shared" si="181"/>
        <v/>
      </c>
      <c r="AD650" s="586"/>
      <c r="AE650" s="587" t="str">
        <f t="shared" si="193"/>
        <v/>
      </c>
    </row>
    <row r="651" spans="2:31">
      <c r="B651" s="590" t="s">
        <v>573</v>
      </c>
      <c r="C651" s="596">
        <v>4.5</v>
      </c>
      <c r="D651" s="597"/>
      <c r="E651" s="596">
        <v>6.9240000000000004</v>
      </c>
      <c r="F651" s="596">
        <f>C651*E651</f>
        <v>31.158000000000001</v>
      </c>
      <c r="G651" s="596">
        <f>(C651+E651)*2</f>
        <v>22.847999999999999</v>
      </c>
      <c r="H651" s="589" t="s">
        <v>957</v>
      </c>
      <c r="I651" s="587">
        <f t="shared" si="185"/>
        <v>31.158000000000001</v>
      </c>
      <c r="J651" s="589" t="s">
        <v>957</v>
      </c>
      <c r="K651" s="587">
        <f t="shared" si="191"/>
        <v>22.847999999999999</v>
      </c>
      <c r="L651" s="587"/>
      <c r="M651" s="587" t="str">
        <f t="shared" si="190"/>
        <v/>
      </c>
      <c r="N651" s="587"/>
      <c r="O651" s="587" t="str">
        <f t="shared" si="183"/>
        <v/>
      </c>
      <c r="P651" s="587"/>
      <c r="Q651" s="587" t="str">
        <f t="shared" si="192"/>
        <v/>
      </c>
      <c r="R651" s="587"/>
      <c r="S651" s="587" t="str">
        <f t="shared" si="184"/>
        <v/>
      </c>
      <c r="T651" s="587"/>
      <c r="U651" s="587" t="str">
        <f t="shared" si="186"/>
        <v/>
      </c>
      <c r="V651" s="587"/>
      <c r="W651" s="587" t="str">
        <f t="shared" si="187"/>
        <v/>
      </c>
      <c r="X651" s="587"/>
      <c r="Y651" s="587" t="str">
        <f t="shared" si="182"/>
        <v/>
      </c>
      <c r="Z651" s="587" t="s">
        <v>952</v>
      </c>
      <c r="AA651" s="587">
        <f t="shared" si="180"/>
        <v>31.158000000000001</v>
      </c>
      <c r="AB651" s="587"/>
      <c r="AC651" s="587" t="str">
        <f t="shared" si="181"/>
        <v/>
      </c>
      <c r="AD651" s="586"/>
      <c r="AE651" s="587" t="str">
        <f t="shared" si="193"/>
        <v/>
      </c>
    </row>
    <row r="652" spans="2:31">
      <c r="B652" s="590" t="s">
        <v>574</v>
      </c>
      <c r="C652" s="596"/>
      <c r="D652" s="597"/>
      <c r="E652" s="596"/>
      <c r="F652" s="596">
        <v>134.69999999999999</v>
      </c>
      <c r="G652" s="596">
        <v>52.15</v>
      </c>
      <c r="H652" s="589" t="s">
        <v>957</v>
      </c>
      <c r="I652" s="587">
        <f t="shared" si="185"/>
        <v>134.69999999999999</v>
      </c>
      <c r="J652" s="589" t="s">
        <v>957</v>
      </c>
      <c r="K652" s="587">
        <f t="shared" si="191"/>
        <v>52.15</v>
      </c>
      <c r="L652" s="587"/>
      <c r="M652" s="587" t="str">
        <f t="shared" si="190"/>
        <v/>
      </c>
      <c r="N652" s="587"/>
      <c r="O652" s="587" t="str">
        <f t="shared" si="183"/>
        <v/>
      </c>
      <c r="P652" s="587"/>
      <c r="Q652" s="587" t="str">
        <f t="shared" si="192"/>
        <v/>
      </c>
      <c r="R652" s="587"/>
      <c r="S652" s="587" t="str">
        <f t="shared" si="184"/>
        <v/>
      </c>
      <c r="T652" s="587"/>
      <c r="U652" s="587" t="str">
        <f t="shared" si="186"/>
        <v/>
      </c>
      <c r="V652" s="587" t="s">
        <v>957</v>
      </c>
      <c r="W652" s="587">
        <f t="shared" si="187"/>
        <v>134.69999999999999</v>
      </c>
      <c r="X652" s="587"/>
      <c r="Y652" s="587" t="str">
        <f t="shared" si="182"/>
        <v/>
      </c>
      <c r="Z652" s="587"/>
      <c r="AA652" s="587" t="str">
        <f t="shared" si="180"/>
        <v/>
      </c>
      <c r="AB652" s="587"/>
      <c r="AC652" s="587" t="str">
        <f t="shared" si="181"/>
        <v/>
      </c>
      <c r="AD652" s="586"/>
      <c r="AE652" s="587" t="str">
        <f t="shared" si="193"/>
        <v/>
      </c>
    </row>
    <row r="653" spans="2:31">
      <c r="B653" s="590" t="s">
        <v>575</v>
      </c>
      <c r="C653" s="596"/>
      <c r="D653" s="597"/>
      <c r="E653" s="596"/>
      <c r="F653" s="596">
        <v>100.56</v>
      </c>
      <c r="G653" s="596">
        <v>91.71</v>
      </c>
      <c r="H653" s="589" t="s">
        <v>957</v>
      </c>
      <c r="I653" s="587">
        <f t="shared" si="185"/>
        <v>100.56</v>
      </c>
      <c r="J653" s="589" t="s">
        <v>957</v>
      </c>
      <c r="K653" s="587">
        <f t="shared" si="191"/>
        <v>91.71</v>
      </c>
      <c r="L653" s="587"/>
      <c r="M653" s="587" t="str">
        <f t="shared" si="190"/>
        <v/>
      </c>
      <c r="N653" s="587"/>
      <c r="O653" s="587" t="str">
        <f t="shared" si="183"/>
        <v/>
      </c>
      <c r="P653" s="587"/>
      <c r="Q653" s="587" t="str">
        <f t="shared" si="192"/>
        <v/>
      </c>
      <c r="R653" s="587"/>
      <c r="S653" s="587" t="str">
        <f t="shared" si="184"/>
        <v/>
      </c>
      <c r="T653" s="587"/>
      <c r="U653" s="587" t="str">
        <f t="shared" si="186"/>
        <v/>
      </c>
      <c r="V653" s="587"/>
      <c r="W653" s="587" t="str">
        <f t="shared" si="187"/>
        <v/>
      </c>
      <c r="X653" s="587" t="s">
        <v>952</v>
      </c>
      <c r="Y653" s="587">
        <f t="shared" si="182"/>
        <v>100.56</v>
      </c>
      <c r="Z653" s="587"/>
      <c r="AA653" s="587" t="str">
        <f t="shared" si="180"/>
        <v/>
      </c>
      <c r="AB653" s="587"/>
      <c r="AC653" s="587" t="str">
        <f t="shared" si="181"/>
        <v/>
      </c>
      <c r="AD653" s="586"/>
      <c r="AE653" s="587" t="str">
        <f t="shared" si="193"/>
        <v/>
      </c>
    </row>
    <row r="654" spans="2:31">
      <c r="B654" s="590" t="s">
        <v>576</v>
      </c>
      <c r="C654" s="596"/>
      <c r="D654" s="597"/>
      <c r="E654" s="596"/>
      <c r="F654" s="596">
        <v>99.71</v>
      </c>
      <c r="G654" s="596">
        <v>72.48</v>
      </c>
      <c r="H654" s="589" t="s">
        <v>957</v>
      </c>
      <c r="I654" s="587">
        <f t="shared" si="185"/>
        <v>99.71</v>
      </c>
      <c r="J654" s="589" t="s">
        <v>957</v>
      </c>
      <c r="K654" s="587">
        <f t="shared" si="191"/>
        <v>72.48</v>
      </c>
      <c r="L654" s="587"/>
      <c r="M654" s="587" t="str">
        <f t="shared" si="190"/>
        <v/>
      </c>
      <c r="N654" s="587"/>
      <c r="O654" s="587" t="str">
        <f t="shared" si="183"/>
        <v/>
      </c>
      <c r="P654" s="587"/>
      <c r="Q654" s="587" t="str">
        <f t="shared" si="192"/>
        <v/>
      </c>
      <c r="R654" s="587"/>
      <c r="S654" s="587" t="str">
        <f t="shared" si="184"/>
        <v/>
      </c>
      <c r="T654" s="587"/>
      <c r="U654" s="587" t="str">
        <f t="shared" si="186"/>
        <v/>
      </c>
      <c r="V654" s="587"/>
      <c r="W654" s="587" t="str">
        <f t="shared" si="187"/>
        <v/>
      </c>
      <c r="X654" s="587" t="s">
        <v>952</v>
      </c>
      <c r="Y654" s="587">
        <f t="shared" si="182"/>
        <v>99.71</v>
      </c>
      <c r="Z654" s="587"/>
      <c r="AA654" s="587" t="str">
        <f t="shared" ref="AA654:AA664" si="194">IF(Z654="x",F654,"")</f>
        <v/>
      </c>
      <c r="AB654" s="587"/>
      <c r="AC654" s="587" t="str">
        <f t="shared" ref="AC654:AC664" si="195">IF(AB654="x",F654,"")</f>
        <v/>
      </c>
      <c r="AD654" s="586"/>
      <c r="AE654" s="587" t="str">
        <f t="shared" si="193"/>
        <v/>
      </c>
    </row>
    <row r="655" spans="2:31">
      <c r="B655" s="590" t="s">
        <v>577</v>
      </c>
      <c r="C655" s="596"/>
      <c r="D655" s="597"/>
      <c r="E655" s="596"/>
      <c r="F655" s="596">
        <v>71.42</v>
      </c>
      <c r="G655" s="596">
        <v>45.7</v>
      </c>
      <c r="H655" s="589" t="s">
        <v>957</v>
      </c>
      <c r="I655" s="587">
        <f t="shared" si="185"/>
        <v>71.42</v>
      </c>
      <c r="J655" s="589" t="s">
        <v>957</v>
      </c>
      <c r="K655" s="587">
        <f t="shared" si="191"/>
        <v>45.7</v>
      </c>
      <c r="L655" s="587"/>
      <c r="M655" s="587" t="str">
        <f t="shared" si="190"/>
        <v/>
      </c>
      <c r="N655" s="587"/>
      <c r="O655" s="587" t="str">
        <f t="shared" si="183"/>
        <v/>
      </c>
      <c r="P655" s="587"/>
      <c r="Q655" s="587" t="str">
        <f t="shared" si="192"/>
        <v/>
      </c>
      <c r="R655" s="587"/>
      <c r="S655" s="587" t="str">
        <f t="shared" si="184"/>
        <v/>
      </c>
      <c r="T655" s="587"/>
      <c r="U655" s="587" t="str">
        <f t="shared" si="186"/>
        <v/>
      </c>
      <c r="V655" s="587"/>
      <c r="W655" s="587" t="str">
        <f t="shared" si="187"/>
        <v/>
      </c>
      <c r="X655" s="587" t="s">
        <v>952</v>
      </c>
      <c r="Y655" s="587">
        <f t="shared" si="182"/>
        <v>71.42</v>
      </c>
      <c r="Z655" s="587"/>
      <c r="AA655" s="587" t="str">
        <f t="shared" si="194"/>
        <v/>
      </c>
      <c r="AB655" s="587"/>
      <c r="AC655" s="587" t="str">
        <f t="shared" si="195"/>
        <v/>
      </c>
      <c r="AD655" s="586"/>
      <c r="AE655" s="587" t="str">
        <f t="shared" si="193"/>
        <v/>
      </c>
    </row>
    <row r="656" spans="2:31">
      <c r="B656" s="590" t="s">
        <v>578</v>
      </c>
      <c r="C656" s="596"/>
      <c r="D656" s="597"/>
      <c r="E656" s="596"/>
      <c r="F656" s="596">
        <v>108.22</v>
      </c>
      <c r="G656" s="596">
        <v>77.040000000000006</v>
      </c>
      <c r="H656" s="589" t="s">
        <v>957</v>
      </c>
      <c r="I656" s="587">
        <f t="shared" si="185"/>
        <v>108.22</v>
      </c>
      <c r="J656" s="589" t="s">
        <v>957</v>
      </c>
      <c r="K656" s="587">
        <f t="shared" si="191"/>
        <v>77.040000000000006</v>
      </c>
      <c r="L656" s="587"/>
      <c r="M656" s="587" t="str">
        <f t="shared" si="190"/>
        <v/>
      </c>
      <c r="N656" s="587"/>
      <c r="O656" s="587" t="str">
        <f t="shared" si="183"/>
        <v/>
      </c>
      <c r="P656" s="587"/>
      <c r="Q656" s="587" t="str">
        <f t="shared" si="192"/>
        <v/>
      </c>
      <c r="R656" s="587"/>
      <c r="S656" s="587" t="str">
        <f t="shared" si="184"/>
        <v/>
      </c>
      <c r="T656" s="587"/>
      <c r="U656" s="587" t="str">
        <f t="shared" si="186"/>
        <v/>
      </c>
      <c r="V656" s="587"/>
      <c r="W656" s="587" t="str">
        <f t="shared" si="187"/>
        <v/>
      </c>
      <c r="X656" s="587" t="s">
        <v>952</v>
      </c>
      <c r="Y656" s="587">
        <f t="shared" si="182"/>
        <v>108.22</v>
      </c>
      <c r="Z656" s="587"/>
      <c r="AA656" s="587" t="str">
        <f t="shared" si="194"/>
        <v/>
      </c>
      <c r="AB656" s="587"/>
      <c r="AC656" s="587" t="str">
        <f t="shared" si="195"/>
        <v/>
      </c>
      <c r="AD656" s="586"/>
      <c r="AE656" s="587" t="str">
        <f t="shared" si="193"/>
        <v/>
      </c>
    </row>
    <row r="657" spans="2:31">
      <c r="B657" s="586" t="s">
        <v>437</v>
      </c>
      <c r="C657" s="587">
        <v>8.17</v>
      </c>
      <c r="D657" s="597" t="s">
        <v>957</v>
      </c>
      <c r="E657" s="587">
        <v>6.8</v>
      </c>
      <c r="F657" s="587">
        <f>C657*E657</f>
        <v>55.555999999999997</v>
      </c>
      <c r="G657" s="587">
        <f>(C657+E657)*2</f>
        <v>29.939999999999998</v>
      </c>
      <c r="H657" s="589"/>
      <c r="I657" s="587" t="str">
        <f t="shared" si="185"/>
        <v/>
      </c>
      <c r="J657" s="589"/>
      <c r="K657" s="587" t="str">
        <f t="shared" si="191"/>
        <v/>
      </c>
      <c r="L657" s="587"/>
      <c r="M657" s="587" t="str">
        <f t="shared" si="190"/>
        <v/>
      </c>
      <c r="N657" s="587"/>
      <c r="O657" s="587" t="str">
        <f t="shared" si="183"/>
        <v/>
      </c>
      <c r="P657" s="587"/>
      <c r="Q657" s="587" t="str">
        <f t="shared" si="192"/>
        <v/>
      </c>
      <c r="R657" s="587"/>
      <c r="S657" s="587" t="str">
        <f t="shared" si="184"/>
        <v/>
      </c>
      <c r="T657" s="587" t="s">
        <v>952</v>
      </c>
      <c r="U657" s="587">
        <f t="shared" si="186"/>
        <v>55.555999999999997</v>
      </c>
      <c r="V657" s="587"/>
      <c r="W657" s="587" t="str">
        <f t="shared" si="187"/>
        <v/>
      </c>
      <c r="X657" s="587"/>
      <c r="Y657" s="587" t="str">
        <f t="shared" si="182"/>
        <v/>
      </c>
      <c r="Z657" s="587"/>
      <c r="AA657" s="587" t="str">
        <f t="shared" si="194"/>
        <v/>
      </c>
      <c r="AB657" s="587" t="s">
        <v>952</v>
      </c>
      <c r="AC657" s="587">
        <f t="shared" si="195"/>
        <v>55.555999999999997</v>
      </c>
      <c r="AD657" s="586"/>
      <c r="AE657" s="587" t="str">
        <f t="shared" si="193"/>
        <v/>
      </c>
    </row>
    <row r="658" spans="2:31">
      <c r="B658" s="590" t="s">
        <v>457</v>
      </c>
      <c r="C658" s="596">
        <v>3.5</v>
      </c>
      <c r="D658" s="597" t="s">
        <v>957</v>
      </c>
      <c r="E658" s="596">
        <v>6.62</v>
      </c>
      <c r="F658" s="596">
        <f>C658*E658</f>
        <v>23.17</v>
      </c>
      <c r="G658" s="596">
        <f>(C658+E658)*2</f>
        <v>20.240000000000002</v>
      </c>
      <c r="H658" s="589"/>
      <c r="I658" s="587" t="str">
        <f t="shared" si="185"/>
        <v/>
      </c>
      <c r="J658" s="589"/>
      <c r="K658" s="587" t="str">
        <f t="shared" si="191"/>
        <v/>
      </c>
      <c r="L658" s="587" t="s">
        <v>952</v>
      </c>
      <c r="M658" s="587">
        <f t="shared" si="190"/>
        <v>23.17</v>
      </c>
      <c r="N658" s="587"/>
      <c r="O658" s="587" t="str">
        <f t="shared" si="183"/>
        <v/>
      </c>
      <c r="P658" s="587"/>
      <c r="Q658" s="587" t="str">
        <f t="shared" si="192"/>
        <v/>
      </c>
      <c r="R658" s="587"/>
      <c r="S658" s="587" t="str">
        <f t="shared" si="184"/>
        <v/>
      </c>
      <c r="T658" s="587"/>
      <c r="U658" s="587" t="str">
        <f t="shared" si="186"/>
        <v/>
      </c>
      <c r="V658" s="587"/>
      <c r="W658" s="587" t="str">
        <f t="shared" si="187"/>
        <v/>
      </c>
      <c r="X658" s="587"/>
      <c r="Y658" s="587" t="str">
        <f t="shared" si="182"/>
        <v/>
      </c>
      <c r="Z658" s="587"/>
      <c r="AA658" s="587" t="str">
        <f t="shared" si="194"/>
        <v/>
      </c>
      <c r="AB658" s="587" t="s">
        <v>952</v>
      </c>
      <c r="AC658" s="587">
        <f t="shared" si="195"/>
        <v>23.17</v>
      </c>
      <c r="AD658" s="586"/>
      <c r="AE658" s="587" t="str">
        <f t="shared" si="193"/>
        <v/>
      </c>
    </row>
    <row r="659" spans="2:31">
      <c r="B659" s="590" t="s">
        <v>458</v>
      </c>
      <c r="C659" s="596">
        <v>3.5</v>
      </c>
      <c r="D659" s="597" t="s">
        <v>957</v>
      </c>
      <c r="E659" s="596">
        <v>6.62</v>
      </c>
      <c r="F659" s="596">
        <f>C659*E659</f>
        <v>23.17</v>
      </c>
      <c r="G659" s="596">
        <f>(C659+E659)*2</f>
        <v>20.240000000000002</v>
      </c>
      <c r="H659" s="589"/>
      <c r="I659" s="587" t="str">
        <f t="shared" si="185"/>
        <v/>
      </c>
      <c r="J659" s="589"/>
      <c r="K659" s="587" t="str">
        <f t="shared" si="191"/>
        <v/>
      </c>
      <c r="L659" s="587" t="s">
        <v>952</v>
      </c>
      <c r="M659" s="587">
        <f t="shared" si="190"/>
        <v>23.17</v>
      </c>
      <c r="N659" s="587"/>
      <c r="O659" s="587" t="str">
        <f t="shared" si="183"/>
        <v/>
      </c>
      <c r="P659" s="587"/>
      <c r="Q659" s="587" t="str">
        <f t="shared" si="192"/>
        <v/>
      </c>
      <c r="R659" s="587"/>
      <c r="S659" s="587" t="str">
        <f t="shared" si="184"/>
        <v/>
      </c>
      <c r="T659" s="587"/>
      <c r="U659" s="587" t="str">
        <f t="shared" si="186"/>
        <v/>
      </c>
      <c r="V659" s="587"/>
      <c r="W659" s="587" t="str">
        <f t="shared" si="187"/>
        <v/>
      </c>
      <c r="X659" s="587"/>
      <c r="Y659" s="587" t="str">
        <f t="shared" ref="Y659:Y664" si="196">IF(X659="x",F659,"")</f>
        <v/>
      </c>
      <c r="Z659" s="587"/>
      <c r="AA659" s="587" t="str">
        <f t="shared" si="194"/>
        <v/>
      </c>
      <c r="AB659" s="587" t="s">
        <v>952</v>
      </c>
      <c r="AC659" s="587">
        <f t="shared" si="195"/>
        <v>23.17</v>
      </c>
      <c r="AD659" s="586"/>
      <c r="AE659" s="587" t="str">
        <f t="shared" si="193"/>
        <v/>
      </c>
    </row>
    <row r="660" spans="2:31">
      <c r="B660" s="590" t="s">
        <v>459</v>
      </c>
      <c r="C660" s="596">
        <v>2.9</v>
      </c>
      <c r="D660" s="597" t="s">
        <v>957</v>
      </c>
      <c r="E660" s="596">
        <v>6.65</v>
      </c>
      <c r="F660" s="596">
        <f>C660*E660</f>
        <v>19.285</v>
      </c>
      <c r="G660" s="596">
        <f>(C660+E660)*2</f>
        <v>19.100000000000001</v>
      </c>
      <c r="H660" s="589"/>
      <c r="I660" s="587" t="str">
        <f t="shared" si="185"/>
        <v/>
      </c>
      <c r="J660" s="589"/>
      <c r="K660" s="587" t="str">
        <f t="shared" si="191"/>
        <v/>
      </c>
      <c r="L660" s="587" t="s">
        <v>952</v>
      </c>
      <c r="M660" s="587">
        <f t="shared" si="190"/>
        <v>19.285</v>
      </c>
      <c r="N660" s="587"/>
      <c r="O660" s="587" t="str">
        <f t="shared" si="183"/>
        <v/>
      </c>
      <c r="P660" s="587"/>
      <c r="Q660" s="587" t="str">
        <f t="shared" si="192"/>
        <v/>
      </c>
      <c r="R660" s="587"/>
      <c r="S660" s="587" t="str">
        <f t="shared" si="184"/>
        <v/>
      </c>
      <c r="T660" s="587"/>
      <c r="U660" s="587" t="str">
        <f t="shared" si="186"/>
        <v/>
      </c>
      <c r="V660" s="587"/>
      <c r="W660" s="587" t="str">
        <f t="shared" si="187"/>
        <v/>
      </c>
      <c r="X660" s="587"/>
      <c r="Y660" s="587" t="str">
        <f t="shared" si="196"/>
        <v/>
      </c>
      <c r="Z660" s="587"/>
      <c r="AA660" s="587" t="str">
        <f t="shared" si="194"/>
        <v/>
      </c>
      <c r="AB660" s="587" t="s">
        <v>952</v>
      </c>
      <c r="AC660" s="587">
        <f t="shared" si="195"/>
        <v>19.285</v>
      </c>
      <c r="AD660" s="586"/>
      <c r="AE660" s="587" t="str">
        <f t="shared" si="193"/>
        <v/>
      </c>
    </row>
    <row r="661" spans="2:31">
      <c r="B661" s="582" t="s">
        <v>972</v>
      </c>
      <c r="C661" s="583"/>
      <c r="D661" s="583"/>
      <c r="E661" s="583"/>
      <c r="F661" s="583"/>
      <c r="G661" s="583"/>
      <c r="H661" s="584"/>
      <c r="I661" s="583"/>
      <c r="J661" s="584"/>
      <c r="K661" s="587" t="str">
        <f t="shared" si="191"/>
        <v/>
      </c>
      <c r="L661" s="583"/>
      <c r="M661" s="583"/>
      <c r="N661" s="583"/>
      <c r="O661" s="583"/>
      <c r="P661" s="583"/>
      <c r="Q661" s="587" t="str">
        <f t="shared" si="192"/>
        <v/>
      </c>
      <c r="R661" s="583"/>
      <c r="S661" s="583"/>
      <c r="T661" s="583"/>
      <c r="U661" s="583"/>
      <c r="V661" s="583"/>
      <c r="W661" s="583"/>
      <c r="X661" s="583"/>
      <c r="Y661" s="587" t="str">
        <f t="shared" si="196"/>
        <v/>
      </c>
      <c r="Z661" s="583"/>
      <c r="AA661" s="587" t="str">
        <f t="shared" si="194"/>
        <v/>
      </c>
      <c r="AB661" s="583"/>
      <c r="AC661" s="587" t="str">
        <f t="shared" si="195"/>
        <v/>
      </c>
      <c r="AD661" s="586"/>
      <c r="AE661" s="587" t="str">
        <f t="shared" si="193"/>
        <v/>
      </c>
    </row>
    <row r="662" spans="2:31">
      <c r="B662" s="590" t="s">
        <v>579</v>
      </c>
      <c r="C662" s="596"/>
      <c r="D662" s="597"/>
      <c r="E662" s="596"/>
      <c r="F662" s="596">
        <f>316.21+25.85</f>
        <v>342.06</v>
      </c>
      <c r="G662" s="596">
        <f>122.88+28.63</f>
        <v>151.51</v>
      </c>
      <c r="H662" s="589"/>
      <c r="I662" s="587" t="str">
        <f>IF(H662="x",F662,"")</f>
        <v/>
      </c>
      <c r="J662" s="589"/>
      <c r="K662" s="587" t="str">
        <f t="shared" si="191"/>
        <v/>
      </c>
      <c r="L662" s="587"/>
      <c r="M662" s="587"/>
      <c r="N662" s="587"/>
      <c r="O662" s="587" t="str">
        <f t="shared" si="183"/>
        <v/>
      </c>
      <c r="P662" s="587"/>
      <c r="Q662" s="587" t="str">
        <f t="shared" si="192"/>
        <v/>
      </c>
      <c r="R662" s="587"/>
      <c r="S662" s="587" t="str">
        <f t="shared" si="184"/>
        <v/>
      </c>
      <c r="T662" s="587" t="s">
        <v>952</v>
      </c>
      <c r="U662" s="587">
        <f>IF(T662="x",F662,"")</f>
        <v>342.06</v>
      </c>
      <c r="V662" s="587"/>
      <c r="W662" s="587" t="str">
        <f>IF(V662="x",F662,"")</f>
        <v/>
      </c>
      <c r="X662" s="587"/>
      <c r="Y662" s="587" t="str">
        <f t="shared" si="196"/>
        <v/>
      </c>
      <c r="Z662" s="587"/>
      <c r="AA662" s="587" t="str">
        <f t="shared" si="194"/>
        <v/>
      </c>
      <c r="AB662" s="587" t="s">
        <v>952</v>
      </c>
      <c r="AC662" s="587">
        <f t="shared" si="195"/>
        <v>342.06</v>
      </c>
      <c r="AD662" s="586"/>
      <c r="AE662" s="587" t="str">
        <f t="shared" si="193"/>
        <v/>
      </c>
    </row>
    <row r="663" spans="2:31">
      <c r="B663" s="590" t="s">
        <v>350</v>
      </c>
      <c r="C663" s="596"/>
      <c r="D663" s="597"/>
      <c r="E663" s="596"/>
      <c r="F663" s="596">
        <v>101.83</v>
      </c>
      <c r="G663" s="596"/>
      <c r="H663" s="589"/>
      <c r="I663" s="587" t="str">
        <f>IF(H663="x",F663,"")</f>
        <v/>
      </c>
      <c r="J663" s="589"/>
      <c r="K663" s="587" t="str">
        <f t="shared" si="191"/>
        <v/>
      </c>
      <c r="L663" s="587" t="s">
        <v>952</v>
      </c>
      <c r="M663" s="587">
        <f>IF(L663="x",$F663,"")</f>
        <v>101.83</v>
      </c>
      <c r="N663" s="587"/>
      <c r="O663" s="587" t="str">
        <f t="shared" si="183"/>
        <v/>
      </c>
      <c r="P663" s="587"/>
      <c r="Q663" s="587" t="str">
        <f t="shared" si="192"/>
        <v/>
      </c>
      <c r="R663" s="587"/>
      <c r="S663" s="587" t="str">
        <f t="shared" si="184"/>
        <v/>
      </c>
      <c r="T663" s="587"/>
      <c r="U663" s="587" t="str">
        <f>IF(T663="x",F663,"")</f>
        <v/>
      </c>
      <c r="V663" s="587"/>
      <c r="W663" s="587" t="str">
        <f>IF(V663="x",F663,"")</f>
        <v/>
      </c>
      <c r="X663" s="587"/>
      <c r="Y663" s="587" t="str">
        <f t="shared" si="196"/>
        <v/>
      </c>
      <c r="Z663" s="587"/>
      <c r="AA663" s="587" t="str">
        <f t="shared" si="194"/>
        <v/>
      </c>
      <c r="AB663" s="587" t="s">
        <v>952</v>
      </c>
      <c r="AC663" s="587">
        <f t="shared" si="195"/>
        <v>101.83</v>
      </c>
      <c r="AD663" s="586"/>
      <c r="AE663" s="587" t="str">
        <f t="shared" si="193"/>
        <v/>
      </c>
    </row>
    <row r="664" spans="2:31" s="497" customFormat="1">
      <c r="B664" s="590" t="s">
        <v>580</v>
      </c>
      <c r="C664" s="596"/>
      <c r="D664" s="597"/>
      <c r="E664" s="596"/>
      <c r="F664" s="596">
        <v>313.29000000000002</v>
      </c>
      <c r="G664" s="596"/>
      <c r="H664" s="589"/>
      <c r="I664" s="587" t="str">
        <f>IF(H664="x",F664,"")</f>
        <v/>
      </c>
      <c r="J664" s="589"/>
      <c r="K664" s="587" t="str">
        <f t="shared" si="191"/>
        <v/>
      </c>
      <c r="L664" s="587"/>
      <c r="M664" s="587"/>
      <c r="N664" s="587"/>
      <c r="O664" s="587" t="str">
        <f t="shared" si="183"/>
        <v/>
      </c>
      <c r="P664" s="587"/>
      <c r="Q664" s="587"/>
      <c r="R664" s="587"/>
      <c r="S664" s="587" t="str">
        <f t="shared" si="184"/>
        <v/>
      </c>
      <c r="T664" s="587" t="s">
        <v>952</v>
      </c>
      <c r="U664" s="587">
        <f>IF(T664="x",F664,"")</f>
        <v>313.29000000000002</v>
      </c>
      <c r="V664" s="587"/>
      <c r="W664" s="587" t="str">
        <f>IF(V664="x",F664,"")</f>
        <v/>
      </c>
      <c r="X664" s="587"/>
      <c r="Y664" s="587" t="str">
        <f t="shared" si="196"/>
        <v/>
      </c>
      <c r="Z664" s="587"/>
      <c r="AA664" s="587" t="str">
        <f t="shared" si="194"/>
        <v/>
      </c>
      <c r="AB664" s="587"/>
      <c r="AC664" s="587" t="str">
        <f t="shared" si="195"/>
        <v/>
      </c>
      <c r="AD664" s="586"/>
      <c r="AE664" s="586"/>
    </row>
    <row r="665" spans="2:31">
      <c r="B665" s="598" t="s">
        <v>948</v>
      </c>
      <c r="C665" s="599"/>
      <c r="D665" s="598"/>
      <c r="E665" s="599"/>
      <c r="F665" s="600">
        <f>SUM(F4:F664)</f>
        <v>21595.104211000034</v>
      </c>
      <c r="G665" s="600">
        <f>SUM(G4:G664)</f>
        <v>13061.428000000009</v>
      </c>
      <c r="H665" s="495"/>
      <c r="I665" s="600">
        <f>SUM(I4:I664)</f>
        <v>13345.330198999975</v>
      </c>
      <c r="J665" s="600"/>
      <c r="K665" s="600">
        <f>SUM(K4:K664)</f>
        <v>10391.599000000006</v>
      </c>
      <c r="L665" s="600"/>
      <c r="M665" s="600">
        <f>SUM(M4:M664)</f>
        <v>4809.3289999999979</v>
      </c>
      <c r="N665" s="600"/>
      <c r="O665" s="600">
        <f>SUM(O4:O664)</f>
        <v>1687.7750999999996</v>
      </c>
      <c r="P665" s="600"/>
      <c r="Q665" s="600">
        <f>SUM(Q4:Q664)</f>
        <v>1027.8319999999997</v>
      </c>
      <c r="R665" s="600"/>
      <c r="S665" s="600">
        <f>SUM(S4:S664)</f>
        <v>126.9</v>
      </c>
      <c r="T665" s="598"/>
      <c r="U665" s="600">
        <f>SUM(U4:U664)</f>
        <v>1510.1399120000001</v>
      </c>
      <c r="V665" s="598"/>
      <c r="W665" s="600">
        <f>SUM(W4:W664)</f>
        <v>9097.4756559999714</v>
      </c>
      <c r="X665" s="598"/>
      <c r="Y665" s="600">
        <f>SUM(Y4:Y664)</f>
        <v>4149.3464999999997</v>
      </c>
      <c r="Z665" s="598"/>
      <c r="AA665" s="600">
        <f>SUM(AA4:AA664)</f>
        <v>1801.7263929999999</v>
      </c>
      <c r="AB665" s="598"/>
      <c r="AC665" s="600">
        <f>SUM(AC4:AC664)</f>
        <v>3357.537162000001</v>
      </c>
      <c r="AD665" s="601"/>
      <c r="AE665" s="600">
        <f>SUM(AE4:AE664)</f>
        <v>209.18</v>
      </c>
    </row>
    <row r="666" spans="2:31">
      <c r="B666" s="602" t="s">
        <v>1519</v>
      </c>
      <c r="C666" s="603">
        <f>COUNT(F5:F664)</f>
        <v>641</v>
      </c>
    </row>
    <row r="668" spans="2:31" s="476" customFormat="1" ht="31.2" customHeight="1">
      <c r="B668" s="999" t="s">
        <v>1374</v>
      </c>
      <c r="C668" s="1086"/>
      <c r="D668" s="1086"/>
      <c r="E668" s="1086"/>
      <c r="F668" s="1086"/>
      <c r="G668" s="1086"/>
      <c r="H668" s="1086"/>
      <c r="I668" s="1086"/>
      <c r="J668" s="1086"/>
      <c r="K668" s="1086"/>
      <c r="L668" s="1086"/>
      <c r="M668" s="1086"/>
      <c r="N668" s="1086"/>
      <c r="O668" s="1086"/>
      <c r="P668" s="1086"/>
      <c r="Q668" s="1086"/>
      <c r="R668" s="1086"/>
      <c r="S668" s="1086"/>
      <c r="T668" s="1086"/>
      <c r="U668" s="1086"/>
      <c r="V668" s="1086"/>
      <c r="W668" s="1086"/>
      <c r="X668" s="501"/>
      <c r="Y668" s="501"/>
      <c r="Z668" s="501"/>
      <c r="AA668" s="501"/>
      <c r="AB668" s="501"/>
      <c r="AC668" s="501"/>
      <c r="AD668" s="501"/>
      <c r="AE668" s="501"/>
    </row>
    <row r="669" spans="2:31" ht="33" customHeight="1">
      <c r="B669" s="1088" t="s">
        <v>951</v>
      </c>
      <c r="C669" s="1088"/>
      <c r="D669" s="1088"/>
      <c r="E669" s="1088"/>
      <c r="F669" s="495" t="s">
        <v>584</v>
      </c>
      <c r="G669" s="495" t="s">
        <v>954</v>
      </c>
      <c r="H669" s="1088" t="s">
        <v>955</v>
      </c>
      <c r="I669" s="1088"/>
      <c r="J669" s="1087" t="s">
        <v>2489</v>
      </c>
      <c r="K669" s="1088"/>
      <c r="L669" s="1087" t="s">
        <v>2483</v>
      </c>
      <c r="M669" s="1087"/>
      <c r="N669" s="1087" t="s">
        <v>2484</v>
      </c>
      <c r="O669" s="1088"/>
      <c r="P669" s="1087" t="s">
        <v>2485</v>
      </c>
      <c r="Q669" s="1087"/>
      <c r="R669" s="1087" t="s">
        <v>1565</v>
      </c>
      <c r="S669" s="1088"/>
      <c r="T669" s="1087" t="s">
        <v>1518</v>
      </c>
      <c r="U669" s="1087"/>
      <c r="V669" s="999" t="str">
        <f>V3</f>
        <v>FORRO GESSO</v>
      </c>
      <c r="W669" s="1000"/>
      <c r="X669" s="1089" t="s">
        <v>2486</v>
      </c>
      <c r="Y669" s="1090"/>
      <c r="Z669" s="1089" t="s">
        <v>2487</v>
      </c>
      <c r="AA669" s="1090"/>
      <c r="AB669" s="1089" t="s">
        <v>2488</v>
      </c>
      <c r="AC669" s="1090"/>
      <c r="AD669" s="1094" t="s">
        <v>2664</v>
      </c>
      <c r="AE669" s="1095"/>
    </row>
    <row r="670" spans="2:31">
      <c r="B670" s="606" t="s">
        <v>973</v>
      </c>
      <c r="C670" s="607"/>
      <c r="D670" s="608"/>
      <c r="E670" s="609"/>
      <c r="F670" s="610">
        <f>SUM(F5:F77)</f>
        <v>3166.5136999999995</v>
      </c>
      <c r="G670" s="610">
        <f>SUM(G5:G77)</f>
        <v>1490.2030000000002</v>
      </c>
      <c r="H670" s="611"/>
      <c r="I670" s="610">
        <f>SUM(I5:I77)</f>
        <v>1965.6427879999994</v>
      </c>
      <c r="J670" s="610"/>
      <c r="K670" s="610">
        <f>SUM(K5:K77)</f>
        <v>1384.7760000000005</v>
      </c>
      <c r="L670" s="610"/>
      <c r="M670" s="610">
        <f>SUM(M5:M77)</f>
        <v>1178.6949999999999</v>
      </c>
      <c r="N670" s="610"/>
      <c r="O670" s="610">
        <f>SUM(O5:O77)</f>
        <v>0</v>
      </c>
      <c r="P670" s="610"/>
      <c r="Q670" s="610">
        <f>SUM(Q5:Q77)</f>
        <v>0</v>
      </c>
      <c r="R670" s="610"/>
      <c r="S670" s="610">
        <f>SUM(S5:S77)</f>
        <v>0</v>
      </c>
      <c r="T670" s="601"/>
      <c r="U670" s="610">
        <f>SUM(U5:U77)</f>
        <v>32.915911999999999</v>
      </c>
      <c r="V670" s="601"/>
      <c r="W670" s="610">
        <f>SUM(W5:W77)</f>
        <v>1354.7585379999998</v>
      </c>
      <c r="X670" s="586"/>
      <c r="Y670" s="610">
        <f>SUM(Y5:Y77)</f>
        <v>126.22499999999999</v>
      </c>
      <c r="Z670" s="586"/>
      <c r="AA670" s="610">
        <f>SUM(AA5:AA77)</f>
        <v>456.81925000000001</v>
      </c>
      <c r="AB670" s="586"/>
      <c r="AC670" s="610">
        <f>SUM(AC5:AC77)</f>
        <v>212.06591199999997</v>
      </c>
      <c r="AD670" s="586"/>
      <c r="AE670" s="586"/>
    </row>
    <row r="671" spans="2:31">
      <c r="B671" s="606" t="s">
        <v>974</v>
      </c>
      <c r="C671" s="607"/>
      <c r="D671" s="608"/>
      <c r="E671" s="609"/>
      <c r="F671" s="610">
        <f>SUBTOTAL(109,F672:F678)</f>
        <v>4808.3260499999997</v>
      </c>
      <c r="G671" s="610">
        <f>SUBTOTAL(109,G672:G678)</f>
        <v>2607.61</v>
      </c>
      <c r="H671" s="611"/>
      <c r="I671" s="610">
        <f>SUBTOTAL(109,I672:I678)</f>
        <v>2734.5800500000005</v>
      </c>
      <c r="J671" s="610"/>
      <c r="K671" s="610">
        <f>SUBTOTAL(109,K672:K678)</f>
        <v>2175.46</v>
      </c>
      <c r="L671" s="610"/>
      <c r="M671" s="610">
        <f>SUBTOTAL(109,M672:M678)</f>
        <v>1723.5740000000001</v>
      </c>
      <c r="N671" s="610"/>
      <c r="O671" s="610">
        <f>SUBTOTAL(109,O672:O678)</f>
        <v>0</v>
      </c>
      <c r="P671" s="610"/>
      <c r="Q671" s="610">
        <f>SUBTOTAL(109,Q672:Q678)</f>
        <v>0</v>
      </c>
      <c r="R671" s="610"/>
      <c r="S671" s="610">
        <f>SUBTOTAL(109,S672:S678)</f>
        <v>0</v>
      </c>
      <c r="T671" s="601"/>
      <c r="U671" s="610">
        <f>SUBTOTAL(109,U672:U678)</f>
        <v>432.98200000000008</v>
      </c>
      <c r="V671" s="601"/>
      <c r="W671" s="610">
        <f>SUBTOTAL(109,W672:W678)</f>
        <v>1275.4777999999997</v>
      </c>
      <c r="X671" s="586"/>
      <c r="Y671" s="610">
        <f>SUBTOTAL(109,Y672:Y678)</f>
        <v>647.57749999999999</v>
      </c>
      <c r="Z671" s="586"/>
      <c r="AA671" s="610">
        <f>SUBTOTAL(109,AA672:AA678)</f>
        <v>435.13549999999998</v>
      </c>
      <c r="AB671" s="586"/>
      <c r="AC671" s="610">
        <f>SUBTOTAL(109,AC672:AC678)</f>
        <v>932.60025000000019</v>
      </c>
      <c r="AD671" s="586"/>
      <c r="AE671" s="610">
        <f>SUBTOTAL(109,AE672:AE678)</f>
        <v>0</v>
      </c>
    </row>
    <row r="672" spans="2:31">
      <c r="B672" s="612" t="s">
        <v>349</v>
      </c>
      <c r="C672" s="613"/>
      <c r="D672" s="608"/>
      <c r="E672" s="614"/>
      <c r="F672" s="615">
        <f>SUM(F80:F81)</f>
        <v>185.84625</v>
      </c>
      <c r="G672" s="615">
        <f>SUM(G80:G81)</f>
        <v>39.25</v>
      </c>
      <c r="H672" s="611"/>
      <c r="I672" s="615">
        <f>SUM(I80:I81)</f>
        <v>103.03625000000001</v>
      </c>
      <c r="J672" s="615"/>
      <c r="K672" s="615">
        <f>SUM(K80:K81)</f>
        <v>39.25</v>
      </c>
      <c r="L672" s="615"/>
      <c r="M672" s="615">
        <f>SUM(M80:M81)</f>
        <v>82.81</v>
      </c>
      <c r="N672" s="615"/>
      <c r="O672" s="615">
        <f>SUM(O80:O81)</f>
        <v>0</v>
      </c>
      <c r="P672" s="615"/>
      <c r="Q672" s="615">
        <f>SUM(Q80:Q81)</f>
        <v>0</v>
      </c>
      <c r="R672" s="615"/>
      <c r="S672" s="615">
        <f>SUM(S80:S81)</f>
        <v>0</v>
      </c>
      <c r="T672" s="601"/>
      <c r="U672" s="615">
        <f>SUM(U80:U81)</f>
        <v>82.81</v>
      </c>
      <c r="V672" s="601"/>
      <c r="W672" s="615">
        <f>SUM(W80:W81)</f>
        <v>0</v>
      </c>
      <c r="X672" s="586"/>
      <c r="Y672" s="615">
        <f>SUM(Y80:Y81)</f>
        <v>0</v>
      </c>
      <c r="Z672" s="586"/>
      <c r="AA672" s="615">
        <f>SUM(AA80:AA81)</f>
        <v>0</v>
      </c>
      <c r="AB672" s="586"/>
      <c r="AC672" s="615">
        <f>SUM(AC80:AC81)</f>
        <v>103.03625000000001</v>
      </c>
      <c r="AD672" s="586"/>
      <c r="AE672" s="586"/>
    </row>
    <row r="673" spans="2:31">
      <c r="B673" s="616" t="s">
        <v>975</v>
      </c>
      <c r="C673" s="607"/>
      <c r="D673" s="608"/>
      <c r="E673" s="609"/>
      <c r="F673" s="615">
        <f>SUM(F83:F89)</f>
        <v>79.460000000000008</v>
      </c>
      <c r="G673" s="615">
        <f>SUM(G83:G89)</f>
        <v>87.97</v>
      </c>
      <c r="H673" s="611"/>
      <c r="I673" s="615">
        <f>SUM(I83:I89)</f>
        <v>74.090000000000018</v>
      </c>
      <c r="J673" s="615"/>
      <c r="K673" s="615">
        <f>SUM(K83:K89)</f>
        <v>78.599999999999994</v>
      </c>
      <c r="L673" s="615"/>
      <c r="M673" s="615">
        <f>SUM(M83:M89)</f>
        <v>0</v>
      </c>
      <c r="N673" s="615"/>
      <c r="O673" s="615">
        <f>SUM(O83:O89)</f>
        <v>0</v>
      </c>
      <c r="P673" s="615"/>
      <c r="Q673" s="615">
        <f>SUM(Q83:Q89)</f>
        <v>0</v>
      </c>
      <c r="R673" s="615"/>
      <c r="S673" s="615">
        <f>SUM(S83:S89)</f>
        <v>0</v>
      </c>
      <c r="T673" s="601"/>
      <c r="U673" s="615">
        <f>SUM(U83:U89)</f>
        <v>5.37</v>
      </c>
      <c r="V673" s="601"/>
      <c r="W673" s="615">
        <f>SUM(W83:W89)</f>
        <v>0</v>
      </c>
      <c r="X673" s="586"/>
      <c r="Y673" s="615">
        <f>SUM(Y83:Y89)</f>
        <v>0</v>
      </c>
      <c r="Z673" s="586"/>
      <c r="AA673" s="615">
        <f>SUM(AA83:AA89)</f>
        <v>0</v>
      </c>
      <c r="AB673" s="586"/>
      <c r="AC673" s="615">
        <f>SUM(AC83:AC89)</f>
        <v>79.460000000000008</v>
      </c>
      <c r="AD673" s="586"/>
      <c r="AE673" s="586"/>
    </row>
    <row r="674" spans="2:31">
      <c r="B674" s="616" t="s">
        <v>358</v>
      </c>
      <c r="C674" s="607"/>
      <c r="D674" s="608"/>
      <c r="E674" s="609"/>
      <c r="F674" s="615">
        <f>SUM(F91:F106)</f>
        <v>272.94000000000005</v>
      </c>
      <c r="G674" s="615">
        <f>SUM(G91:G106)</f>
        <v>268.75</v>
      </c>
      <c r="H674" s="611"/>
      <c r="I674" s="615">
        <f>SUM(I91:I106)</f>
        <v>0</v>
      </c>
      <c r="J674" s="615"/>
      <c r="K674" s="615">
        <f>SUM(K91:K106)</f>
        <v>0</v>
      </c>
      <c r="L674" s="615"/>
      <c r="M674" s="615">
        <f>SUM(M91:M106)</f>
        <v>0</v>
      </c>
      <c r="N674" s="615"/>
      <c r="O674" s="615">
        <f>SUM(O91:O106)</f>
        <v>0</v>
      </c>
      <c r="P674" s="615"/>
      <c r="Q674" s="615">
        <f>SUM(Q91:Q106)</f>
        <v>0</v>
      </c>
      <c r="R674" s="615"/>
      <c r="S674" s="615">
        <f>SUM(S91:S106)</f>
        <v>0</v>
      </c>
      <c r="T674" s="601"/>
      <c r="U674" s="615">
        <f>SUM(U91:U106)</f>
        <v>272.94000000000005</v>
      </c>
      <c r="V674" s="601"/>
      <c r="W674" s="615">
        <f>SUM(W91:W106)</f>
        <v>0</v>
      </c>
      <c r="X674" s="586"/>
      <c r="Y674" s="615">
        <f>SUM(Y91:Y106)</f>
        <v>0</v>
      </c>
      <c r="Z674" s="586"/>
      <c r="AA674" s="615">
        <f>SUM(AA91:AA106)</f>
        <v>0</v>
      </c>
      <c r="AB674" s="586"/>
      <c r="AC674" s="615">
        <f>SUM(AC91:AC106)</f>
        <v>272.94000000000005</v>
      </c>
      <c r="AD674" s="586"/>
      <c r="AE674" s="586"/>
    </row>
    <row r="675" spans="2:31">
      <c r="B675" s="616" t="s">
        <v>976</v>
      </c>
      <c r="C675" s="607"/>
      <c r="D675" s="608"/>
      <c r="E675" s="609"/>
      <c r="F675" s="615">
        <f>SUM(F108:F139)</f>
        <v>348.13749999999987</v>
      </c>
      <c r="G675" s="615">
        <f>SUM(G108:G139)</f>
        <v>428.30000000000007</v>
      </c>
      <c r="H675" s="611"/>
      <c r="I675" s="615">
        <f>SUM(I108:I139)</f>
        <v>348.13749999999987</v>
      </c>
      <c r="J675" s="615"/>
      <c r="K675" s="615">
        <f>SUM(K108:K139)</f>
        <v>428.30000000000007</v>
      </c>
      <c r="L675" s="615"/>
      <c r="M675" s="615">
        <f>SUM(M108:M139)</f>
        <v>0</v>
      </c>
      <c r="N675" s="615"/>
      <c r="O675" s="615">
        <f>SUM(O108:O139)</f>
        <v>0</v>
      </c>
      <c r="P675" s="615"/>
      <c r="Q675" s="615">
        <f>SUM(Q108:Q139)</f>
        <v>0</v>
      </c>
      <c r="R675" s="615"/>
      <c r="S675" s="615">
        <f>SUM(S108:S139)</f>
        <v>0</v>
      </c>
      <c r="T675" s="601"/>
      <c r="U675" s="615">
        <f>SUM(U108:U139)</f>
        <v>0</v>
      </c>
      <c r="V675" s="601"/>
      <c r="W675" s="615">
        <f>SUM(W108:W139)</f>
        <v>260.84749999999991</v>
      </c>
      <c r="X675" s="586"/>
      <c r="Y675" s="615">
        <f>SUM(Y108:Y139)</f>
        <v>56.285000000000004</v>
      </c>
      <c r="Z675" s="586"/>
      <c r="AA675" s="615">
        <f>SUM(AA108:AA139)</f>
        <v>27.650000000000002</v>
      </c>
      <c r="AB675" s="586"/>
      <c r="AC675" s="615">
        <f>SUM(AC108:AC139)</f>
        <v>0</v>
      </c>
      <c r="AD675" s="586"/>
      <c r="AE675" s="586"/>
    </row>
    <row r="676" spans="2:31">
      <c r="B676" s="616" t="s">
        <v>977</v>
      </c>
      <c r="C676" s="607"/>
      <c r="D676" s="608"/>
      <c r="E676" s="609"/>
      <c r="F676" s="615">
        <f>SUM(F141:F156)</f>
        <v>380.39679999999998</v>
      </c>
      <c r="G676" s="615">
        <f>SUM(G141:G156)</f>
        <v>322.27999999999997</v>
      </c>
      <c r="H676" s="611"/>
      <c r="I676" s="615">
        <f>SUM(I141:I156)</f>
        <v>380.39679999999998</v>
      </c>
      <c r="J676" s="615"/>
      <c r="K676" s="615">
        <f>SUM(K141:K156)</f>
        <v>322.27999999999997</v>
      </c>
      <c r="L676" s="615"/>
      <c r="M676" s="615">
        <f>SUM(M141:M156)</f>
        <v>0</v>
      </c>
      <c r="N676" s="615"/>
      <c r="O676" s="615">
        <f>SUM(O141:O156)</f>
        <v>0</v>
      </c>
      <c r="P676" s="615"/>
      <c r="Q676" s="615">
        <f>SUM(Q141:Q156)</f>
        <v>0</v>
      </c>
      <c r="R676" s="615"/>
      <c r="S676" s="615">
        <f>SUM(S141:S156)</f>
        <v>0</v>
      </c>
      <c r="T676" s="601"/>
      <c r="U676" s="615">
        <f>SUM(U141:U156)</f>
        <v>0</v>
      </c>
      <c r="V676" s="601"/>
      <c r="W676" s="615">
        <f>SUM(W141:W156)</f>
        <v>291.23480000000001</v>
      </c>
      <c r="X676" s="586"/>
      <c r="Y676" s="615">
        <f>SUM(Y141:Y156)</f>
        <v>27.422500000000003</v>
      </c>
      <c r="Z676" s="586"/>
      <c r="AA676" s="615">
        <f>SUM(AA141:AA156)</f>
        <v>61.7395</v>
      </c>
      <c r="AB676" s="586"/>
      <c r="AC676" s="615">
        <f>SUM(AC141:AC156)</f>
        <v>0</v>
      </c>
      <c r="AD676" s="586"/>
      <c r="AE676" s="586"/>
    </row>
    <row r="677" spans="2:31">
      <c r="B677" s="616" t="s">
        <v>978</v>
      </c>
      <c r="C677" s="607"/>
      <c r="D677" s="608"/>
      <c r="E677" s="609"/>
      <c r="F677" s="615">
        <f>SUM(F158:F162)</f>
        <v>244.589</v>
      </c>
      <c r="G677" s="615">
        <f>SUM(G158:G162)</f>
        <v>137.79000000000002</v>
      </c>
      <c r="H677" s="611"/>
      <c r="I677" s="615">
        <f>SUM(I158:I162)</f>
        <v>228.31700000000001</v>
      </c>
      <c r="J677" s="615"/>
      <c r="K677" s="615">
        <f>SUM(K158:K162)</f>
        <v>120.73</v>
      </c>
      <c r="L677" s="615"/>
      <c r="M677" s="615">
        <f>SUM(M158:M162)</f>
        <v>0</v>
      </c>
      <c r="N677" s="615"/>
      <c r="O677" s="615">
        <f>SUM(O158:O162)</f>
        <v>0</v>
      </c>
      <c r="P677" s="615"/>
      <c r="Q677" s="615">
        <f>SUM(Q158:Q162)</f>
        <v>0</v>
      </c>
      <c r="R677" s="615"/>
      <c r="S677" s="615">
        <f>SUM(S158:S162)</f>
        <v>0</v>
      </c>
      <c r="T677" s="601"/>
      <c r="U677" s="615">
        <f>SUM(U158:U162)</f>
        <v>16.272000000000002</v>
      </c>
      <c r="V677" s="601"/>
      <c r="W677" s="615">
        <f>SUM(W158:W162)</f>
        <v>0</v>
      </c>
      <c r="X677" s="586"/>
      <c r="Y677" s="615">
        <f>SUM(Y158:Y162)</f>
        <v>0</v>
      </c>
      <c r="Z677" s="586"/>
      <c r="AA677" s="615">
        <f>SUM(AA158:AA162)</f>
        <v>0</v>
      </c>
      <c r="AB677" s="586"/>
      <c r="AC677" s="615">
        <f>SUM(AC158:AC162)</f>
        <v>244.589</v>
      </c>
      <c r="AD677" s="586"/>
      <c r="AE677" s="586"/>
    </row>
    <row r="678" spans="2:31">
      <c r="B678" s="616" t="s">
        <v>979</v>
      </c>
      <c r="C678" s="607"/>
      <c r="D678" s="608"/>
      <c r="E678" s="609"/>
      <c r="F678" s="615">
        <f>SUM(F164:F232)</f>
        <v>3296.9565000000002</v>
      </c>
      <c r="G678" s="615">
        <f>SUM(G164:G231)</f>
        <v>1323.27</v>
      </c>
      <c r="H678" s="611"/>
      <c r="I678" s="615">
        <f>SUM(I164:I231)</f>
        <v>1600.6025000000006</v>
      </c>
      <c r="J678" s="615"/>
      <c r="K678" s="615">
        <f>SUM(K164:K231)</f>
        <v>1186.3000000000002</v>
      </c>
      <c r="L678" s="615"/>
      <c r="M678" s="615">
        <f>SUM(M164:M232)</f>
        <v>1640.7640000000001</v>
      </c>
      <c r="N678" s="615"/>
      <c r="O678" s="615">
        <f>SUM(O164:O231)</f>
        <v>0</v>
      </c>
      <c r="P678" s="615"/>
      <c r="Q678" s="615">
        <f>SUM(Q164:Q231)</f>
        <v>0</v>
      </c>
      <c r="R678" s="615"/>
      <c r="S678" s="615">
        <f>SUM(S164:S231)</f>
        <v>0</v>
      </c>
      <c r="T678" s="601"/>
      <c r="U678" s="615">
        <f>SUM(U164:U231)</f>
        <v>55.59</v>
      </c>
      <c r="V678" s="601"/>
      <c r="W678" s="615">
        <f>SUM(W164:W231)</f>
        <v>723.39549999999963</v>
      </c>
      <c r="X678" s="586"/>
      <c r="Y678" s="615">
        <f>SUM(Y164:Y231)</f>
        <v>563.87</v>
      </c>
      <c r="Z678" s="586"/>
      <c r="AA678" s="615">
        <f>SUM(AA164:AA231)</f>
        <v>345.74599999999998</v>
      </c>
      <c r="AB678" s="586"/>
      <c r="AC678" s="615">
        <f>SUM(AC164:AC231)</f>
        <v>232.57500000000002</v>
      </c>
      <c r="AD678" s="586"/>
      <c r="AE678" s="586"/>
    </row>
    <row r="679" spans="2:31">
      <c r="B679" s="606" t="s">
        <v>980</v>
      </c>
      <c r="C679" s="607"/>
      <c r="D679" s="608"/>
      <c r="E679" s="609"/>
      <c r="F679" s="610">
        <f>SUM(F234:F297)</f>
        <v>1812.1099000000011</v>
      </c>
      <c r="G679" s="610">
        <f>SUM(G234:G297)</f>
        <v>1314.75</v>
      </c>
      <c r="H679" s="611"/>
      <c r="I679" s="610">
        <f>SUM(I234:I297)</f>
        <v>648.07599999999979</v>
      </c>
      <c r="J679" s="610"/>
      <c r="K679" s="610">
        <f>SUM(K234:K297)</f>
        <v>511.17999999999989</v>
      </c>
      <c r="L679" s="610"/>
      <c r="M679" s="610">
        <f>SUM(M234:M297)</f>
        <v>238.03</v>
      </c>
      <c r="N679" s="610"/>
      <c r="O679" s="610">
        <f>SUM(O234:O297)</f>
        <v>743.54789999999991</v>
      </c>
      <c r="P679" s="610"/>
      <c r="Q679" s="610">
        <f>SUM(Q234:Q297)</f>
        <v>602.56999999999982</v>
      </c>
      <c r="R679" s="610"/>
      <c r="S679" s="610">
        <f>SUM(S234:S297)</f>
        <v>126.9</v>
      </c>
      <c r="T679" s="601"/>
      <c r="U679" s="610">
        <f>SUM(U234:U297)</f>
        <v>55.555999999999997</v>
      </c>
      <c r="V679" s="601"/>
      <c r="W679" s="610">
        <f>SUM(W234:W297)</f>
        <v>948.76239999999962</v>
      </c>
      <c r="X679" s="586"/>
      <c r="Y679" s="610">
        <f>SUM(Y234:Y297)</f>
        <v>467.26400000000001</v>
      </c>
      <c r="Z679" s="586"/>
      <c r="AA679" s="610">
        <f>SUM(AA234:AA297)</f>
        <v>87.54</v>
      </c>
      <c r="AB679" s="586"/>
      <c r="AC679" s="610">
        <f>SUM(AC234:AC297)</f>
        <v>244.77500000000001</v>
      </c>
      <c r="AD679" s="586"/>
      <c r="AE679" s="586"/>
    </row>
    <row r="680" spans="2:31">
      <c r="B680" s="606" t="s">
        <v>981</v>
      </c>
      <c r="C680" s="607"/>
      <c r="D680" s="608"/>
      <c r="E680" s="609"/>
      <c r="F680" s="610">
        <f>SUM(F300:F346)</f>
        <v>1794.6302399999997</v>
      </c>
      <c r="G680" s="610">
        <f>SUM(G300:G346)</f>
        <v>1065.5639999999999</v>
      </c>
      <c r="H680" s="611"/>
      <c r="I680" s="610">
        <f>SUM(I300:I346)</f>
        <v>1010.38994</v>
      </c>
      <c r="J680" s="610"/>
      <c r="K680" s="610">
        <f>SUM(K300:K346)</f>
        <v>686.50399999999991</v>
      </c>
      <c r="L680" s="610"/>
      <c r="M680" s="610">
        <f>SUM(M300:M346)</f>
        <v>261.20000000000005</v>
      </c>
      <c r="N680" s="610"/>
      <c r="O680" s="610">
        <f>SUM(O300:O346)</f>
        <v>467.48430000000002</v>
      </c>
      <c r="P680" s="610"/>
      <c r="Q680" s="610">
        <f>SUM(Q300:Q346)</f>
        <v>265.94000000000005</v>
      </c>
      <c r="R680" s="610"/>
      <c r="S680" s="610">
        <f>SUM(S300:S346)</f>
        <v>0</v>
      </c>
      <c r="T680" s="601"/>
      <c r="U680" s="610">
        <f>SUM(U300:U346)</f>
        <v>55.555999999999997</v>
      </c>
      <c r="V680" s="601"/>
      <c r="W680" s="610">
        <f>SUM(W300:W346)</f>
        <v>1180.1192399999998</v>
      </c>
      <c r="X680" s="586"/>
      <c r="Y680" s="610">
        <f>SUM(Y300:Y346)</f>
        <v>314.18</v>
      </c>
      <c r="Z680" s="586"/>
      <c r="AA680" s="610">
        <f>SUM(AA300:AA346)</f>
        <v>0</v>
      </c>
      <c r="AB680" s="586"/>
      <c r="AC680" s="610">
        <f>SUM(AC300:AC346)</f>
        <v>244.77500000000001</v>
      </c>
      <c r="AD680" s="586"/>
      <c r="AE680" s="586"/>
    </row>
    <row r="681" spans="2:31">
      <c r="B681" s="606" t="s">
        <v>982</v>
      </c>
      <c r="C681" s="607"/>
      <c r="D681" s="608"/>
      <c r="E681" s="609"/>
      <c r="F681" s="610">
        <f>SUM(F348:F420)</f>
        <v>1852.0345319999999</v>
      </c>
      <c r="G681" s="610">
        <f>SUM(G348:G420)</f>
        <v>1258.3299999999997</v>
      </c>
      <c r="H681" s="611"/>
      <c r="I681" s="610">
        <f>SUM(I348:I420)</f>
        <v>1058.5356320000001</v>
      </c>
      <c r="J681" s="610"/>
      <c r="K681" s="610">
        <f>SUM(K348:K420)</f>
        <v>985.88799999999947</v>
      </c>
      <c r="L681" s="610"/>
      <c r="M681" s="610">
        <f>SUM(M348:M420)</f>
        <v>261.20000000000005</v>
      </c>
      <c r="N681" s="610"/>
      <c r="O681" s="610">
        <f>SUM(O348:O420)</f>
        <v>476.74290000000008</v>
      </c>
      <c r="P681" s="610"/>
      <c r="Q681" s="610">
        <f>SUM(Q348:Q420)</f>
        <v>159.322</v>
      </c>
      <c r="R681" s="610"/>
      <c r="S681" s="610">
        <f>SUM(S348:S420)</f>
        <v>0</v>
      </c>
      <c r="T681" s="601"/>
      <c r="U681" s="610">
        <f>SUM(U348:U420)</f>
        <v>55.555999999999997</v>
      </c>
      <c r="V681" s="601"/>
      <c r="W681" s="610">
        <f>SUM(W348:W420)</f>
        <v>995.25161400000002</v>
      </c>
      <c r="X681" s="586"/>
      <c r="Y681" s="610">
        <f>SUM(Y348:Y420)</f>
        <v>392.61</v>
      </c>
      <c r="Z681" s="586"/>
      <c r="AA681" s="610">
        <f>SUM(AA348:AA420)</f>
        <v>163.84191799999999</v>
      </c>
      <c r="AB681" s="586"/>
      <c r="AC681" s="610">
        <f>SUM(AC348:AC420)</f>
        <v>244.77500000000001</v>
      </c>
      <c r="AD681" s="586"/>
      <c r="AE681" s="586"/>
    </row>
    <row r="682" spans="2:31">
      <c r="B682" s="606" t="s">
        <v>983</v>
      </c>
      <c r="C682" s="607"/>
      <c r="D682" s="608"/>
      <c r="E682" s="609"/>
      <c r="F682" s="610">
        <f>SUM(F422:F485)</f>
        <v>1845.8271940000006</v>
      </c>
      <c r="G682" s="610">
        <f>SUM(G422:G485)</f>
        <v>1340.9349999999999</v>
      </c>
      <c r="H682" s="611"/>
      <c r="I682" s="610">
        <f>SUM(I422:I485)</f>
        <v>1529.0711940000003</v>
      </c>
      <c r="J682" s="610"/>
      <c r="K682" s="610">
        <f>SUM(K422:K485)</f>
        <v>1227.8150000000001</v>
      </c>
      <c r="L682" s="610"/>
      <c r="M682" s="610">
        <f>SUM(M422:M485)</f>
        <v>261.20000000000005</v>
      </c>
      <c r="N682" s="610"/>
      <c r="O682" s="610">
        <f>SUM(O422:O485)</f>
        <v>0</v>
      </c>
      <c r="P682" s="610"/>
      <c r="Q682" s="610">
        <f>SUM(Q422:Q485)</f>
        <v>0</v>
      </c>
      <c r="R682" s="610"/>
      <c r="S682" s="610">
        <f>SUM(S422:S485)</f>
        <v>0</v>
      </c>
      <c r="T682" s="601"/>
      <c r="U682" s="610">
        <f>SUM(U422:U485)</f>
        <v>55.555999999999997</v>
      </c>
      <c r="V682" s="601"/>
      <c r="W682" s="610">
        <f>SUM(W422:W485)</f>
        <v>935.87619400000005</v>
      </c>
      <c r="X682" s="586"/>
      <c r="Y682" s="610">
        <f>SUM(Y422:Y485)</f>
        <v>556.6</v>
      </c>
      <c r="Z682" s="586"/>
      <c r="AA682" s="610">
        <f>SUM(AA422:AA485)</f>
        <v>53.02</v>
      </c>
      <c r="AB682" s="586"/>
      <c r="AC682" s="610">
        <f>SUM(AC422:AC485)</f>
        <v>244.77500000000001</v>
      </c>
      <c r="AD682" s="586"/>
      <c r="AE682" s="586"/>
    </row>
    <row r="683" spans="2:31">
      <c r="B683" s="606" t="s">
        <v>984</v>
      </c>
      <c r="C683" s="607"/>
      <c r="D683" s="608"/>
      <c r="E683" s="609"/>
      <c r="F683" s="610">
        <f>SUM(F487:F550)</f>
        <v>1845.8271940000006</v>
      </c>
      <c r="G683" s="610">
        <f>SUM(G487:G550)</f>
        <v>1340.9349999999999</v>
      </c>
      <c r="H683" s="611"/>
      <c r="I683" s="610">
        <f>SUM(I487:I550)</f>
        <v>1529.0711940000003</v>
      </c>
      <c r="J683" s="610"/>
      <c r="K683" s="610">
        <f>SUM(K487:K550)</f>
        <v>1227.8150000000001</v>
      </c>
      <c r="L683" s="610"/>
      <c r="M683" s="610">
        <f>SUM(M487:M550)</f>
        <v>261.20000000000005</v>
      </c>
      <c r="N683" s="610"/>
      <c r="O683" s="610">
        <f>SUM(O487:O550)</f>
        <v>0</v>
      </c>
      <c r="P683" s="610"/>
      <c r="Q683" s="610">
        <f>SUM(Q487:Q550)</f>
        <v>0</v>
      </c>
      <c r="R683" s="610"/>
      <c r="S683" s="610">
        <f>SUM(S487:S550)</f>
        <v>0</v>
      </c>
      <c r="T683" s="601"/>
      <c r="U683" s="610">
        <f>SUM(U487:U550)</f>
        <v>55.555999999999997</v>
      </c>
      <c r="V683" s="601"/>
      <c r="W683" s="610">
        <f>SUM(W487:W550)</f>
        <v>935.87619400000005</v>
      </c>
      <c r="X683" s="586"/>
      <c r="Y683" s="610">
        <f>SUM(Y487:Y550)</f>
        <v>556.6</v>
      </c>
      <c r="Z683" s="586"/>
      <c r="AA683" s="610">
        <f>SUM(AA487:AA550)</f>
        <v>53.02</v>
      </c>
      <c r="AB683" s="586"/>
      <c r="AC683" s="610">
        <f>SUM(AC487:AC550)</f>
        <v>244.77500000000001</v>
      </c>
      <c r="AD683" s="586"/>
      <c r="AE683" s="586"/>
    </row>
    <row r="684" spans="2:31">
      <c r="B684" s="606" t="s">
        <v>985</v>
      </c>
      <c r="C684" s="607"/>
      <c r="D684" s="608"/>
      <c r="E684" s="609"/>
      <c r="F684" s="610">
        <f>SUM(F552:F615)</f>
        <v>1845.8271940000006</v>
      </c>
      <c r="G684" s="610">
        <f>SUM(G552:G615)</f>
        <v>1340.9349999999999</v>
      </c>
      <c r="H684" s="611"/>
      <c r="I684" s="610">
        <f>SUM(I552:I615)</f>
        <v>1529.0711940000003</v>
      </c>
      <c r="J684" s="610"/>
      <c r="K684" s="610">
        <f>SUM(K552:K615)</f>
        <v>1227.8150000000001</v>
      </c>
      <c r="L684" s="610"/>
      <c r="M684" s="610">
        <f>SUM(M552:M615)</f>
        <v>261.20000000000005</v>
      </c>
      <c r="N684" s="610"/>
      <c r="O684" s="610">
        <f>SUM(O552:O615)</f>
        <v>0</v>
      </c>
      <c r="P684" s="610"/>
      <c r="Q684" s="610">
        <f>SUM(Q552:Q615)</f>
        <v>0</v>
      </c>
      <c r="R684" s="610"/>
      <c r="S684" s="610">
        <f>SUM(S552:S615)</f>
        <v>0</v>
      </c>
      <c r="T684" s="601"/>
      <c r="U684" s="610">
        <f>SUM(U552:U615)</f>
        <v>55.555999999999997</v>
      </c>
      <c r="V684" s="601"/>
      <c r="W684" s="610">
        <f>SUM(W552:W615)</f>
        <v>935.87619400000005</v>
      </c>
      <c r="X684" s="586"/>
      <c r="Y684" s="610">
        <f>SUM(Y552:Y615)</f>
        <v>556.6</v>
      </c>
      <c r="Z684" s="586"/>
      <c r="AA684" s="610">
        <f>SUM(AA552:AA615)</f>
        <v>53.02</v>
      </c>
      <c r="AB684" s="586"/>
      <c r="AC684" s="610">
        <f>SUM(AC552:AC615)</f>
        <v>244.77500000000001</v>
      </c>
      <c r="AD684" s="586"/>
      <c r="AE684" s="586"/>
    </row>
    <row r="685" spans="2:31">
      <c r="B685" s="606" t="s">
        <v>986</v>
      </c>
      <c r="C685" s="607"/>
      <c r="D685" s="608"/>
      <c r="E685" s="609"/>
      <c r="F685" s="610">
        <f>SUM(F617:F660)</f>
        <v>1866.828207</v>
      </c>
      <c r="G685" s="610">
        <f>SUM(G617:G660)</f>
        <v>1150.6559999999999</v>
      </c>
      <c r="H685" s="611"/>
      <c r="I685" s="610">
        <f>SUM(I617:I660)</f>
        <v>1340.8922070000003</v>
      </c>
      <c r="J685" s="610"/>
      <c r="K685" s="610">
        <f>SUM(K617:K660)</f>
        <v>964.34599999999989</v>
      </c>
      <c r="L685" s="610"/>
      <c r="M685" s="610">
        <f>SUM(M617:M660)</f>
        <v>261.20000000000005</v>
      </c>
      <c r="N685" s="610"/>
      <c r="O685" s="610">
        <f>SUM(O617:O660)</f>
        <v>0</v>
      </c>
      <c r="P685" s="610"/>
      <c r="Q685" s="610">
        <f>SUM(Q617:Q660)</f>
        <v>0</v>
      </c>
      <c r="R685" s="610"/>
      <c r="S685" s="610">
        <f>SUM(S617:S660)</f>
        <v>0</v>
      </c>
      <c r="T685" s="601"/>
      <c r="U685" s="610">
        <f>SUM(U617:U660)</f>
        <v>55.555999999999997</v>
      </c>
      <c r="V685" s="601"/>
      <c r="W685" s="610">
        <f>SUM(W617:W660)</f>
        <v>535.47748200000001</v>
      </c>
      <c r="X685" s="586"/>
      <c r="Y685" s="610">
        <f>SUM(Y617:Y660)</f>
        <v>531.69000000000005</v>
      </c>
      <c r="Z685" s="586"/>
      <c r="AA685" s="610">
        <f>SUM(AA617:AA660)</f>
        <v>499.32972499999994</v>
      </c>
      <c r="AB685" s="586"/>
      <c r="AC685" s="610">
        <f>SUM(AC617:AC660)</f>
        <v>300.33100000000007</v>
      </c>
      <c r="AD685" s="586"/>
      <c r="AE685" s="610">
        <f>SUM(AE617:AE660)</f>
        <v>209.18</v>
      </c>
    </row>
    <row r="686" spans="2:31" s="497" customFormat="1">
      <c r="B686" s="606" t="s">
        <v>987</v>
      </c>
      <c r="C686" s="607"/>
      <c r="D686" s="608"/>
      <c r="E686" s="609"/>
      <c r="F686" s="610">
        <f>SUM(F662:F664)</f>
        <v>757.18000000000006</v>
      </c>
      <c r="G686" s="610">
        <f>SUM(G662:G664)</f>
        <v>151.51</v>
      </c>
      <c r="H686" s="611"/>
      <c r="I686" s="610">
        <f>SUM(I662:I664)</f>
        <v>0</v>
      </c>
      <c r="J686" s="610"/>
      <c r="K686" s="610">
        <f>SUM(K662:K664)</f>
        <v>0</v>
      </c>
      <c r="L686" s="610"/>
      <c r="M686" s="610">
        <f>SUM(M662:M664)</f>
        <v>101.83</v>
      </c>
      <c r="N686" s="610"/>
      <c r="O686" s="610">
        <f>SUM(O662:O664)</f>
        <v>0</v>
      </c>
      <c r="P686" s="610"/>
      <c r="Q686" s="610">
        <f>SUM(Q662:Q664)</f>
        <v>0</v>
      </c>
      <c r="R686" s="610"/>
      <c r="S686" s="610">
        <f>SUM(S662:S664)</f>
        <v>0</v>
      </c>
      <c r="T686" s="601"/>
      <c r="U686" s="610">
        <f>SUM(U662:U664)</f>
        <v>655.35</v>
      </c>
      <c r="V686" s="601"/>
      <c r="W686" s="610">
        <f>SUM(W662:W664)</f>
        <v>0</v>
      </c>
      <c r="X686" s="586"/>
      <c r="Y686" s="610">
        <f>SUM(Y662:Y664)</f>
        <v>0</v>
      </c>
      <c r="Z686" s="586"/>
      <c r="AA686" s="610">
        <f>SUM(AA662:AA664)</f>
        <v>0</v>
      </c>
      <c r="AB686" s="586"/>
      <c r="AC686" s="610">
        <f>SUM(AC662:AC664)</f>
        <v>443.89</v>
      </c>
      <c r="AD686" s="586"/>
      <c r="AE686" s="586"/>
    </row>
    <row r="687" spans="2:31">
      <c r="B687" s="617" t="s">
        <v>988</v>
      </c>
      <c r="C687" s="618"/>
      <c r="D687" s="619"/>
      <c r="E687" s="620"/>
      <c r="F687" s="621">
        <f>SUBTOTAL(109,F670:F686)</f>
        <v>21595.104211000002</v>
      </c>
      <c r="G687" s="621">
        <f>SUBTOTAL(109,G670:G686)</f>
        <v>13061.427999999998</v>
      </c>
      <c r="H687" s="622"/>
      <c r="I687" s="621">
        <f>SUBTOTAL(109,I670:I686)</f>
        <v>13345.330199000002</v>
      </c>
      <c r="J687" s="621"/>
      <c r="K687" s="621">
        <f>SUBTOTAL(109,K670:K686)</f>
        <v>10391.599</v>
      </c>
      <c r="L687" s="621"/>
      <c r="M687" s="621">
        <f>SUBTOTAL(109,M670:M686)</f>
        <v>4809.3289999999997</v>
      </c>
      <c r="N687" s="621"/>
      <c r="O687" s="621">
        <f>SUBTOTAL(109,O670:O686)</f>
        <v>1687.7750999999998</v>
      </c>
      <c r="P687" s="621"/>
      <c r="Q687" s="621">
        <f>SUBTOTAL(109,Q670:Q686)</f>
        <v>1027.8319999999999</v>
      </c>
      <c r="R687" s="621"/>
      <c r="S687" s="621">
        <f>SUBTOTAL(109,S670:S686)</f>
        <v>126.9</v>
      </c>
      <c r="T687" s="621"/>
      <c r="U687" s="621">
        <f>SUBTOTAL(109,U670:U686)</f>
        <v>1510.1399120000003</v>
      </c>
      <c r="V687" s="621"/>
      <c r="W687" s="621">
        <f>SUBTOTAL(109,W670:W686)</f>
        <v>9097.4756559999987</v>
      </c>
      <c r="X687" s="621"/>
      <c r="Y687" s="621">
        <f>SUBTOTAL(109,Y670:Y686)</f>
        <v>4149.3464999999997</v>
      </c>
      <c r="Z687" s="621"/>
      <c r="AA687" s="621">
        <f>SUBTOTAL(109,AA670:AA686)</f>
        <v>1801.7263929999999</v>
      </c>
      <c r="AB687" s="621"/>
      <c r="AC687" s="621">
        <f>SUBTOTAL(109,AC670:AC686)</f>
        <v>3357.5371620000005</v>
      </c>
      <c r="AD687" s="497"/>
      <c r="AE687" s="621">
        <f>SUBTOTAL(109,AE670:AE686)</f>
        <v>209.18</v>
      </c>
    </row>
  </sheetData>
  <mergeCells count="38">
    <mergeCell ref="AD3:AE3"/>
    <mergeCell ref="AD669:AE669"/>
    <mergeCell ref="H298:I298"/>
    <mergeCell ref="J298:K298"/>
    <mergeCell ref="L298:M298"/>
    <mergeCell ref="N298:O298"/>
    <mergeCell ref="P298:Q298"/>
    <mergeCell ref="R298:S298"/>
    <mergeCell ref="V298:W298"/>
    <mergeCell ref="X298:Y298"/>
    <mergeCell ref="Z298:AA298"/>
    <mergeCell ref="AB298:AC298"/>
    <mergeCell ref="AD298:AE298"/>
    <mergeCell ref="X3:Y3"/>
    <mergeCell ref="Z3:AA3"/>
    <mergeCell ref="AB3:AC3"/>
    <mergeCell ref="B1:W1"/>
    <mergeCell ref="H3:I3"/>
    <mergeCell ref="T3:U3"/>
    <mergeCell ref="V3:W3"/>
    <mergeCell ref="N3:O3"/>
    <mergeCell ref="R3:S3"/>
    <mergeCell ref="J3:K3"/>
    <mergeCell ref="L3:M3"/>
    <mergeCell ref="P3:Q3"/>
    <mergeCell ref="X669:Y669"/>
    <mergeCell ref="AB669:AC669"/>
    <mergeCell ref="Z669:AA669"/>
    <mergeCell ref="B669:E669"/>
    <mergeCell ref="H669:I669"/>
    <mergeCell ref="T669:U669"/>
    <mergeCell ref="V669:W669"/>
    <mergeCell ref="B668:W668"/>
    <mergeCell ref="N669:O669"/>
    <mergeCell ref="R669:S669"/>
    <mergeCell ref="P669:Q669"/>
    <mergeCell ref="L669:M669"/>
    <mergeCell ref="J669:K669"/>
  </mergeCells>
  <printOptions horizontalCentered="1"/>
  <pageMargins left="0.51181102362204722" right="0.51181102362204722" top="0.78740157480314965" bottom="0.78740157480314965" header="0.31496062992125984" footer="0.31496062992125984"/>
  <pageSetup paperSize="9" scale="10" orientation="landscape" r:id="rId1"/>
</worksheet>
</file>

<file path=xl/worksheets/sheet12.xml><?xml version="1.0" encoding="utf-8"?>
<worksheet xmlns="http://schemas.openxmlformats.org/spreadsheetml/2006/main" xmlns:r="http://schemas.openxmlformats.org/officeDocument/2006/relationships">
  <dimension ref="B2:H226"/>
  <sheetViews>
    <sheetView workbookViewId="0"/>
  </sheetViews>
  <sheetFormatPr defaultRowHeight="15.6"/>
  <cols>
    <col min="2" max="2" width="31.3984375" customWidth="1"/>
    <col min="3" max="3" width="6.59765625" bestFit="1" customWidth="1"/>
    <col min="4" max="4" width="3" customWidth="1"/>
    <col min="5" max="5" width="6.59765625" bestFit="1" customWidth="1"/>
    <col min="6" max="6" width="10.69921875" customWidth="1"/>
    <col min="7" max="7" width="11.69921875" customWidth="1"/>
    <col min="8" max="8" width="17.8984375" customWidth="1"/>
  </cols>
  <sheetData>
    <row r="2" spans="2:8" ht="18">
      <c r="B2" s="1040" t="s">
        <v>1061</v>
      </c>
      <c r="C2" s="1040"/>
      <c r="D2" s="1040"/>
      <c r="E2" s="1040"/>
      <c r="F2" s="1040"/>
      <c r="G2" s="1040"/>
      <c r="H2" s="1040"/>
    </row>
    <row r="3" spans="2:8">
      <c r="B3" s="111" t="s">
        <v>951</v>
      </c>
      <c r="C3" s="112" t="s">
        <v>952</v>
      </c>
      <c r="D3" s="111"/>
      <c r="E3" s="112" t="s">
        <v>953</v>
      </c>
      <c r="F3" s="111" t="s">
        <v>584</v>
      </c>
      <c r="G3" s="111" t="s">
        <v>954</v>
      </c>
      <c r="H3" s="114" t="s">
        <v>1061</v>
      </c>
    </row>
    <row r="4" spans="2:8">
      <c r="B4" s="96" t="s">
        <v>956</v>
      </c>
      <c r="C4" s="97"/>
      <c r="D4" s="97"/>
      <c r="E4" s="97"/>
      <c r="F4" s="97"/>
      <c r="G4" s="97"/>
      <c r="H4" s="99"/>
    </row>
    <row r="5" spans="2:8">
      <c r="B5" s="88" t="s">
        <v>1062</v>
      </c>
      <c r="C5" s="91">
        <v>2.5499999999999998</v>
      </c>
      <c r="D5" s="100" t="s">
        <v>957</v>
      </c>
      <c r="E5" s="91">
        <v>2.85</v>
      </c>
      <c r="F5" s="91">
        <f t="shared" ref="F5:F13" si="0">C5*E5</f>
        <v>7.2675000000000001</v>
      </c>
      <c r="G5" s="91">
        <f t="shared" ref="G5:G13" si="1">(C5+E5)*2</f>
        <v>10.8</v>
      </c>
      <c r="H5" s="115">
        <f>F5+G5*1.65</f>
        <v>25.087499999999999</v>
      </c>
    </row>
    <row r="6" spans="2:8">
      <c r="B6" s="88" t="s">
        <v>1063</v>
      </c>
      <c r="C6" s="91">
        <v>2.25</v>
      </c>
      <c r="D6" s="100" t="s">
        <v>957</v>
      </c>
      <c r="E6" s="91">
        <v>2.75</v>
      </c>
      <c r="F6" s="91">
        <f t="shared" si="0"/>
        <v>6.1875</v>
      </c>
      <c r="G6" s="91">
        <f t="shared" si="1"/>
        <v>10</v>
      </c>
      <c r="H6" s="115">
        <f t="shared" ref="H6:H12" si="2">F6+G6*1.65</f>
        <v>22.6875</v>
      </c>
    </row>
    <row r="7" spans="2:8">
      <c r="B7" s="88" t="s">
        <v>1064</v>
      </c>
      <c r="C7" s="91">
        <v>3</v>
      </c>
      <c r="D7" s="100" t="s">
        <v>957</v>
      </c>
      <c r="E7" s="91">
        <v>2</v>
      </c>
      <c r="F7" s="91">
        <f t="shared" si="0"/>
        <v>6</v>
      </c>
      <c r="G7" s="91">
        <f t="shared" si="1"/>
        <v>10</v>
      </c>
      <c r="H7" s="115">
        <f t="shared" si="2"/>
        <v>22.5</v>
      </c>
    </row>
    <row r="8" spans="2:8">
      <c r="B8" s="88" t="s">
        <v>1065</v>
      </c>
      <c r="C8" s="91">
        <v>2.1</v>
      </c>
      <c r="D8" s="100" t="s">
        <v>957</v>
      </c>
      <c r="E8" s="91">
        <v>2.85</v>
      </c>
      <c r="F8" s="91">
        <f t="shared" si="0"/>
        <v>5.9850000000000003</v>
      </c>
      <c r="G8" s="91">
        <f t="shared" si="1"/>
        <v>9.9</v>
      </c>
      <c r="H8" s="115">
        <f t="shared" si="2"/>
        <v>22.32</v>
      </c>
    </row>
    <row r="9" spans="2:8">
      <c r="B9" s="88" t="s">
        <v>1066</v>
      </c>
      <c r="C9" s="91">
        <v>3</v>
      </c>
      <c r="D9" s="100" t="s">
        <v>957</v>
      </c>
      <c r="E9" s="91">
        <v>2</v>
      </c>
      <c r="F9" s="91">
        <f t="shared" si="0"/>
        <v>6</v>
      </c>
      <c r="G9" s="91">
        <f t="shared" si="1"/>
        <v>10</v>
      </c>
      <c r="H9" s="115">
        <f t="shared" si="2"/>
        <v>22.5</v>
      </c>
    </row>
    <row r="10" spans="2:8">
      <c r="B10" s="88" t="s">
        <v>1067</v>
      </c>
      <c r="C10" s="91">
        <v>3</v>
      </c>
      <c r="D10" s="100" t="s">
        <v>957</v>
      </c>
      <c r="E10" s="91">
        <v>2</v>
      </c>
      <c r="F10" s="91">
        <f t="shared" si="0"/>
        <v>6</v>
      </c>
      <c r="G10" s="91">
        <f t="shared" si="1"/>
        <v>10</v>
      </c>
      <c r="H10" s="115">
        <f t="shared" si="2"/>
        <v>22.5</v>
      </c>
    </row>
    <row r="11" spans="2:8">
      <c r="B11" s="88" t="s">
        <v>1068</v>
      </c>
      <c r="C11" s="91">
        <v>2.5499999999999998</v>
      </c>
      <c r="D11" s="100" t="s">
        <v>957</v>
      </c>
      <c r="E11" s="91">
        <v>2.85</v>
      </c>
      <c r="F11" s="91">
        <f t="shared" si="0"/>
        <v>7.2675000000000001</v>
      </c>
      <c r="G11" s="91">
        <f t="shared" si="1"/>
        <v>10.8</v>
      </c>
      <c r="H11" s="115">
        <f t="shared" si="2"/>
        <v>25.087499999999999</v>
      </c>
    </row>
    <row r="12" spans="2:8">
      <c r="B12" s="88" t="s">
        <v>1069</v>
      </c>
      <c r="C12" s="91">
        <v>2.25</v>
      </c>
      <c r="D12" s="100" t="s">
        <v>957</v>
      </c>
      <c r="E12" s="91">
        <v>2.75</v>
      </c>
      <c r="F12" s="91">
        <f t="shared" si="0"/>
        <v>6.1875</v>
      </c>
      <c r="G12" s="91">
        <f t="shared" si="1"/>
        <v>10</v>
      </c>
      <c r="H12" s="115">
        <f t="shared" si="2"/>
        <v>22.6875</v>
      </c>
    </row>
    <row r="13" spans="2:8">
      <c r="B13" s="88" t="s">
        <v>1070</v>
      </c>
      <c r="C13" s="91">
        <v>13.42</v>
      </c>
      <c r="D13" s="100"/>
      <c r="E13" s="91">
        <v>5</v>
      </c>
      <c r="F13" s="91">
        <f t="shared" si="0"/>
        <v>67.099999999999994</v>
      </c>
      <c r="G13" s="91">
        <f t="shared" si="1"/>
        <v>36.840000000000003</v>
      </c>
      <c r="H13" s="115"/>
    </row>
    <row r="14" spans="2:8">
      <c r="B14" s="116" t="s">
        <v>319</v>
      </c>
      <c r="C14" s="117">
        <v>3.044</v>
      </c>
      <c r="D14" s="116" t="s">
        <v>957</v>
      </c>
      <c r="E14" s="117">
        <v>2.9990000000000001</v>
      </c>
      <c r="F14" s="117">
        <f>C14*E14</f>
        <v>9.1289560000000005</v>
      </c>
      <c r="G14" s="117">
        <f>(C14+E14)*2</f>
        <v>12.086</v>
      </c>
      <c r="H14" s="115"/>
    </row>
    <row r="15" spans="2:8">
      <c r="B15" s="116" t="s">
        <v>319</v>
      </c>
      <c r="C15" s="117">
        <v>3.044</v>
      </c>
      <c r="D15" s="116" t="s">
        <v>957</v>
      </c>
      <c r="E15" s="117">
        <v>2.9990000000000001</v>
      </c>
      <c r="F15" s="117">
        <f>C15*E15</f>
        <v>9.1289560000000005</v>
      </c>
      <c r="G15" s="117">
        <f>(C15+E15)*2</f>
        <v>12.086</v>
      </c>
      <c r="H15" s="115"/>
    </row>
    <row r="16" spans="2:8">
      <c r="B16" s="116" t="s">
        <v>320</v>
      </c>
      <c r="C16" s="117"/>
      <c r="D16" s="116"/>
      <c r="E16" s="117"/>
      <c r="F16" s="117">
        <v>14.657999999999999</v>
      </c>
      <c r="G16" s="117">
        <v>17.175000000000001</v>
      </c>
      <c r="H16" s="115"/>
    </row>
    <row r="17" spans="2:8">
      <c r="B17" s="96" t="s">
        <v>958</v>
      </c>
      <c r="C17" s="97"/>
      <c r="D17" s="97"/>
      <c r="E17" s="97"/>
      <c r="F17" s="97"/>
      <c r="G17" s="97"/>
      <c r="H17" s="99"/>
    </row>
    <row r="18" spans="2:8">
      <c r="B18" s="102" t="s">
        <v>959</v>
      </c>
      <c r="C18" s="91"/>
      <c r="D18" s="88"/>
      <c r="E18" s="91"/>
      <c r="F18" s="91"/>
      <c r="G18" s="91"/>
      <c r="H18" s="115"/>
    </row>
    <row r="19" spans="2:8">
      <c r="B19" s="88" t="s">
        <v>349</v>
      </c>
      <c r="C19" s="91"/>
      <c r="D19" s="88"/>
      <c r="E19" s="91"/>
      <c r="F19" s="91">
        <v>98.52</v>
      </c>
      <c r="G19" s="91">
        <v>35.18</v>
      </c>
      <c r="H19" s="115">
        <f>F19+G19*0.5</f>
        <v>116.11</v>
      </c>
    </row>
    <row r="20" spans="2:8">
      <c r="B20" s="102" t="s">
        <v>960</v>
      </c>
      <c r="C20" s="91"/>
      <c r="D20" s="88"/>
      <c r="E20" s="91"/>
      <c r="F20" s="91"/>
      <c r="G20" s="91"/>
      <c r="H20" s="115"/>
    </row>
    <row r="21" spans="2:8">
      <c r="B21" s="88" t="s">
        <v>353</v>
      </c>
      <c r="C21" s="91"/>
      <c r="D21" s="88"/>
      <c r="E21" s="91"/>
      <c r="F21" s="91">
        <v>5.37</v>
      </c>
      <c r="G21" s="91">
        <v>9.3699999999999992</v>
      </c>
      <c r="H21" s="115"/>
    </row>
    <row r="22" spans="2:8">
      <c r="B22" s="88" t="s">
        <v>356</v>
      </c>
      <c r="C22" s="91"/>
      <c r="D22" s="88"/>
      <c r="E22" s="91"/>
      <c r="F22" s="91">
        <v>4.4800000000000004</v>
      </c>
      <c r="G22" s="91">
        <v>8.8000000000000007</v>
      </c>
      <c r="H22" s="115"/>
    </row>
    <row r="23" spans="2:8">
      <c r="B23" s="88" t="s">
        <v>357</v>
      </c>
      <c r="C23" s="91"/>
      <c r="D23" s="88"/>
      <c r="E23" s="91"/>
      <c r="F23" s="91">
        <v>4.4800000000000004</v>
      </c>
      <c r="G23" s="91">
        <v>8.8000000000000007</v>
      </c>
      <c r="H23" s="115"/>
    </row>
    <row r="24" spans="2:8">
      <c r="B24" s="102" t="s">
        <v>962</v>
      </c>
      <c r="C24" s="91"/>
      <c r="D24" s="88"/>
      <c r="E24" s="91"/>
      <c r="F24" s="91"/>
      <c r="G24" s="91"/>
      <c r="H24" s="115"/>
    </row>
    <row r="25" spans="2:8">
      <c r="B25" s="116" t="s">
        <v>372</v>
      </c>
      <c r="C25" s="91">
        <v>1.1000000000000001</v>
      </c>
      <c r="D25" s="100" t="s">
        <v>957</v>
      </c>
      <c r="E25" s="91">
        <v>2.2999999999999998</v>
      </c>
      <c r="F25" s="91">
        <f t="shared" ref="F25:F37" si="3">C25*E25</f>
        <v>2.5299999999999998</v>
      </c>
      <c r="G25" s="91">
        <f t="shared" ref="G25:G37" si="4">(C25+E25)*2</f>
        <v>6.8</v>
      </c>
      <c r="H25" s="115"/>
    </row>
    <row r="26" spans="2:8">
      <c r="B26" s="116" t="s">
        <v>372</v>
      </c>
      <c r="C26" s="91">
        <v>1.1000000000000001</v>
      </c>
      <c r="D26" s="100" t="s">
        <v>957</v>
      </c>
      <c r="E26" s="91">
        <v>2.2999999999999998</v>
      </c>
      <c r="F26" s="91">
        <f t="shared" si="3"/>
        <v>2.5299999999999998</v>
      </c>
      <c r="G26" s="91">
        <f t="shared" si="4"/>
        <v>6.8</v>
      </c>
      <c r="H26" s="115"/>
    </row>
    <row r="27" spans="2:8">
      <c r="B27" s="116" t="s">
        <v>376</v>
      </c>
      <c r="C27" s="91">
        <v>2.4</v>
      </c>
      <c r="D27" s="100" t="s">
        <v>957</v>
      </c>
      <c r="E27" s="91">
        <v>4.5</v>
      </c>
      <c r="F27" s="91">
        <f t="shared" si="3"/>
        <v>10.799999999999999</v>
      </c>
      <c r="G27" s="91">
        <f t="shared" si="4"/>
        <v>13.8</v>
      </c>
      <c r="H27" s="115"/>
    </row>
    <row r="28" spans="2:8">
      <c r="B28" s="116" t="s">
        <v>378</v>
      </c>
      <c r="C28" s="91">
        <v>2.25</v>
      </c>
      <c r="D28" s="100" t="s">
        <v>957</v>
      </c>
      <c r="E28" s="91">
        <v>4.5999999999999996</v>
      </c>
      <c r="F28" s="91">
        <f t="shared" si="3"/>
        <v>10.35</v>
      </c>
      <c r="G28" s="91">
        <f t="shared" si="4"/>
        <v>13.7</v>
      </c>
      <c r="H28" s="115"/>
    </row>
    <row r="29" spans="2:8">
      <c r="B29" s="116" t="s">
        <v>379</v>
      </c>
      <c r="C29" s="91">
        <v>2</v>
      </c>
      <c r="D29" s="100" t="s">
        <v>957</v>
      </c>
      <c r="E29" s="91">
        <v>2.4</v>
      </c>
      <c r="F29" s="91">
        <f t="shared" si="3"/>
        <v>4.8</v>
      </c>
      <c r="G29" s="91">
        <f t="shared" si="4"/>
        <v>8.8000000000000007</v>
      </c>
      <c r="H29" s="115"/>
    </row>
    <row r="30" spans="2:8">
      <c r="B30" s="116" t="s">
        <v>380</v>
      </c>
      <c r="C30" s="91">
        <v>2</v>
      </c>
      <c r="D30" s="100" t="s">
        <v>957</v>
      </c>
      <c r="E30" s="91">
        <v>2.4</v>
      </c>
      <c r="F30" s="91">
        <f t="shared" si="3"/>
        <v>4.8</v>
      </c>
      <c r="G30" s="91">
        <f t="shared" si="4"/>
        <v>8.8000000000000007</v>
      </c>
      <c r="H30" s="115"/>
    </row>
    <row r="31" spans="2:8">
      <c r="B31" s="116" t="s">
        <v>381</v>
      </c>
      <c r="C31" s="91">
        <v>2</v>
      </c>
      <c r="D31" s="100" t="s">
        <v>957</v>
      </c>
      <c r="E31" s="91">
        <v>2.4</v>
      </c>
      <c r="F31" s="91">
        <f t="shared" si="3"/>
        <v>4.8</v>
      </c>
      <c r="G31" s="91">
        <f t="shared" si="4"/>
        <v>8.8000000000000007</v>
      </c>
      <c r="H31" s="115"/>
    </row>
    <row r="32" spans="2:8">
      <c r="B32" s="116" t="s">
        <v>382</v>
      </c>
      <c r="C32" s="91">
        <v>2</v>
      </c>
      <c r="D32" s="100" t="s">
        <v>957</v>
      </c>
      <c r="E32" s="91">
        <v>2.4</v>
      </c>
      <c r="F32" s="91">
        <f t="shared" si="3"/>
        <v>4.8</v>
      </c>
      <c r="G32" s="91">
        <f t="shared" si="4"/>
        <v>8.8000000000000007</v>
      </c>
      <c r="H32" s="115"/>
    </row>
    <row r="33" spans="2:8">
      <c r="B33" s="116" t="s">
        <v>384</v>
      </c>
      <c r="C33" s="91">
        <v>2.4</v>
      </c>
      <c r="D33" s="100" t="s">
        <v>957</v>
      </c>
      <c r="E33" s="91">
        <v>6.1</v>
      </c>
      <c r="F33" s="91">
        <f t="shared" si="3"/>
        <v>14.639999999999999</v>
      </c>
      <c r="G33" s="91">
        <f t="shared" si="4"/>
        <v>17</v>
      </c>
      <c r="H33" s="115"/>
    </row>
    <row r="34" spans="2:8">
      <c r="B34" s="116" t="s">
        <v>386</v>
      </c>
      <c r="C34" s="91">
        <v>2.25</v>
      </c>
      <c r="D34" s="100" t="s">
        <v>957</v>
      </c>
      <c r="E34" s="91">
        <v>5</v>
      </c>
      <c r="F34" s="91">
        <f t="shared" si="3"/>
        <v>11.25</v>
      </c>
      <c r="G34" s="91">
        <f t="shared" si="4"/>
        <v>14.5</v>
      </c>
      <c r="H34" s="115"/>
    </row>
    <row r="35" spans="2:8">
      <c r="B35" s="116" t="s">
        <v>391</v>
      </c>
      <c r="C35" s="91">
        <v>2.25</v>
      </c>
      <c r="D35" s="100" t="s">
        <v>957</v>
      </c>
      <c r="E35" s="91">
        <v>5.6</v>
      </c>
      <c r="F35" s="91">
        <f t="shared" si="3"/>
        <v>12.6</v>
      </c>
      <c r="G35" s="91">
        <f t="shared" si="4"/>
        <v>15.7</v>
      </c>
      <c r="H35" s="115"/>
    </row>
    <row r="36" spans="2:8">
      <c r="B36" s="116" t="s">
        <v>392</v>
      </c>
      <c r="C36" s="91">
        <v>2.7</v>
      </c>
      <c r="D36" s="100" t="s">
        <v>957</v>
      </c>
      <c r="E36" s="91">
        <v>1.95</v>
      </c>
      <c r="F36" s="91">
        <f t="shared" si="3"/>
        <v>5.2650000000000006</v>
      </c>
      <c r="G36" s="91">
        <f t="shared" si="4"/>
        <v>9.3000000000000007</v>
      </c>
      <c r="H36" s="115"/>
    </row>
    <row r="37" spans="2:8">
      <c r="B37" s="116" t="s">
        <v>397</v>
      </c>
      <c r="C37" s="91">
        <v>1.95</v>
      </c>
      <c r="D37" s="100" t="s">
        <v>957</v>
      </c>
      <c r="E37" s="91">
        <v>1.35</v>
      </c>
      <c r="F37" s="91">
        <f t="shared" si="3"/>
        <v>2.6325000000000003</v>
      </c>
      <c r="G37" s="91">
        <f t="shared" si="4"/>
        <v>6.6</v>
      </c>
      <c r="H37" s="115"/>
    </row>
    <row r="38" spans="2:8">
      <c r="B38" s="102" t="s">
        <v>963</v>
      </c>
      <c r="C38" s="91"/>
      <c r="D38" s="88"/>
      <c r="E38" s="91"/>
      <c r="F38" s="91"/>
      <c r="G38" s="91"/>
      <c r="H38" s="115"/>
    </row>
    <row r="39" spans="2:8">
      <c r="B39" s="116" t="s">
        <v>406</v>
      </c>
      <c r="C39" s="91">
        <v>1.8</v>
      </c>
      <c r="D39" s="100" t="s">
        <v>957</v>
      </c>
      <c r="E39" s="91">
        <v>2.25</v>
      </c>
      <c r="F39" s="91">
        <f>C39*E39</f>
        <v>4.05</v>
      </c>
      <c r="G39" s="91">
        <f>(C39+E39)*2</f>
        <v>8.1</v>
      </c>
      <c r="H39" s="115"/>
    </row>
    <row r="40" spans="2:8">
      <c r="B40" s="88" t="s">
        <v>397</v>
      </c>
      <c r="C40" s="91">
        <v>1.39</v>
      </c>
      <c r="D40" s="100" t="s">
        <v>957</v>
      </c>
      <c r="E40" s="91">
        <v>2.2999999999999998</v>
      </c>
      <c r="F40" s="91">
        <f>C40*E40</f>
        <v>3.1969999999999996</v>
      </c>
      <c r="G40" s="91">
        <f>(C40+E40)*2</f>
        <v>7.379999999999999</v>
      </c>
      <c r="H40" s="115"/>
    </row>
    <row r="41" spans="2:8">
      <c r="B41" s="102" t="s">
        <v>964</v>
      </c>
      <c r="C41" s="91"/>
      <c r="D41" s="88"/>
      <c r="E41" s="91"/>
      <c r="F41" s="91"/>
      <c r="G41" s="91"/>
      <c r="H41" s="115"/>
    </row>
    <row r="42" spans="2:8">
      <c r="B42" s="88" t="s">
        <v>412</v>
      </c>
      <c r="C42" s="91"/>
      <c r="D42" s="100"/>
      <c r="E42" s="91"/>
      <c r="F42" s="91">
        <v>40.68</v>
      </c>
      <c r="G42" s="91">
        <v>25.71</v>
      </c>
      <c r="H42" s="115"/>
    </row>
    <row r="43" spans="2:8">
      <c r="B43" s="88" t="s">
        <v>413</v>
      </c>
      <c r="C43" s="91">
        <v>5.65</v>
      </c>
      <c r="D43" s="100" t="s">
        <v>957</v>
      </c>
      <c r="E43" s="91">
        <v>6.5</v>
      </c>
      <c r="F43" s="91">
        <f>C43*E43</f>
        <v>36.725000000000001</v>
      </c>
      <c r="G43" s="91">
        <f>(C43+E43)*2</f>
        <v>24.3</v>
      </c>
      <c r="H43" s="115"/>
    </row>
    <row r="44" spans="2:8">
      <c r="B44" s="88" t="s">
        <v>414</v>
      </c>
      <c r="C44" s="91">
        <v>5.65</v>
      </c>
      <c r="D44" s="100" t="s">
        <v>957</v>
      </c>
      <c r="E44" s="91">
        <v>2.88</v>
      </c>
      <c r="F44" s="91">
        <f>C44*E44</f>
        <v>16.272000000000002</v>
      </c>
      <c r="G44" s="91">
        <f>(C44+E44)*2</f>
        <v>17.060000000000002</v>
      </c>
      <c r="H44" s="115"/>
    </row>
    <row r="45" spans="2:8">
      <c r="B45" s="88" t="s">
        <v>332</v>
      </c>
      <c r="C45" s="91">
        <v>7.2</v>
      </c>
      <c r="D45" s="100" t="s">
        <v>957</v>
      </c>
      <c r="E45" s="91">
        <v>10.48</v>
      </c>
      <c r="F45" s="91">
        <f>C45*E45</f>
        <v>75.456000000000003</v>
      </c>
      <c r="G45" s="91">
        <f>(C45+E45)*2</f>
        <v>35.36</v>
      </c>
      <c r="H45" s="115"/>
    </row>
    <row r="46" spans="2:8">
      <c r="B46" s="88" t="s">
        <v>308</v>
      </c>
      <c r="C46" s="91">
        <v>7.2</v>
      </c>
      <c r="D46" s="100" t="s">
        <v>957</v>
      </c>
      <c r="E46" s="91">
        <v>10.48</v>
      </c>
      <c r="F46" s="91">
        <f>C46*E46</f>
        <v>75.456000000000003</v>
      </c>
      <c r="G46" s="91">
        <f>(C46+E46)*2</f>
        <v>35.36</v>
      </c>
      <c r="H46" s="115"/>
    </row>
    <row r="47" spans="2:8">
      <c r="B47" s="102" t="s">
        <v>586</v>
      </c>
      <c r="C47" s="91"/>
      <c r="D47" s="88"/>
      <c r="E47" s="91"/>
      <c r="F47" s="91"/>
      <c r="G47" s="91"/>
      <c r="H47" s="115"/>
    </row>
    <row r="48" spans="2:8">
      <c r="B48" s="88" t="s">
        <v>397</v>
      </c>
      <c r="C48" s="91">
        <v>1.9</v>
      </c>
      <c r="D48" s="100" t="s">
        <v>957</v>
      </c>
      <c r="E48" s="91">
        <v>1.35</v>
      </c>
      <c r="F48" s="91">
        <f t="shared" ref="F48:F59" si="5">C48*E48</f>
        <v>2.5649999999999999</v>
      </c>
      <c r="G48" s="91">
        <f t="shared" ref="G48:G59" si="6">(C48+E48)*2</f>
        <v>6.5</v>
      </c>
      <c r="H48" s="115"/>
    </row>
    <row r="49" spans="2:8">
      <c r="B49" s="88" t="s">
        <v>397</v>
      </c>
      <c r="C49" s="91">
        <v>1.9</v>
      </c>
      <c r="D49" s="100"/>
      <c r="E49" s="91">
        <v>1.25</v>
      </c>
      <c r="F49" s="91">
        <f t="shared" si="5"/>
        <v>2.375</v>
      </c>
      <c r="G49" s="91">
        <f t="shared" si="6"/>
        <v>6.3</v>
      </c>
      <c r="H49" s="115"/>
    </row>
    <row r="50" spans="2:8">
      <c r="B50" s="88" t="s">
        <v>428</v>
      </c>
      <c r="C50" s="91">
        <v>1.6</v>
      </c>
      <c r="D50" s="100" t="s">
        <v>957</v>
      </c>
      <c r="E50" s="91">
        <v>2.5</v>
      </c>
      <c r="F50" s="91">
        <f t="shared" si="5"/>
        <v>4</v>
      </c>
      <c r="G50" s="91">
        <f t="shared" si="6"/>
        <v>8.1999999999999993</v>
      </c>
      <c r="H50" s="115"/>
    </row>
    <row r="51" spans="2:8">
      <c r="B51" s="88" t="s">
        <v>428</v>
      </c>
      <c r="C51" s="91">
        <v>1.6</v>
      </c>
      <c r="D51" s="100" t="s">
        <v>957</v>
      </c>
      <c r="E51" s="91">
        <v>2.5</v>
      </c>
      <c r="F51" s="91">
        <f t="shared" si="5"/>
        <v>4</v>
      </c>
      <c r="G51" s="91">
        <f t="shared" si="6"/>
        <v>8.1999999999999993</v>
      </c>
      <c r="H51" s="115"/>
    </row>
    <row r="52" spans="2:8">
      <c r="B52" s="88" t="s">
        <v>431</v>
      </c>
      <c r="C52" s="91">
        <v>1.6</v>
      </c>
      <c r="D52" s="100" t="s">
        <v>957</v>
      </c>
      <c r="E52" s="91">
        <v>3.5</v>
      </c>
      <c r="F52" s="91">
        <f t="shared" si="5"/>
        <v>5.6000000000000005</v>
      </c>
      <c r="G52" s="91">
        <f t="shared" si="6"/>
        <v>10.199999999999999</v>
      </c>
      <c r="H52" s="115"/>
    </row>
    <row r="53" spans="2:8">
      <c r="B53" s="88" t="s">
        <v>432</v>
      </c>
      <c r="C53" s="91">
        <v>1.6</v>
      </c>
      <c r="D53" s="100" t="s">
        <v>957</v>
      </c>
      <c r="E53" s="91">
        <v>3.5</v>
      </c>
      <c r="F53" s="91">
        <f t="shared" si="5"/>
        <v>5.6000000000000005</v>
      </c>
      <c r="G53" s="91">
        <f t="shared" si="6"/>
        <v>10.199999999999999</v>
      </c>
      <c r="H53" s="115"/>
    </row>
    <row r="54" spans="2:8">
      <c r="B54" s="88" t="s">
        <v>428</v>
      </c>
      <c r="C54" s="91">
        <v>1.6</v>
      </c>
      <c r="D54" s="100" t="s">
        <v>957</v>
      </c>
      <c r="E54" s="91">
        <v>3</v>
      </c>
      <c r="F54" s="91">
        <f t="shared" si="5"/>
        <v>4.8000000000000007</v>
      </c>
      <c r="G54" s="91">
        <f t="shared" si="6"/>
        <v>9.1999999999999993</v>
      </c>
      <c r="H54" s="115"/>
    </row>
    <row r="55" spans="2:8">
      <c r="B55" s="88" t="s">
        <v>428</v>
      </c>
      <c r="C55" s="91">
        <v>3</v>
      </c>
      <c r="D55" s="100" t="s">
        <v>957</v>
      </c>
      <c r="E55" s="91">
        <v>1.6</v>
      </c>
      <c r="F55" s="91">
        <f t="shared" si="5"/>
        <v>4.8000000000000007</v>
      </c>
      <c r="G55" s="91">
        <f t="shared" si="6"/>
        <v>9.1999999999999993</v>
      </c>
      <c r="H55" s="115"/>
    </row>
    <row r="56" spans="2:8">
      <c r="B56" s="88" t="s">
        <v>397</v>
      </c>
      <c r="C56" s="91">
        <v>1.25</v>
      </c>
      <c r="D56" s="100" t="s">
        <v>957</v>
      </c>
      <c r="E56" s="91">
        <v>1.9</v>
      </c>
      <c r="F56" s="91">
        <f t="shared" si="5"/>
        <v>2.375</v>
      </c>
      <c r="G56" s="91">
        <f t="shared" si="6"/>
        <v>6.3</v>
      </c>
      <c r="H56" s="115"/>
    </row>
    <row r="57" spans="2:8">
      <c r="B57" s="88" t="s">
        <v>397</v>
      </c>
      <c r="C57" s="91">
        <v>1.25</v>
      </c>
      <c r="D57" s="100" t="s">
        <v>957</v>
      </c>
      <c r="E57" s="91">
        <v>1.9</v>
      </c>
      <c r="F57" s="91">
        <f t="shared" si="5"/>
        <v>2.375</v>
      </c>
      <c r="G57" s="91">
        <f t="shared" si="6"/>
        <v>6.3</v>
      </c>
      <c r="H57" s="115"/>
    </row>
    <row r="58" spans="2:8">
      <c r="B58" s="88" t="s">
        <v>397</v>
      </c>
      <c r="C58" s="91">
        <v>1.25</v>
      </c>
      <c r="D58" s="100" t="s">
        <v>957</v>
      </c>
      <c r="E58" s="91">
        <v>1.9</v>
      </c>
      <c r="F58" s="91">
        <f t="shared" si="5"/>
        <v>2.375</v>
      </c>
      <c r="G58" s="91">
        <f t="shared" si="6"/>
        <v>6.3</v>
      </c>
      <c r="H58" s="115"/>
    </row>
    <row r="59" spans="2:8">
      <c r="B59" s="88" t="s">
        <v>397</v>
      </c>
      <c r="C59" s="91">
        <v>1.25</v>
      </c>
      <c r="D59" s="100" t="s">
        <v>957</v>
      </c>
      <c r="E59" s="91">
        <v>1.9</v>
      </c>
      <c r="F59" s="91">
        <f t="shared" si="5"/>
        <v>2.375</v>
      </c>
      <c r="G59" s="91">
        <f t="shared" si="6"/>
        <v>6.3</v>
      </c>
      <c r="H59" s="115"/>
    </row>
    <row r="60" spans="2:8">
      <c r="B60" s="88" t="s">
        <v>444</v>
      </c>
      <c r="C60" s="91"/>
      <c r="D60" s="100"/>
      <c r="E60" s="91"/>
      <c r="F60" s="91">
        <v>28.43</v>
      </c>
      <c r="G60" s="91">
        <v>24.34</v>
      </c>
      <c r="H60" s="115"/>
    </row>
    <row r="61" spans="2:8">
      <c r="B61" s="88" t="s">
        <v>445</v>
      </c>
      <c r="C61" s="91"/>
      <c r="D61" s="100"/>
      <c r="E61" s="91"/>
      <c r="F61" s="91">
        <v>2.8</v>
      </c>
      <c r="G61" s="91">
        <v>1.6</v>
      </c>
      <c r="H61" s="115"/>
    </row>
    <row r="62" spans="2:8">
      <c r="B62" s="88" t="s">
        <v>446</v>
      </c>
      <c r="C62" s="91"/>
      <c r="D62" s="100"/>
      <c r="E62" s="91"/>
      <c r="F62" s="91">
        <v>28.43</v>
      </c>
      <c r="G62" s="91">
        <v>24.34</v>
      </c>
      <c r="H62" s="115"/>
    </row>
    <row r="63" spans="2:8">
      <c r="B63" s="88" t="s">
        <v>447</v>
      </c>
      <c r="C63" s="91"/>
      <c r="D63" s="100"/>
      <c r="E63" s="91"/>
      <c r="F63" s="91">
        <v>2.8</v>
      </c>
      <c r="G63" s="91">
        <v>1.6</v>
      </c>
      <c r="H63" s="115"/>
    </row>
    <row r="64" spans="2:8">
      <c r="B64" s="88" t="s">
        <v>397</v>
      </c>
      <c r="C64" s="91">
        <v>1.25</v>
      </c>
      <c r="D64" s="100" t="s">
        <v>957</v>
      </c>
      <c r="E64" s="91">
        <v>1.9</v>
      </c>
      <c r="F64" s="91">
        <f>C64*E64</f>
        <v>2.375</v>
      </c>
      <c r="G64" s="91">
        <f>(C64+E64)*2</f>
        <v>6.3</v>
      </c>
      <c r="H64" s="115"/>
    </row>
    <row r="65" spans="2:8">
      <c r="B65" s="88" t="s">
        <v>397</v>
      </c>
      <c r="C65" s="91">
        <v>1.25</v>
      </c>
      <c r="D65" s="100" t="s">
        <v>957</v>
      </c>
      <c r="E65" s="91">
        <v>1.9</v>
      </c>
      <c r="F65" s="91">
        <f>C65*E65</f>
        <v>2.375</v>
      </c>
      <c r="G65" s="91">
        <f>(C65+E65)*2</f>
        <v>6.3</v>
      </c>
      <c r="H65" s="115"/>
    </row>
    <row r="66" spans="2:8">
      <c r="B66" s="88" t="s">
        <v>397</v>
      </c>
      <c r="C66" s="91">
        <v>1.25</v>
      </c>
      <c r="D66" s="100" t="s">
        <v>957</v>
      </c>
      <c r="E66" s="91">
        <v>1.9</v>
      </c>
      <c r="F66" s="91">
        <f>C66*E66</f>
        <v>2.375</v>
      </c>
      <c r="G66" s="91">
        <f>(C66+E66)*2</f>
        <v>6.3</v>
      </c>
      <c r="H66" s="115"/>
    </row>
    <row r="67" spans="2:8">
      <c r="B67" s="88" t="s">
        <v>397</v>
      </c>
      <c r="C67" s="91">
        <v>1.25</v>
      </c>
      <c r="D67" s="100" t="s">
        <v>957</v>
      </c>
      <c r="E67" s="91">
        <v>1.9</v>
      </c>
      <c r="F67" s="91">
        <f>C67*E67</f>
        <v>2.375</v>
      </c>
      <c r="G67" s="91">
        <f>(C67+E67)*2</f>
        <v>6.3</v>
      </c>
      <c r="H67" s="115"/>
    </row>
    <row r="68" spans="2:8">
      <c r="B68" s="88" t="s">
        <v>428</v>
      </c>
      <c r="C68" s="91">
        <v>3</v>
      </c>
      <c r="D68" s="100" t="s">
        <v>957</v>
      </c>
      <c r="E68" s="91">
        <v>1.6</v>
      </c>
      <c r="F68" s="91">
        <f>C68*E68</f>
        <v>4.8000000000000007</v>
      </c>
      <c r="G68" s="91">
        <f>(C68+E68)*2</f>
        <v>9.1999999999999993</v>
      </c>
      <c r="H68" s="115"/>
    </row>
    <row r="69" spans="2:8">
      <c r="B69" s="260" t="s">
        <v>2490</v>
      </c>
      <c r="C69" s="91"/>
      <c r="D69" s="100"/>
      <c r="E69" s="91"/>
      <c r="F69" s="91">
        <f>8543.41-(89.33+292.07+113.1+386.97+412.23+118.7+199.59-94.5)</f>
        <v>7025.92</v>
      </c>
      <c r="H69" s="115">
        <v>8543.27</v>
      </c>
    </row>
    <row r="70" spans="2:8">
      <c r="B70" s="96" t="s">
        <v>965</v>
      </c>
      <c r="C70" s="97"/>
      <c r="D70" s="97"/>
      <c r="E70" s="97"/>
      <c r="F70" s="97"/>
      <c r="G70" s="97"/>
      <c r="H70" s="105"/>
    </row>
    <row r="71" spans="2:8">
      <c r="B71" s="88" t="s">
        <v>460</v>
      </c>
      <c r="C71" s="91">
        <v>1.7</v>
      </c>
      <c r="D71" s="100" t="s">
        <v>957</v>
      </c>
      <c r="E71" s="91">
        <v>1.68</v>
      </c>
      <c r="F71" s="91">
        <f t="shared" ref="F71:F76" si="7">C71*E71</f>
        <v>2.8559999999999999</v>
      </c>
      <c r="G71" s="91">
        <f t="shared" ref="G71:G76" si="8">(C71+E71)*2</f>
        <v>6.76</v>
      </c>
      <c r="H71" s="115">
        <f>F71+G71*0.3</f>
        <v>4.8840000000000003</v>
      </c>
    </row>
    <row r="72" spans="2:8">
      <c r="B72" s="88" t="s">
        <v>461</v>
      </c>
      <c r="C72" s="91">
        <v>1.7</v>
      </c>
      <c r="D72" s="100" t="s">
        <v>957</v>
      </c>
      <c r="E72" s="91">
        <v>1.68</v>
      </c>
      <c r="F72" s="91">
        <f t="shared" si="7"/>
        <v>2.8559999999999999</v>
      </c>
      <c r="G72" s="91">
        <f t="shared" si="8"/>
        <v>6.76</v>
      </c>
      <c r="H72" s="115">
        <f t="shared" ref="H72:H85" si="9">F72+G72*0.3</f>
        <v>4.8840000000000003</v>
      </c>
    </row>
    <row r="73" spans="2:8">
      <c r="B73" s="88" t="s">
        <v>357</v>
      </c>
      <c r="C73" s="91">
        <v>1.95</v>
      </c>
      <c r="D73" s="100" t="s">
        <v>957</v>
      </c>
      <c r="E73" s="91">
        <v>1.6</v>
      </c>
      <c r="F73" s="91">
        <f t="shared" si="7"/>
        <v>3.12</v>
      </c>
      <c r="G73" s="91">
        <f t="shared" si="8"/>
        <v>7.1</v>
      </c>
      <c r="H73" s="115">
        <f t="shared" si="9"/>
        <v>5.25</v>
      </c>
    </row>
    <row r="74" spans="2:8">
      <c r="B74" s="88" t="s">
        <v>356</v>
      </c>
      <c r="C74" s="91">
        <v>1.95</v>
      </c>
      <c r="D74" s="100" t="s">
        <v>957</v>
      </c>
      <c r="E74" s="91">
        <v>1.6</v>
      </c>
      <c r="F74" s="91">
        <f t="shared" si="7"/>
        <v>3.12</v>
      </c>
      <c r="G74" s="91">
        <f t="shared" si="8"/>
        <v>7.1</v>
      </c>
      <c r="H74" s="115">
        <f t="shared" si="9"/>
        <v>5.25</v>
      </c>
    </row>
    <row r="75" spans="2:8">
      <c r="B75" s="88" t="s">
        <v>465</v>
      </c>
      <c r="C75" s="91">
        <v>10.8</v>
      </c>
      <c r="D75" s="100" t="s">
        <v>957</v>
      </c>
      <c r="E75" s="91">
        <v>3.1</v>
      </c>
      <c r="F75" s="91">
        <f t="shared" si="7"/>
        <v>33.480000000000004</v>
      </c>
      <c r="G75" s="91">
        <f t="shared" si="8"/>
        <v>27.8</v>
      </c>
      <c r="H75" s="115">
        <f t="shared" si="9"/>
        <v>41.820000000000007</v>
      </c>
    </row>
    <row r="76" spans="2:8">
      <c r="B76" s="88" t="s">
        <v>466</v>
      </c>
      <c r="C76" s="91">
        <v>9.25</v>
      </c>
      <c r="D76" s="100" t="s">
        <v>957</v>
      </c>
      <c r="E76" s="91">
        <v>2.9</v>
      </c>
      <c r="F76" s="91">
        <f t="shared" si="7"/>
        <v>26.824999999999999</v>
      </c>
      <c r="G76" s="91">
        <f t="shared" si="8"/>
        <v>24.3</v>
      </c>
      <c r="H76" s="115">
        <f t="shared" si="9"/>
        <v>34.115000000000002</v>
      </c>
    </row>
    <row r="77" spans="2:8">
      <c r="B77" s="88" t="s">
        <v>428</v>
      </c>
      <c r="C77" s="91"/>
      <c r="D77" s="100"/>
      <c r="E77" s="91"/>
      <c r="F77" s="91">
        <v>4.6500000000000004</v>
      </c>
      <c r="G77" s="91">
        <v>9.1999999999999993</v>
      </c>
      <c r="H77" s="115">
        <f t="shared" si="9"/>
        <v>7.41</v>
      </c>
    </row>
    <row r="78" spans="2:8">
      <c r="B78" s="88" t="s">
        <v>428</v>
      </c>
      <c r="C78" s="91"/>
      <c r="D78" s="100"/>
      <c r="E78" s="91"/>
      <c r="F78" s="91">
        <v>4.6500000000000004</v>
      </c>
      <c r="G78" s="91">
        <v>9.1999999999999993</v>
      </c>
      <c r="H78" s="115">
        <f t="shared" si="9"/>
        <v>7.41</v>
      </c>
    </row>
    <row r="79" spans="2:8">
      <c r="B79" s="88" t="s">
        <v>428</v>
      </c>
      <c r="C79" s="91"/>
      <c r="D79" s="100"/>
      <c r="E79" s="91"/>
      <c r="F79" s="91">
        <v>4.6500000000000004</v>
      </c>
      <c r="G79" s="91">
        <v>9.1999999999999993</v>
      </c>
      <c r="H79" s="115">
        <f t="shared" si="9"/>
        <v>7.41</v>
      </c>
    </row>
    <row r="80" spans="2:8">
      <c r="B80" s="88" t="s">
        <v>428</v>
      </c>
      <c r="C80" s="91"/>
      <c r="D80" s="100"/>
      <c r="E80" s="91"/>
      <c r="F80" s="91">
        <v>4.6500000000000004</v>
      </c>
      <c r="G80" s="91">
        <v>9.1999999999999993</v>
      </c>
      <c r="H80" s="115">
        <f t="shared" si="9"/>
        <v>7.41</v>
      </c>
    </row>
    <row r="81" spans="2:8">
      <c r="B81" s="88" t="s">
        <v>428</v>
      </c>
      <c r="C81" s="91"/>
      <c r="D81" s="100"/>
      <c r="E81" s="91"/>
      <c r="F81" s="91">
        <v>4.6500000000000004</v>
      </c>
      <c r="G81" s="91">
        <v>9.1999999999999993</v>
      </c>
      <c r="H81" s="115">
        <f t="shared" si="9"/>
        <v>7.41</v>
      </c>
    </row>
    <row r="82" spans="2:8">
      <c r="B82" s="88" t="s">
        <v>428</v>
      </c>
      <c r="C82" s="91"/>
      <c r="D82" s="100"/>
      <c r="E82" s="91"/>
      <c r="F82" s="91">
        <v>4.6500000000000004</v>
      </c>
      <c r="G82" s="91">
        <v>9.1999999999999993</v>
      </c>
      <c r="H82" s="115">
        <f t="shared" si="9"/>
        <v>7.41</v>
      </c>
    </row>
    <row r="83" spans="2:8">
      <c r="B83" s="88" t="s">
        <v>428</v>
      </c>
      <c r="C83" s="91"/>
      <c r="D83" s="100"/>
      <c r="E83" s="91"/>
      <c r="F83" s="91">
        <v>4.6500000000000004</v>
      </c>
      <c r="G83" s="91">
        <v>9.1999999999999993</v>
      </c>
      <c r="H83" s="115">
        <f t="shared" si="9"/>
        <v>7.41</v>
      </c>
    </row>
    <row r="84" spans="2:8">
      <c r="B84" s="88" t="s">
        <v>428</v>
      </c>
      <c r="C84" s="91"/>
      <c r="D84" s="100"/>
      <c r="E84" s="91"/>
      <c r="F84" s="91">
        <v>4.6500000000000004</v>
      </c>
      <c r="G84" s="91">
        <v>9.1999999999999993</v>
      </c>
      <c r="H84" s="115">
        <f t="shared" si="9"/>
        <v>7.41</v>
      </c>
    </row>
    <row r="85" spans="2:8">
      <c r="B85" s="93" t="s">
        <v>2494</v>
      </c>
      <c r="C85" s="107">
        <v>8.18</v>
      </c>
      <c r="D85" s="108" t="s">
        <v>952</v>
      </c>
      <c r="E85" s="107">
        <v>6.8</v>
      </c>
      <c r="F85" s="107">
        <f>C85*E85</f>
        <v>55.623999999999995</v>
      </c>
      <c r="G85" s="107">
        <f>(C85+E85)*2</f>
        <v>29.96</v>
      </c>
      <c r="H85" s="115">
        <f t="shared" si="9"/>
        <v>64.611999999999995</v>
      </c>
    </row>
    <row r="86" spans="2:8">
      <c r="B86" s="96" t="s">
        <v>966</v>
      </c>
      <c r="C86" s="97"/>
      <c r="D86" s="97"/>
      <c r="E86" s="97"/>
      <c r="F86" s="97"/>
      <c r="G86" s="97"/>
      <c r="H86" s="105"/>
    </row>
    <row r="87" spans="2:8">
      <c r="B87" s="88" t="s">
        <v>357</v>
      </c>
      <c r="C87" s="91">
        <v>1.95</v>
      </c>
      <c r="D87" s="100" t="s">
        <v>957</v>
      </c>
      <c r="E87" s="91">
        <v>1.6</v>
      </c>
      <c r="F87" s="91">
        <f>C87*E87</f>
        <v>3.12</v>
      </c>
      <c r="G87" s="91">
        <f>(C87+E87)*2</f>
        <v>7.1</v>
      </c>
      <c r="H87" s="115">
        <f t="shared" ref="H87:H97" si="10">F87+G87*0.3</f>
        <v>5.25</v>
      </c>
    </row>
    <row r="88" spans="2:8">
      <c r="B88" s="88" t="s">
        <v>356</v>
      </c>
      <c r="C88" s="91">
        <v>1.95</v>
      </c>
      <c r="D88" s="100" t="s">
        <v>957</v>
      </c>
      <c r="E88" s="91">
        <v>1.6</v>
      </c>
      <c r="F88" s="91">
        <f>C88*E88</f>
        <v>3.12</v>
      </c>
      <c r="G88" s="91">
        <f>(C88+E88)*2</f>
        <v>7.1</v>
      </c>
      <c r="H88" s="115">
        <f t="shared" si="10"/>
        <v>5.25</v>
      </c>
    </row>
    <row r="89" spans="2:8">
      <c r="B89" s="88" t="s">
        <v>428</v>
      </c>
      <c r="C89" s="91"/>
      <c r="D89" s="100"/>
      <c r="E89" s="91"/>
      <c r="F89" s="91">
        <v>4.57</v>
      </c>
      <c r="G89" s="91">
        <v>9.5399999999999991</v>
      </c>
      <c r="H89" s="115">
        <f t="shared" si="10"/>
        <v>7.4320000000000004</v>
      </c>
    </row>
    <row r="90" spans="2:8">
      <c r="B90" s="88" t="s">
        <v>428</v>
      </c>
      <c r="C90" s="91"/>
      <c r="D90" s="100"/>
      <c r="E90" s="91"/>
      <c r="F90" s="91">
        <v>4.57</v>
      </c>
      <c r="G90" s="91">
        <v>9.5399999999999991</v>
      </c>
      <c r="H90" s="115">
        <f t="shared" si="10"/>
        <v>7.4320000000000004</v>
      </c>
    </row>
    <row r="91" spans="2:8">
      <c r="B91" s="88" t="s">
        <v>308</v>
      </c>
      <c r="C91" s="91">
        <v>2.1</v>
      </c>
      <c r="D91" s="100" t="s">
        <v>957</v>
      </c>
      <c r="E91" s="91">
        <v>2.25</v>
      </c>
      <c r="F91" s="91">
        <f>C91*E91</f>
        <v>4.7250000000000005</v>
      </c>
      <c r="G91" s="91">
        <f>(C91+E91)*2</f>
        <v>8.6999999999999993</v>
      </c>
      <c r="H91" s="115">
        <f t="shared" si="10"/>
        <v>7.3350000000000009</v>
      </c>
    </row>
    <row r="92" spans="2:8">
      <c r="B92" s="88" t="s">
        <v>428</v>
      </c>
      <c r="C92" s="91"/>
      <c r="D92" s="100"/>
      <c r="E92" s="91"/>
      <c r="F92" s="91">
        <v>4.57</v>
      </c>
      <c r="G92" s="91">
        <v>9.5399999999999991</v>
      </c>
      <c r="H92" s="115">
        <f t="shared" si="10"/>
        <v>7.4320000000000004</v>
      </c>
    </row>
    <row r="93" spans="2:8">
      <c r="B93" s="88" t="s">
        <v>428</v>
      </c>
      <c r="C93" s="91"/>
      <c r="D93" s="100"/>
      <c r="E93" s="91"/>
      <c r="F93" s="91">
        <v>4.57</v>
      </c>
      <c r="G93" s="91">
        <v>9.5399999999999991</v>
      </c>
      <c r="H93" s="115">
        <f t="shared" si="10"/>
        <v>7.4320000000000004</v>
      </c>
    </row>
    <row r="94" spans="2:8">
      <c r="B94" s="88" t="s">
        <v>396</v>
      </c>
      <c r="C94" s="91">
        <v>4.29</v>
      </c>
      <c r="D94" s="100"/>
      <c r="E94" s="91">
        <v>3.37</v>
      </c>
      <c r="F94" s="91">
        <f>C94*E94</f>
        <v>14.4573</v>
      </c>
      <c r="G94" s="91">
        <f>(C94+E94)*2</f>
        <v>15.32</v>
      </c>
      <c r="H94" s="115">
        <f t="shared" si="10"/>
        <v>19.0533</v>
      </c>
    </row>
    <row r="95" spans="2:8">
      <c r="B95" s="88" t="s">
        <v>428</v>
      </c>
      <c r="C95" s="91">
        <v>1.75</v>
      </c>
      <c r="D95" s="100"/>
      <c r="E95" s="91">
        <v>2.85</v>
      </c>
      <c r="F95" s="91">
        <f>C95*E95</f>
        <v>4.9874999999999998</v>
      </c>
      <c r="G95" s="91">
        <f>(C95+E95)*2</f>
        <v>9.1999999999999993</v>
      </c>
      <c r="H95" s="115">
        <f t="shared" si="10"/>
        <v>7.7474999999999996</v>
      </c>
    </row>
    <row r="96" spans="2:8">
      <c r="B96" s="88" t="s">
        <v>504</v>
      </c>
      <c r="C96" s="91">
        <v>2</v>
      </c>
      <c r="D96" s="100"/>
      <c r="E96" s="91">
        <v>2.4300000000000002</v>
      </c>
      <c r="F96" s="91">
        <f>C96*E96</f>
        <v>4.8600000000000003</v>
      </c>
      <c r="G96" s="91">
        <f>(C96+E96)*2</f>
        <v>8.86</v>
      </c>
      <c r="H96" s="115">
        <f t="shared" si="10"/>
        <v>7.5180000000000007</v>
      </c>
    </row>
    <row r="97" spans="2:8">
      <c r="B97" s="93" t="s">
        <v>2494</v>
      </c>
      <c r="C97" s="107">
        <v>8.18</v>
      </c>
      <c r="D97" s="108" t="s">
        <v>952</v>
      </c>
      <c r="E97" s="107">
        <v>6.8</v>
      </c>
      <c r="F97" s="107">
        <f>C97*E97</f>
        <v>55.623999999999995</v>
      </c>
      <c r="G97" s="107">
        <f>(C97+E97)*2</f>
        <v>29.96</v>
      </c>
      <c r="H97" s="115">
        <f t="shared" si="10"/>
        <v>64.611999999999995</v>
      </c>
    </row>
    <row r="98" spans="2:8">
      <c r="B98" s="96" t="s">
        <v>967</v>
      </c>
      <c r="C98" s="97"/>
      <c r="D98" s="97"/>
      <c r="E98" s="97"/>
      <c r="F98" s="97"/>
      <c r="G98" s="97"/>
      <c r="H98" s="105"/>
    </row>
    <row r="99" spans="2:8">
      <c r="B99" s="88" t="s">
        <v>357</v>
      </c>
      <c r="C99" s="91">
        <v>1.95</v>
      </c>
      <c r="D99" s="100" t="s">
        <v>957</v>
      </c>
      <c r="E99" s="91">
        <v>1.6</v>
      </c>
      <c r="F99" s="91">
        <f>C99*E99</f>
        <v>3.12</v>
      </c>
      <c r="G99" s="91">
        <f>(C99+E99)*2</f>
        <v>7.1</v>
      </c>
      <c r="H99" s="115">
        <f t="shared" ref="H99:H122" si="11">F99+G99*0.3</f>
        <v>5.25</v>
      </c>
    </row>
    <row r="100" spans="2:8">
      <c r="B100" s="88" t="s">
        <v>356</v>
      </c>
      <c r="C100" s="91">
        <v>1.95</v>
      </c>
      <c r="D100" s="100" t="s">
        <v>957</v>
      </c>
      <c r="E100" s="91">
        <v>1.6</v>
      </c>
      <c r="F100" s="91">
        <f>C100*E100</f>
        <v>3.12</v>
      </c>
      <c r="G100" s="91">
        <f>(C100+E100)*2</f>
        <v>7.1</v>
      </c>
      <c r="H100" s="115">
        <f t="shared" si="11"/>
        <v>5.25</v>
      </c>
    </row>
    <row r="101" spans="2:8">
      <c r="B101" s="88" t="s">
        <v>509</v>
      </c>
      <c r="C101" s="91">
        <v>1.8</v>
      </c>
      <c r="D101" s="100" t="s">
        <v>957</v>
      </c>
      <c r="E101" s="91">
        <v>2.8</v>
      </c>
      <c r="F101" s="91">
        <f>C101*E101</f>
        <v>5.04</v>
      </c>
      <c r="G101" s="91">
        <f>(C101+E101)*2</f>
        <v>9.1999999999999993</v>
      </c>
      <c r="H101" s="115">
        <f t="shared" si="11"/>
        <v>7.8</v>
      </c>
    </row>
    <row r="102" spans="2:8">
      <c r="B102" s="88" t="s">
        <v>510</v>
      </c>
      <c r="C102" s="91">
        <v>1.8</v>
      </c>
      <c r="D102" s="100" t="s">
        <v>957</v>
      </c>
      <c r="E102" s="91">
        <v>2.8</v>
      </c>
      <c r="F102" s="91">
        <f>C102*E102</f>
        <v>5.04</v>
      </c>
      <c r="G102" s="91">
        <f>(C102+E102)*2</f>
        <v>9.1999999999999993</v>
      </c>
      <c r="H102" s="115">
        <f t="shared" si="11"/>
        <v>7.8</v>
      </c>
    </row>
    <row r="103" spans="2:8">
      <c r="B103" s="88" t="s">
        <v>308</v>
      </c>
      <c r="C103" s="91">
        <v>2.16</v>
      </c>
      <c r="D103" s="100" t="s">
        <v>957</v>
      </c>
      <c r="E103" s="91">
        <v>1.95</v>
      </c>
      <c r="F103" s="91">
        <f>C103*E103</f>
        <v>4.2119999999999997</v>
      </c>
      <c r="G103" s="91">
        <f>(C103+E103)*2</f>
        <v>8.2200000000000006</v>
      </c>
      <c r="H103" s="115">
        <f t="shared" si="11"/>
        <v>6.6779999999999999</v>
      </c>
    </row>
    <row r="104" spans="2:8">
      <c r="B104" s="88" t="s">
        <v>428</v>
      </c>
      <c r="C104" s="91"/>
      <c r="D104" s="100"/>
      <c r="E104" s="91"/>
      <c r="F104" s="91">
        <v>3.71</v>
      </c>
      <c r="G104" s="91">
        <v>8.16</v>
      </c>
      <c r="H104" s="115">
        <f t="shared" si="11"/>
        <v>6.1579999999999995</v>
      </c>
    </row>
    <row r="105" spans="2:8">
      <c r="B105" s="88" t="s">
        <v>428</v>
      </c>
      <c r="C105" s="91"/>
      <c r="D105" s="100"/>
      <c r="E105" s="91"/>
      <c r="F105" s="91">
        <v>3.71</v>
      </c>
      <c r="G105" s="91">
        <v>8.16</v>
      </c>
      <c r="H105" s="115">
        <f t="shared" si="11"/>
        <v>6.1579999999999995</v>
      </c>
    </row>
    <row r="106" spans="2:8">
      <c r="B106" s="88" t="s">
        <v>308</v>
      </c>
      <c r="C106" s="91">
        <v>2.1</v>
      </c>
      <c r="D106" s="100" t="s">
        <v>957</v>
      </c>
      <c r="E106" s="91">
        <v>3.3</v>
      </c>
      <c r="F106" s="91">
        <f t="shared" ref="F106:F116" si="12">C106*E106</f>
        <v>6.93</v>
      </c>
      <c r="G106" s="91">
        <f t="shared" ref="G106:G116" si="13">(C106+E106)*2</f>
        <v>10.8</v>
      </c>
      <c r="H106" s="115">
        <f t="shared" si="11"/>
        <v>10.17</v>
      </c>
    </row>
    <row r="107" spans="2:8">
      <c r="B107" s="88" t="s">
        <v>397</v>
      </c>
      <c r="C107" s="91">
        <v>1.7</v>
      </c>
      <c r="D107" s="100" t="s">
        <v>957</v>
      </c>
      <c r="E107" s="91">
        <v>1.25</v>
      </c>
      <c r="F107" s="91">
        <f t="shared" si="12"/>
        <v>2.125</v>
      </c>
      <c r="G107" s="91">
        <f t="shared" si="13"/>
        <v>5.9</v>
      </c>
      <c r="H107" s="115">
        <f t="shared" si="11"/>
        <v>3.895</v>
      </c>
    </row>
    <row r="108" spans="2:8">
      <c r="B108" s="88" t="s">
        <v>397</v>
      </c>
      <c r="C108" s="91">
        <v>1.7</v>
      </c>
      <c r="D108" s="100" t="s">
        <v>957</v>
      </c>
      <c r="E108" s="91">
        <v>1.25</v>
      </c>
      <c r="F108" s="91">
        <f t="shared" si="12"/>
        <v>2.125</v>
      </c>
      <c r="G108" s="91">
        <f t="shared" si="13"/>
        <v>5.9</v>
      </c>
      <c r="H108" s="115">
        <f t="shared" si="11"/>
        <v>3.895</v>
      </c>
    </row>
    <row r="109" spans="2:8">
      <c r="B109" s="88" t="s">
        <v>397</v>
      </c>
      <c r="C109" s="91">
        <v>1.7</v>
      </c>
      <c r="D109" s="100" t="s">
        <v>957</v>
      </c>
      <c r="E109" s="91">
        <v>1.25</v>
      </c>
      <c r="F109" s="91">
        <f t="shared" si="12"/>
        <v>2.125</v>
      </c>
      <c r="G109" s="91">
        <f t="shared" si="13"/>
        <v>5.9</v>
      </c>
      <c r="H109" s="115">
        <f t="shared" si="11"/>
        <v>3.895</v>
      </c>
    </row>
    <row r="110" spans="2:8">
      <c r="B110" s="88" t="s">
        <v>397</v>
      </c>
      <c r="C110" s="91">
        <v>1.7</v>
      </c>
      <c r="D110" s="100" t="s">
        <v>957</v>
      </c>
      <c r="E110" s="91">
        <v>1.25</v>
      </c>
      <c r="F110" s="91">
        <f t="shared" si="12"/>
        <v>2.125</v>
      </c>
      <c r="G110" s="91">
        <f t="shared" si="13"/>
        <v>5.9</v>
      </c>
      <c r="H110" s="115">
        <f t="shared" si="11"/>
        <v>3.895</v>
      </c>
    </row>
    <row r="111" spans="2:8">
      <c r="B111" s="88" t="s">
        <v>397</v>
      </c>
      <c r="C111" s="91">
        <v>1.7</v>
      </c>
      <c r="D111" s="100" t="s">
        <v>957</v>
      </c>
      <c r="E111" s="91">
        <v>1.25</v>
      </c>
      <c r="F111" s="91">
        <f t="shared" si="12"/>
        <v>2.125</v>
      </c>
      <c r="G111" s="91">
        <f t="shared" si="13"/>
        <v>5.9</v>
      </c>
      <c r="H111" s="115">
        <f t="shared" si="11"/>
        <v>3.895</v>
      </c>
    </row>
    <row r="112" spans="2:8">
      <c r="B112" s="88" t="s">
        <v>397</v>
      </c>
      <c r="C112" s="91">
        <v>1.7</v>
      </c>
      <c r="D112" s="100" t="s">
        <v>957</v>
      </c>
      <c r="E112" s="91">
        <v>1.25</v>
      </c>
      <c r="F112" s="91">
        <f t="shared" si="12"/>
        <v>2.125</v>
      </c>
      <c r="G112" s="91">
        <f t="shared" si="13"/>
        <v>5.9</v>
      </c>
      <c r="H112" s="115">
        <f t="shared" si="11"/>
        <v>3.895</v>
      </c>
    </row>
    <row r="113" spans="2:8">
      <c r="B113" s="88" t="s">
        <v>397</v>
      </c>
      <c r="C113" s="91">
        <v>1.7</v>
      </c>
      <c r="D113" s="100" t="s">
        <v>957</v>
      </c>
      <c r="E113" s="91">
        <v>1.25</v>
      </c>
      <c r="F113" s="91">
        <f t="shared" si="12"/>
        <v>2.125</v>
      </c>
      <c r="G113" s="91">
        <f t="shared" si="13"/>
        <v>5.9</v>
      </c>
      <c r="H113" s="115">
        <f t="shared" si="11"/>
        <v>3.895</v>
      </c>
    </row>
    <row r="114" spans="2:8">
      <c r="B114" s="88" t="s">
        <v>397</v>
      </c>
      <c r="C114" s="91">
        <v>1.7</v>
      </c>
      <c r="D114" s="100" t="s">
        <v>957</v>
      </c>
      <c r="E114" s="91">
        <v>1.25</v>
      </c>
      <c r="F114" s="91">
        <f t="shared" si="12"/>
        <v>2.125</v>
      </c>
      <c r="G114" s="91">
        <f t="shared" si="13"/>
        <v>5.9</v>
      </c>
      <c r="H114" s="115">
        <f t="shared" si="11"/>
        <v>3.895</v>
      </c>
    </row>
    <row r="115" spans="2:8">
      <c r="B115" s="88" t="s">
        <v>397</v>
      </c>
      <c r="C115" s="91">
        <v>1.7</v>
      </c>
      <c r="D115" s="100" t="s">
        <v>957</v>
      </c>
      <c r="E115" s="91">
        <v>1.25</v>
      </c>
      <c r="F115" s="91">
        <f t="shared" si="12"/>
        <v>2.125</v>
      </c>
      <c r="G115" s="91">
        <f t="shared" si="13"/>
        <v>5.9</v>
      </c>
      <c r="H115" s="115">
        <f t="shared" si="11"/>
        <v>3.895</v>
      </c>
    </row>
    <row r="116" spans="2:8">
      <c r="B116" s="88" t="s">
        <v>396</v>
      </c>
      <c r="C116" s="91">
        <v>4.8869999999999996</v>
      </c>
      <c r="D116" s="100" t="s">
        <v>957</v>
      </c>
      <c r="E116" s="91">
        <v>3.37</v>
      </c>
      <c r="F116" s="91">
        <f t="shared" si="12"/>
        <v>16.469189999999998</v>
      </c>
      <c r="G116" s="91">
        <f t="shared" si="13"/>
        <v>16.513999999999999</v>
      </c>
      <c r="H116" s="115">
        <f t="shared" si="11"/>
        <v>21.423389999999998</v>
      </c>
    </row>
    <row r="117" spans="2:8">
      <c r="B117" s="88" t="s">
        <v>428</v>
      </c>
      <c r="C117" s="91"/>
      <c r="D117" s="100"/>
      <c r="E117" s="91"/>
      <c r="F117" s="91">
        <v>4.57</v>
      </c>
      <c r="G117" s="91">
        <v>9.5399999999999991</v>
      </c>
      <c r="H117" s="115">
        <f t="shared" si="11"/>
        <v>7.4320000000000004</v>
      </c>
    </row>
    <row r="118" spans="2:8">
      <c r="B118" s="88" t="s">
        <v>428</v>
      </c>
      <c r="C118" s="91"/>
      <c r="D118" s="100"/>
      <c r="E118" s="91"/>
      <c r="F118" s="91">
        <v>4.57</v>
      </c>
      <c r="G118" s="91">
        <v>9.5399999999999991</v>
      </c>
      <c r="H118" s="115">
        <f t="shared" si="11"/>
        <v>7.4320000000000004</v>
      </c>
    </row>
    <row r="119" spans="2:8">
      <c r="B119" s="88" t="s">
        <v>428</v>
      </c>
      <c r="C119" s="91">
        <v>3.4079999999999999</v>
      </c>
      <c r="D119" s="100" t="s">
        <v>957</v>
      </c>
      <c r="E119" s="91">
        <v>1.75</v>
      </c>
      <c r="F119" s="91">
        <f>C119*E119</f>
        <v>5.9639999999999995</v>
      </c>
      <c r="G119" s="91">
        <f>(C119+E119)*2</f>
        <v>10.315999999999999</v>
      </c>
      <c r="H119" s="115">
        <f t="shared" si="11"/>
        <v>9.0587999999999997</v>
      </c>
    </row>
    <row r="120" spans="2:8">
      <c r="B120" s="88" t="s">
        <v>532</v>
      </c>
      <c r="C120" s="91">
        <v>3.2</v>
      </c>
      <c r="D120" s="100" t="s">
        <v>957</v>
      </c>
      <c r="E120" s="91">
        <v>1.603</v>
      </c>
      <c r="F120" s="91">
        <f>C120*E120</f>
        <v>5.1295999999999999</v>
      </c>
      <c r="G120" s="91">
        <f>(C120+E120)*2</f>
        <v>9.6059999999999999</v>
      </c>
      <c r="H120" s="115">
        <f t="shared" si="11"/>
        <v>8.0114000000000001</v>
      </c>
    </row>
    <row r="121" spans="2:8">
      <c r="B121" s="88" t="s">
        <v>532</v>
      </c>
      <c r="C121" s="91">
        <v>3.2</v>
      </c>
      <c r="D121" s="100" t="s">
        <v>957</v>
      </c>
      <c r="E121" s="91">
        <v>1.603</v>
      </c>
      <c r="F121" s="91">
        <f>C121*E121</f>
        <v>5.1295999999999999</v>
      </c>
      <c r="G121" s="91">
        <f>(C121+E121)*2</f>
        <v>9.6059999999999999</v>
      </c>
      <c r="H121" s="115">
        <f t="shared" si="11"/>
        <v>8.0114000000000001</v>
      </c>
    </row>
    <row r="122" spans="2:8">
      <c r="B122" s="93" t="s">
        <v>2494</v>
      </c>
      <c r="C122" s="107">
        <v>8.18</v>
      </c>
      <c r="D122" s="108" t="s">
        <v>952</v>
      </c>
      <c r="E122" s="107">
        <v>6.8</v>
      </c>
      <c r="F122" s="107">
        <f>C122*E122</f>
        <v>55.623999999999995</v>
      </c>
      <c r="G122" s="107">
        <f>(C122+E122)*2</f>
        <v>29.96</v>
      </c>
      <c r="H122" s="115">
        <f t="shared" si="11"/>
        <v>64.611999999999995</v>
      </c>
    </row>
    <row r="123" spans="2:8">
      <c r="B123" s="96" t="s">
        <v>968</v>
      </c>
      <c r="C123" s="97"/>
      <c r="D123" s="97"/>
      <c r="E123" s="97"/>
      <c r="F123" s="97"/>
      <c r="G123" s="97"/>
      <c r="H123" s="105"/>
    </row>
    <row r="124" spans="2:8">
      <c r="B124" s="88" t="s">
        <v>357</v>
      </c>
      <c r="C124" s="91">
        <v>1.95</v>
      </c>
      <c r="D124" s="100" t="s">
        <v>957</v>
      </c>
      <c r="E124" s="91">
        <v>1.6</v>
      </c>
      <c r="F124" s="91">
        <f>C124*E124</f>
        <v>3.12</v>
      </c>
      <c r="G124" s="91">
        <f>(C124+E124)*2</f>
        <v>7.1</v>
      </c>
      <c r="H124" s="115">
        <f t="shared" ref="H124:H144" si="14">F124+G124*0.3</f>
        <v>5.25</v>
      </c>
    </row>
    <row r="125" spans="2:8">
      <c r="B125" s="88" t="s">
        <v>356</v>
      </c>
      <c r="C125" s="91">
        <v>1.95</v>
      </c>
      <c r="D125" s="100" t="s">
        <v>957</v>
      </c>
      <c r="E125" s="91">
        <v>1.6</v>
      </c>
      <c r="F125" s="91">
        <f>C125*E125</f>
        <v>3.12</v>
      </c>
      <c r="G125" s="91">
        <f>(C125+E125)*2</f>
        <v>7.1</v>
      </c>
      <c r="H125" s="115">
        <f t="shared" si="14"/>
        <v>5.25</v>
      </c>
    </row>
    <row r="126" spans="2:8">
      <c r="B126" s="88" t="s">
        <v>428</v>
      </c>
      <c r="C126" s="91"/>
      <c r="D126" s="100"/>
      <c r="E126" s="91"/>
      <c r="F126" s="91">
        <v>4.6500000000000004</v>
      </c>
      <c r="G126" s="91">
        <v>9.1999999999999993</v>
      </c>
      <c r="H126" s="115">
        <f t="shared" si="14"/>
        <v>7.41</v>
      </c>
    </row>
    <row r="127" spans="2:8">
      <c r="B127" s="88" t="s">
        <v>428</v>
      </c>
      <c r="C127" s="91"/>
      <c r="D127" s="100"/>
      <c r="E127" s="91"/>
      <c r="F127" s="91">
        <v>4.6500000000000004</v>
      </c>
      <c r="G127" s="91">
        <v>9.1999999999999993</v>
      </c>
      <c r="H127" s="115">
        <f t="shared" si="14"/>
        <v>7.41</v>
      </c>
    </row>
    <row r="128" spans="2:8">
      <c r="B128" s="88" t="s">
        <v>428</v>
      </c>
      <c r="C128" s="91"/>
      <c r="D128" s="100"/>
      <c r="E128" s="91"/>
      <c r="F128" s="91">
        <v>4.6500000000000004</v>
      </c>
      <c r="G128" s="91">
        <v>9.1999999999999993</v>
      </c>
      <c r="H128" s="115">
        <f t="shared" si="14"/>
        <v>7.41</v>
      </c>
    </row>
    <row r="129" spans="2:8">
      <c r="B129" s="88" t="s">
        <v>428</v>
      </c>
      <c r="C129" s="91"/>
      <c r="D129" s="100"/>
      <c r="E129" s="91"/>
      <c r="F129" s="91">
        <v>4.6500000000000004</v>
      </c>
      <c r="G129" s="91">
        <v>9.1999999999999993</v>
      </c>
      <c r="H129" s="115">
        <f t="shared" si="14"/>
        <v>7.41</v>
      </c>
    </row>
    <row r="130" spans="2:8">
      <c r="B130" s="88" t="s">
        <v>428</v>
      </c>
      <c r="C130" s="91"/>
      <c r="D130" s="100"/>
      <c r="E130" s="91"/>
      <c r="F130" s="91">
        <v>4.6500000000000004</v>
      </c>
      <c r="G130" s="91">
        <v>9.1999999999999993</v>
      </c>
      <c r="H130" s="115">
        <f t="shared" si="14"/>
        <v>7.41</v>
      </c>
    </row>
    <row r="131" spans="2:8">
      <c r="B131" s="88" t="s">
        <v>428</v>
      </c>
      <c r="C131" s="91"/>
      <c r="D131" s="100"/>
      <c r="E131" s="91"/>
      <c r="F131" s="91">
        <v>3.84</v>
      </c>
      <c r="G131" s="91">
        <v>8.26</v>
      </c>
      <c r="H131" s="115">
        <f t="shared" si="14"/>
        <v>6.3179999999999996</v>
      </c>
    </row>
    <row r="132" spans="2:8">
      <c r="B132" s="88" t="s">
        <v>428</v>
      </c>
      <c r="C132" s="91"/>
      <c r="D132" s="100"/>
      <c r="E132" s="91"/>
      <c r="F132" s="91">
        <v>3.84</v>
      </c>
      <c r="G132" s="91">
        <v>8.26</v>
      </c>
      <c r="H132" s="115">
        <f t="shared" si="14"/>
        <v>6.3179999999999996</v>
      </c>
    </row>
    <row r="133" spans="2:8">
      <c r="B133" s="88" t="s">
        <v>308</v>
      </c>
      <c r="C133" s="91">
        <v>4.3120000000000003</v>
      </c>
      <c r="D133" s="100" t="s">
        <v>957</v>
      </c>
      <c r="E133" s="91">
        <v>2.5</v>
      </c>
      <c r="F133" s="91">
        <f>C133*E133</f>
        <v>10.780000000000001</v>
      </c>
      <c r="G133" s="91">
        <f>(C133+E133)*2</f>
        <v>13.624000000000001</v>
      </c>
      <c r="H133" s="115">
        <f t="shared" si="14"/>
        <v>14.8672</v>
      </c>
    </row>
    <row r="134" spans="2:8">
      <c r="B134" s="88" t="s">
        <v>545</v>
      </c>
      <c r="C134" s="91"/>
      <c r="D134" s="100"/>
      <c r="E134" s="91"/>
      <c r="F134" s="91">
        <v>28.427</v>
      </c>
      <c r="G134" s="91">
        <v>24.34</v>
      </c>
      <c r="H134" s="115">
        <f t="shared" si="14"/>
        <v>35.728999999999999</v>
      </c>
    </row>
    <row r="135" spans="2:8">
      <c r="B135" s="88" t="s">
        <v>546</v>
      </c>
      <c r="C135" s="91">
        <v>2.8</v>
      </c>
      <c r="D135" s="100" t="s">
        <v>957</v>
      </c>
      <c r="E135" s="91">
        <v>1.6</v>
      </c>
      <c r="F135" s="91">
        <f>C135*E135</f>
        <v>4.4799999999999995</v>
      </c>
      <c r="G135" s="91">
        <f>(C135+E135)*2</f>
        <v>8.8000000000000007</v>
      </c>
      <c r="H135" s="115">
        <f t="shared" si="14"/>
        <v>7.1199999999999992</v>
      </c>
    </row>
    <row r="136" spans="2:8">
      <c r="B136" s="88" t="s">
        <v>547</v>
      </c>
      <c r="C136" s="91">
        <v>2.8</v>
      </c>
      <c r="D136" s="100" t="s">
        <v>957</v>
      </c>
      <c r="E136" s="91">
        <v>1.6</v>
      </c>
      <c r="F136" s="91">
        <f>C136*E136</f>
        <v>4.4799999999999995</v>
      </c>
      <c r="G136" s="91">
        <f>(C136+E136)*2</f>
        <v>8.8000000000000007</v>
      </c>
      <c r="H136" s="115">
        <f t="shared" si="14"/>
        <v>7.1199999999999992</v>
      </c>
    </row>
    <row r="137" spans="2:8">
      <c r="B137" s="88" t="s">
        <v>548</v>
      </c>
      <c r="C137" s="91"/>
      <c r="D137" s="100"/>
      <c r="E137" s="91"/>
      <c r="F137" s="91">
        <v>28.427</v>
      </c>
      <c r="G137" s="91">
        <v>24.34</v>
      </c>
      <c r="H137" s="115">
        <f t="shared" si="14"/>
        <v>35.728999999999999</v>
      </c>
    </row>
    <row r="138" spans="2:8">
      <c r="B138" s="88" t="s">
        <v>428</v>
      </c>
      <c r="C138" s="91">
        <v>1.75</v>
      </c>
      <c r="D138" s="100"/>
      <c r="E138" s="91">
        <v>2.9990000000000001</v>
      </c>
      <c r="F138" s="91">
        <f>C138*E138</f>
        <v>5.2482500000000005</v>
      </c>
      <c r="G138" s="91">
        <f>(C138+E138)*2</f>
        <v>9.4980000000000011</v>
      </c>
      <c r="H138" s="115">
        <f t="shared" si="14"/>
        <v>8.0976500000000016</v>
      </c>
    </row>
    <row r="139" spans="2:8">
      <c r="B139" s="88" t="s">
        <v>428</v>
      </c>
      <c r="C139" s="91"/>
      <c r="D139" s="100"/>
      <c r="E139" s="91"/>
      <c r="F139" s="91">
        <v>4.6500000000000004</v>
      </c>
      <c r="G139" s="91">
        <v>9.1999999999999993</v>
      </c>
      <c r="H139" s="115">
        <f t="shared" si="14"/>
        <v>7.41</v>
      </c>
    </row>
    <row r="140" spans="2:8">
      <c r="B140" s="88" t="s">
        <v>428</v>
      </c>
      <c r="C140" s="91"/>
      <c r="D140" s="100"/>
      <c r="E140" s="91"/>
      <c r="F140" s="91">
        <v>4.6500000000000004</v>
      </c>
      <c r="G140" s="91">
        <v>9.1999999999999993</v>
      </c>
      <c r="H140" s="115">
        <f t="shared" si="14"/>
        <v>7.41</v>
      </c>
    </row>
    <row r="141" spans="2:8">
      <c r="B141" s="88" t="s">
        <v>428</v>
      </c>
      <c r="C141" s="91"/>
      <c r="D141" s="100"/>
      <c r="E141" s="91"/>
      <c r="F141" s="91">
        <v>4.6500000000000004</v>
      </c>
      <c r="G141" s="91">
        <v>9.1999999999999993</v>
      </c>
      <c r="H141" s="115">
        <f t="shared" si="14"/>
        <v>7.41</v>
      </c>
    </row>
    <row r="142" spans="2:8">
      <c r="B142" s="88" t="s">
        <v>428</v>
      </c>
      <c r="C142" s="91"/>
      <c r="D142" s="100"/>
      <c r="E142" s="91"/>
      <c r="F142" s="91">
        <v>4.6500000000000004</v>
      </c>
      <c r="G142" s="91">
        <v>9.1999999999999993</v>
      </c>
      <c r="H142" s="115">
        <f t="shared" si="14"/>
        <v>7.41</v>
      </c>
    </row>
    <row r="143" spans="2:8">
      <c r="B143" s="88" t="s">
        <v>428</v>
      </c>
      <c r="C143" s="91"/>
      <c r="D143" s="100"/>
      <c r="E143" s="91"/>
      <c r="F143" s="91">
        <v>4.6500000000000004</v>
      </c>
      <c r="G143" s="91">
        <v>9.1999999999999993</v>
      </c>
      <c r="H143" s="115">
        <f t="shared" si="14"/>
        <v>7.41</v>
      </c>
    </row>
    <row r="144" spans="2:8">
      <c r="B144" s="93" t="s">
        <v>2494</v>
      </c>
      <c r="C144" s="107">
        <v>8.18</v>
      </c>
      <c r="D144" s="108" t="s">
        <v>952</v>
      </c>
      <c r="E144" s="107">
        <v>6.8</v>
      </c>
      <c r="F144" s="107">
        <f>C144*E144</f>
        <v>55.623999999999995</v>
      </c>
      <c r="G144" s="107">
        <f>(C144+E144)*2</f>
        <v>29.96</v>
      </c>
      <c r="H144" s="115">
        <f t="shared" si="14"/>
        <v>64.611999999999995</v>
      </c>
    </row>
    <row r="145" spans="2:8">
      <c r="B145" s="96" t="s">
        <v>969</v>
      </c>
      <c r="C145" s="97"/>
      <c r="D145" s="97"/>
      <c r="E145" s="97"/>
      <c r="F145" s="97"/>
      <c r="G145" s="97"/>
      <c r="H145" s="105"/>
    </row>
    <row r="146" spans="2:8">
      <c r="B146" s="88" t="s">
        <v>357</v>
      </c>
      <c r="C146" s="91">
        <v>1.95</v>
      </c>
      <c r="D146" s="100" t="s">
        <v>957</v>
      </c>
      <c r="E146" s="91">
        <v>1.6</v>
      </c>
      <c r="F146" s="91">
        <f>C146*E146</f>
        <v>3.12</v>
      </c>
      <c r="G146" s="91">
        <f>(C146+E146)*2</f>
        <v>7.1</v>
      </c>
      <c r="H146" s="115">
        <f t="shared" ref="H146:H198" si="15">F146+G146*0.3</f>
        <v>5.25</v>
      </c>
    </row>
    <row r="147" spans="2:8">
      <c r="B147" s="88" t="s">
        <v>356</v>
      </c>
      <c r="C147" s="91">
        <v>1.95</v>
      </c>
      <c r="D147" s="100" t="s">
        <v>957</v>
      </c>
      <c r="E147" s="91">
        <v>1.6</v>
      </c>
      <c r="F147" s="91">
        <f>C147*E147</f>
        <v>3.12</v>
      </c>
      <c r="G147" s="91">
        <f>(C147+E147)*2</f>
        <v>7.1</v>
      </c>
      <c r="H147" s="115">
        <f t="shared" si="15"/>
        <v>5.25</v>
      </c>
    </row>
    <row r="148" spans="2:8">
      <c r="B148" s="88" t="s">
        <v>428</v>
      </c>
      <c r="C148" s="91"/>
      <c r="D148" s="100"/>
      <c r="E148" s="91"/>
      <c r="F148" s="91">
        <v>4.6500000000000004</v>
      </c>
      <c r="G148" s="91">
        <v>9.1999999999999993</v>
      </c>
      <c r="H148" s="115">
        <f t="shared" si="15"/>
        <v>7.41</v>
      </c>
    </row>
    <row r="149" spans="2:8">
      <c r="B149" s="88" t="s">
        <v>428</v>
      </c>
      <c r="C149" s="91"/>
      <c r="D149" s="100"/>
      <c r="E149" s="91"/>
      <c r="F149" s="91">
        <v>4.6500000000000004</v>
      </c>
      <c r="G149" s="91">
        <v>9.1999999999999993</v>
      </c>
      <c r="H149" s="115">
        <f t="shared" si="15"/>
        <v>7.41</v>
      </c>
    </row>
    <row r="150" spans="2:8">
      <c r="B150" s="88" t="s">
        <v>428</v>
      </c>
      <c r="C150" s="91"/>
      <c r="D150" s="100"/>
      <c r="E150" s="91"/>
      <c r="F150" s="91">
        <v>4.6500000000000004</v>
      </c>
      <c r="G150" s="91">
        <v>9.1999999999999993</v>
      </c>
      <c r="H150" s="115">
        <f t="shared" si="15"/>
        <v>7.41</v>
      </c>
    </row>
    <row r="151" spans="2:8">
      <c r="B151" s="88" t="s">
        <v>428</v>
      </c>
      <c r="C151" s="91"/>
      <c r="D151" s="100"/>
      <c r="E151" s="91"/>
      <c r="F151" s="91">
        <v>4.6500000000000004</v>
      </c>
      <c r="G151" s="91">
        <v>9.1999999999999993</v>
      </c>
      <c r="H151" s="115">
        <f t="shared" si="15"/>
        <v>7.41</v>
      </c>
    </row>
    <row r="152" spans="2:8">
      <c r="B152" s="88" t="s">
        <v>428</v>
      </c>
      <c r="C152" s="91"/>
      <c r="D152" s="100"/>
      <c r="E152" s="91"/>
      <c r="F152" s="91">
        <v>4.6500000000000004</v>
      </c>
      <c r="G152" s="91">
        <v>9.1999999999999993</v>
      </c>
      <c r="H152" s="115">
        <f t="shared" si="15"/>
        <v>7.41</v>
      </c>
    </row>
    <row r="153" spans="2:8">
      <c r="B153" s="88" t="s">
        <v>428</v>
      </c>
      <c r="C153" s="91"/>
      <c r="D153" s="100"/>
      <c r="E153" s="91"/>
      <c r="F153" s="91">
        <v>3.84</v>
      </c>
      <c r="G153" s="91">
        <v>8.26</v>
      </c>
      <c r="H153" s="115">
        <f t="shared" si="15"/>
        <v>6.3179999999999996</v>
      </c>
    </row>
    <row r="154" spans="2:8">
      <c r="B154" s="88" t="s">
        <v>428</v>
      </c>
      <c r="C154" s="91"/>
      <c r="D154" s="100"/>
      <c r="E154" s="91"/>
      <c r="F154" s="91">
        <v>3.84</v>
      </c>
      <c r="G154" s="91">
        <v>8.26</v>
      </c>
      <c r="H154" s="115">
        <f t="shared" si="15"/>
        <v>6.3179999999999996</v>
      </c>
    </row>
    <row r="155" spans="2:8">
      <c r="B155" s="88" t="s">
        <v>308</v>
      </c>
      <c r="C155" s="91">
        <v>4.3120000000000003</v>
      </c>
      <c r="D155" s="100" t="s">
        <v>957</v>
      </c>
      <c r="E155" s="91">
        <v>2.5</v>
      </c>
      <c r="F155" s="91">
        <f>C155*E155</f>
        <v>10.780000000000001</v>
      </c>
      <c r="G155" s="91">
        <f>(C155+E155)*2</f>
        <v>13.624000000000001</v>
      </c>
      <c r="H155" s="115">
        <f t="shared" si="15"/>
        <v>14.8672</v>
      </c>
    </row>
    <row r="156" spans="2:8">
      <c r="B156" s="88" t="s">
        <v>545</v>
      </c>
      <c r="C156" s="91"/>
      <c r="D156" s="100"/>
      <c r="E156" s="91"/>
      <c r="F156" s="91">
        <v>28.427</v>
      </c>
      <c r="G156" s="91">
        <v>24.34</v>
      </c>
      <c r="H156" s="115">
        <f t="shared" si="15"/>
        <v>35.728999999999999</v>
      </c>
    </row>
    <row r="157" spans="2:8">
      <c r="B157" s="88" t="s">
        <v>546</v>
      </c>
      <c r="C157" s="91">
        <v>2.8</v>
      </c>
      <c r="D157" s="100" t="s">
        <v>957</v>
      </c>
      <c r="E157" s="91">
        <v>1.6</v>
      </c>
      <c r="F157" s="91">
        <f>C157*E157</f>
        <v>4.4799999999999995</v>
      </c>
      <c r="G157" s="91">
        <f>(C157+E157)*2</f>
        <v>8.8000000000000007</v>
      </c>
      <c r="H157" s="115">
        <f t="shared" si="15"/>
        <v>7.1199999999999992</v>
      </c>
    </row>
    <row r="158" spans="2:8">
      <c r="B158" s="88" t="s">
        <v>547</v>
      </c>
      <c r="C158" s="91">
        <v>2.8</v>
      </c>
      <c r="D158" s="100" t="s">
        <v>957</v>
      </c>
      <c r="E158" s="91">
        <v>1.6</v>
      </c>
      <c r="F158" s="91">
        <f>C158*E158</f>
        <v>4.4799999999999995</v>
      </c>
      <c r="G158" s="91">
        <f>(C158+E158)*2</f>
        <v>8.8000000000000007</v>
      </c>
      <c r="H158" s="115">
        <f t="shared" si="15"/>
        <v>7.1199999999999992</v>
      </c>
    </row>
    <row r="159" spans="2:8">
      <c r="B159" s="88" t="s">
        <v>548</v>
      </c>
      <c r="C159" s="91"/>
      <c r="D159" s="100"/>
      <c r="E159" s="91"/>
      <c r="F159" s="91">
        <v>28.427</v>
      </c>
      <c r="G159" s="91">
        <v>24.34</v>
      </c>
      <c r="H159" s="115">
        <f t="shared" si="15"/>
        <v>35.728999999999999</v>
      </c>
    </row>
    <row r="160" spans="2:8">
      <c r="B160" s="88" t="s">
        <v>428</v>
      </c>
      <c r="C160" s="91">
        <v>1.75</v>
      </c>
      <c r="D160" s="100"/>
      <c r="E160" s="91">
        <v>2.9990000000000001</v>
      </c>
      <c r="F160" s="91">
        <f>C160*E160</f>
        <v>5.2482500000000005</v>
      </c>
      <c r="G160" s="91">
        <f>(C160+E160)*2</f>
        <v>9.4980000000000011</v>
      </c>
      <c r="H160" s="115">
        <f t="shared" si="15"/>
        <v>8.0976500000000016</v>
      </c>
    </row>
    <row r="161" spans="2:8">
      <c r="B161" s="88" t="s">
        <v>428</v>
      </c>
      <c r="C161" s="91"/>
      <c r="D161" s="100"/>
      <c r="E161" s="91"/>
      <c r="F161" s="91">
        <v>4.6500000000000004</v>
      </c>
      <c r="G161" s="91">
        <v>9.1999999999999993</v>
      </c>
      <c r="H161" s="115">
        <f t="shared" si="15"/>
        <v>7.41</v>
      </c>
    </row>
    <row r="162" spans="2:8">
      <c r="B162" s="88" t="s">
        <v>428</v>
      </c>
      <c r="C162" s="91"/>
      <c r="D162" s="100"/>
      <c r="E162" s="91"/>
      <c r="F162" s="91">
        <v>4.6500000000000004</v>
      </c>
      <c r="G162" s="91">
        <v>9.1999999999999993</v>
      </c>
      <c r="H162" s="115">
        <f t="shared" si="15"/>
        <v>7.41</v>
      </c>
    </row>
    <row r="163" spans="2:8">
      <c r="B163" s="88" t="s">
        <v>428</v>
      </c>
      <c r="C163" s="91"/>
      <c r="D163" s="100"/>
      <c r="E163" s="91"/>
      <c r="F163" s="91">
        <v>4.6500000000000004</v>
      </c>
      <c r="G163" s="91">
        <v>9.1999999999999993</v>
      </c>
      <c r="H163" s="115">
        <f t="shared" si="15"/>
        <v>7.41</v>
      </c>
    </row>
    <row r="164" spans="2:8">
      <c r="B164" s="88" t="s">
        <v>428</v>
      </c>
      <c r="C164" s="91"/>
      <c r="D164" s="100"/>
      <c r="E164" s="91"/>
      <c r="F164" s="91">
        <v>4.6500000000000004</v>
      </c>
      <c r="G164" s="91">
        <v>9.1999999999999993</v>
      </c>
      <c r="H164" s="115">
        <f t="shared" si="15"/>
        <v>7.41</v>
      </c>
    </row>
    <row r="165" spans="2:8">
      <c r="B165" s="88" t="s">
        <v>428</v>
      </c>
      <c r="C165" s="91"/>
      <c r="D165" s="100"/>
      <c r="E165" s="91"/>
      <c r="F165" s="91">
        <v>4.6500000000000004</v>
      </c>
      <c r="G165" s="91">
        <v>9.1999999999999993</v>
      </c>
      <c r="H165" s="115">
        <f t="shared" si="15"/>
        <v>7.41</v>
      </c>
    </row>
    <row r="166" spans="2:8">
      <c r="B166" s="93" t="s">
        <v>2494</v>
      </c>
      <c r="C166" s="107">
        <v>8.18</v>
      </c>
      <c r="D166" s="108" t="s">
        <v>952</v>
      </c>
      <c r="E166" s="107">
        <v>6.8</v>
      </c>
      <c r="F166" s="107">
        <f>C166*E166</f>
        <v>55.623999999999995</v>
      </c>
      <c r="G166" s="107">
        <f>(C166+E166)*2</f>
        <v>29.96</v>
      </c>
      <c r="H166" s="115">
        <f t="shared" si="15"/>
        <v>64.611999999999995</v>
      </c>
    </row>
    <row r="167" spans="2:8">
      <c r="B167" s="96" t="s">
        <v>970</v>
      </c>
      <c r="C167" s="97"/>
      <c r="D167" s="97"/>
      <c r="E167" s="97"/>
      <c r="F167" s="97"/>
      <c r="G167" s="97"/>
      <c r="H167" s="105"/>
    </row>
    <row r="168" spans="2:8">
      <c r="B168" s="88" t="s">
        <v>357</v>
      </c>
      <c r="C168" s="91">
        <v>1.95</v>
      </c>
      <c r="D168" s="100" t="s">
        <v>957</v>
      </c>
      <c r="E168" s="91">
        <v>1.6</v>
      </c>
      <c r="F168" s="91">
        <f>C168*E168</f>
        <v>3.12</v>
      </c>
      <c r="G168" s="91">
        <f>(C168+E168)*2</f>
        <v>7.1</v>
      </c>
      <c r="H168" s="115">
        <f t="shared" si="15"/>
        <v>5.25</v>
      </c>
    </row>
    <row r="169" spans="2:8">
      <c r="B169" s="88" t="s">
        <v>356</v>
      </c>
      <c r="C169" s="91">
        <v>1.95</v>
      </c>
      <c r="D169" s="100" t="s">
        <v>957</v>
      </c>
      <c r="E169" s="91">
        <v>1.6</v>
      </c>
      <c r="F169" s="91">
        <f>C169*E169</f>
        <v>3.12</v>
      </c>
      <c r="G169" s="91">
        <f>(C169+E169)*2</f>
        <v>7.1</v>
      </c>
      <c r="H169" s="115">
        <f t="shared" si="15"/>
        <v>5.25</v>
      </c>
    </row>
    <row r="170" spans="2:8">
      <c r="B170" s="88" t="s">
        <v>428</v>
      </c>
      <c r="C170" s="91"/>
      <c r="D170" s="100"/>
      <c r="E170" s="91"/>
      <c r="F170" s="91">
        <v>4.6500000000000004</v>
      </c>
      <c r="G170" s="91">
        <v>9.1999999999999993</v>
      </c>
      <c r="H170" s="115">
        <f t="shared" si="15"/>
        <v>7.41</v>
      </c>
    </row>
    <row r="171" spans="2:8">
      <c r="B171" s="88" t="s">
        <v>428</v>
      </c>
      <c r="C171" s="91"/>
      <c r="D171" s="100"/>
      <c r="E171" s="91"/>
      <c r="F171" s="91">
        <v>4.6500000000000004</v>
      </c>
      <c r="G171" s="91">
        <v>9.1999999999999993</v>
      </c>
      <c r="H171" s="115">
        <f t="shared" si="15"/>
        <v>7.41</v>
      </c>
    </row>
    <row r="172" spans="2:8">
      <c r="B172" s="88" t="s">
        <v>428</v>
      </c>
      <c r="C172" s="91"/>
      <c r="D172" s="100"/>
      <c r="E172" s="91"/>
      <c r="F172" s="91">
        <v>4.6500000000000004</v>
      </c>
      <c r="G172" s="91">
        <v>9.1999999999999993</v>
      </c>
      <c r="H172" s="115">
        <f t="shared" si="15"/>
        <v>7.41</v>
      </c>
    </row>
    <row r="173" spans="2:8">
      <c r="B173" s="88" t="s">
        <v>428</v>
      </c>
      <c r="C173" s="91"/>
      <c r="D173" s="100"/>
      <c r="E173" s="91"/>
      <c r="F173" s="91">
        <v>4.6500000000000004</v>
      </c>
      <c r="G173" s="91">
        <v>9.1999999999999993</v>
      </c>
      <c r="H173" s="115">
        <f t="shared" si="15"/>
        <v>7.41</v>
      </c>
    </row>
    <row r="174" spans="2:8">
      <c r="B174" s="88" t="s">
        <v>428</v>
      </c>
      <c r="C174" s="91"/>
      <c r="D174" s="100"/>
      <c r="E174" s="91"/>
      <c r="F174" s="91">
        <v>4.6500000000000004</v>
      </c>
      <c r="G174" s="91">
        <v>9.1999999999999993</v>
      </c>
      <c r="H174" s="115">
        <f t="shared" si="15"/>
        <v>7.41</v>
      </c>
    </row>
    <row r="175" spans="2:8">
      <c r="B175" s="88" t="s">
        <v>428</v>
      </c>
      <c r="C175" s="91"/>
      <c r="D175" s="100"/>
      <c r="E175" s="91"/>
      <c r="F175" s="91">
        <v>3.84</v>
      </c>
      <c r="G175" s="91">
        <v>8.26</v>
      </c>
      <c r="H175" s="115">
        <f t="shared" si="15"/>
        <v>6.3179999999999996</v>
      </c>
    </row>
    <row r="176" spans="2:8">
      <c r="B176" s="88" t="s">
        <v>428</v>
      </c>
      <c r="C176" s="91"/>
      <c r="D176" s="100"/>
      <c r="E176" s="91"/>
      <c r="F176" s="91">
        <v>3.84</v>
      </c>
      <c r="G176" s="91">
        <v>8.26</v>
      </c>
      <c r="H176" s="115">
        <f t="shared" si="15"/>
        <v>6.3179999999999996</v>
      </c>
    </row>
    <row r="177" spans="2:8">
      <c r="B177" s="88" t="s">
        <v>308</v>
      </c>
      <c r="C177" s="91">
        <v>4.3120000000000003</v>
      </c>
      <c r="D177" s="100" t="s">
        <v>957</v>
      </c>
      <c r="E177" s="91">
        <v>2.5</v>
      </c>
      <c r="F177" s="91">
        <f>C177*E177</f>
        <v>10.780000000000001</v>
      </c>
      <c r="G177" s="91">
        <f>(C177+E177)*2</f>
        <v>13.624000000000001</v>
      </c>
      <c r="H177" s="115">
        <f t="shared" si="15"/>
        <v>14.8672</v>
      </c>
    </row>
    <row r="178" spans="2:8">
      <c r="B178" s="88" t="s">
        <v>545</v>
      </c>
      <c r="C178" s="91"/>
      <c r="D178" s="100"/>
      <c r="E178" s="91"/>
      <c r="F178" s="91">
        <v>28.427</v>
      </c>
      <c r="G178" s="91">
        <v>24.34</v>
      </c>
      <c r="H178" s="115">
        <f t="shared" si="15"/>
        <v>35.728999999999999</v>
      </c>
    </row>
    <row r="179" spans="2:8">
      <c r="B179" s="88" t="s">
        <v>546</v>
      </c>
      <c r="C179" s="91">
        <v>2.8</v>
      </c>
      <c r="D179" s="100" t="s">
        <v>957</v>
      </c>
      <c r="E179" s="91">
        <v>1.6</v>
      </c>
      <c r="F179" s="91">
        <f>C179*E179</f>
        <v>4.4799999999999995</v>
      </c>
      <c r="G179" s="91">
        <f>(C179+E179)*2</f>
        <v>8.8000000000000007</v>
      </c>
      <c r="H179" s="115">
        <f t="shared" si="15"/>
        <v>7.1199999999999992</v>
      </c>
    </row>
    <row r="180" spans="2:8">
      <c r="B180" s="88" t="s">
        <v>547</v>
      </c>
      <c r="C180" s="91">
        <v>2.8</v>
      </c>
      <c r="D180" s="100" t="s">
        <v>957</v>
      </c>
      <c r="E180" s="91">
        <v>1.6</v>
      </c>
      <c r="F180" s="91">
        <f>C180*E180</f>
        <v>4.4799999999999995</v>
      </c>
      <c r="G180" s="91">
        <f>(C180+E180)*2</f>
        <v>8.8000000000000007</v>
      </c>
      <c r="H180" s="115">
        <f t="shared" si="15"/>
        <v>7.1199999999999992</v>
      </c>
    </row>
    <row r="181" spans="2:8">
      <c r="B181" s="88" t="s">
        <v>548</v>
      </c>
      <c r="C181" s="91"/>
      <c r="D181" s="100"/>
      <c r="E181" s="91"/>
      <c r="F181" s="91">
        <v>28.427</v>
      </c>
      <c r="G181" s="91">
        <v>24.34</v>
      </c>
      <c r="H181" s="115">
        <f t="shared" si="15"/>
        <v>35.728999999999999</v>
      </c>
    </row>
    <row r="182" spans="2:8">
      <c r="B182" s="88" t="s">
        <v>428</v>
      </c>
      <c r="C182" s="91">
        <v>1.75</v>
      </c>
      <c r="D182" s="100"/>
      <c r="E182" s="91">
        <v>2.9990000000000001</v>
      </c>
      <c r="F182" s="91">
        <f>C182*E182</f>
        <v>5.2482500000000005</v>
      </c>
      <c r="G182" s="91">
        <f>(C182+E182)*2</f>
        <v>9.4980000000000011</v>
      </c>
      <c r="H182" s="115">
        <f t="shared" si="15"/>
        <v>8.0976500000000016</v>
      </c>
    </row>
    <row r="183" spans="2:8">
      <c r="B183" s="88" t="s">
        <v>428</v>
      </c>
      <c r="C183" s="91"/>
      <c r="D183" s="100"/>
      <c r="E183" s="91"/>
      <c r="F183" s="91">
        <v>4.6500000000000004</v>
      </c>
      <c r="G183" s="91">
        <v>9.1999999999999993</v>
      </c>
      <c r="H183" s="115">
        <f t="shared" si="15"/>
        <v>7.41</v>
      </c>
    </row>
    <row r="184" spans="2:8">
      <c r="B184" s="88" t="s">
        <v>428</v>
      </c>
      <c r="C184" s="91"/>
      <c r="D184" s="100"/>
      <c r="E184" s="91"/>
      <c r="F184" s="91">
        <v>4.6500000000000004</v>
      </c>
      <c r="G184" s="91">
        <v>9.1999999999999993</v>
      </c>
      <c r="H184" s="115">
        <f t="shared" si="15"/>
        <v>7.41</v>
      </c>
    </row>
    <row r="185" spans="2:8">
      <c r="B185" s="88" t="s">
        <v>428</v>
      </c>
      <c r="C185" s="91"/>
      <c r="D185" s="100"/>
      <c r="E185" s="91"/>
      <c r="F185" s="91">
        <v>4.6500000000000004</v>
      </c>
      <c r="G185" s="91">
        <v>9.1999999999999993</v>
      </c>
      <c r="H185" s="115">
        <f t="shared" si="15"/>
        <v>7.41</v>
      </c>
    </row>
    <row r="186" spans="2:8">
      <c r="B186" s="88" t="s">
        <v>428</v>
      </c>
      <c r="C186" s="91"/>
      <c r="D186" s="100"/>
      <c r="E186" s="91"/>
      <c r="F186" s="91">
        <v>4.6500000000000004</v>
      </c>
      <c r="G186" s="91">
        <v>9.1999999999999993</v>
      </c>
      <c r="H186" s="115">
        <f t="shared" si="15"/>
        <v>7.41</v>
      </c>
    </row>
    <row r="187" spans="2:8">
      <c r="B187" s="88" t="s">
        <v>428</v>
      </c>
      <c r="C187" s="91"/>
      <c r="D187" s="100"/>
      <c r="E187" s="91"/>
      <c r="F187" s="91">
        <v>4.6500000000000004</v>
      </c>
      <c r="G187" s="91">
        <v>9.1999999999999993</v>
      </c>
      <c r="H187" s="115">
        <f t="shared" si="15"/>
        <v>7.41</v>
      </c>
    </row>
    <row r="188" spans="2:8">
      <c r="B188" s="93" t="s">
        <v>2494</v>
      </c>
      <c r="C188" s="107">
        <v>8.18</v>
      </c>
      <c r="D188" s="108" t="s">
        <v>952</v>
      </c>
      <c r="E188" s="107">
        <v>6.8</v>
      </c>
      <c r="F188" s="107">
        <f>C188*E188</f>
        <v>55.623999999999995</v>
      </c>
      <c r="G188" s="107">
        <f>(C188+E188)*2</f>
        <v>29.96</v>
      </c>
      <c r="H188" s="115">
        <f t="shared" si="15"/>
        <v>64.611999999999995</v>
      </c>
    </row>
    <row r="189" spans="2:8">
      <c r="B189" s="96" t="s">
        <v>971</v>
      </c>
      <c r="C189" s="97"/>
      <c r="D189" s="97"/>
      <c r="E189" s="97"/>
      <c r="F189" s="97"/>
      <c r="G189" s="97"/>
      <c r="H189" s="105"/>
    </row>
    <row r="190" spans="2:8">
      <c r="B190" s="88" t="s">
        <v>357</v>
      </c>
      <c r="C190" s="91">
        <v>1.95</v>
      </c>
      <c r="D190" s="100" t="s">
        <v>957</v>
      </c>
      <c r="E190" s="91">
        <v>1.6</v>
      </c>
      <c r="F190" s="91">
        <f>C190*E190</f>
        <v>3.12</v>
      </c>
      <c r="G190" s="91">
        <f>(C190+E190)*2</f>
        <v>7.1</v>
      </c>
      <c r="H190" s="115">
        <f t="shared" si="15"/>
        <v>5.25</v>
      </c>
    </row>
    <row r="191" spans="2:8">
      <c r="B191" s="88" t="s">
        <v>356</v>
      </c>
      <c r="C191" s="91">
        <v>1.95</v>
      </c>
      <c r="D191" s="100" t="s">
        <v>957</v>
      </c>
      <c r="E191" s="91">
        <v>1.6</v>
      </c>
      <c r="F191" s="91">
        <f>C191*E191</f>
        <v>3.12</v>
      </c>
      <c r="G191" s="91">
        <f>(C191+E191)*2</f>
        <v>7.1</v>
      </c>
      <c r="H191" s="115">
        <f t="shared" si="15"/>
        <v>5.25</v>
      </c>
    </row>
    <row r="192" spans="2:8">
      <c r="B192" s="88" t="s">
        <v>545</v>
      </c>
      <c r="C192" s="91"/>
      <c r="D192" s="100"/>
      <c r="E192" s="91"/>
      <c r="F192" s="91">
        <v>28.427</v>
      </c>
      <c r="G192" s="91">
        <v>24.34</v>
      </c>
      <c r="H192" s="115">
        <f t="shared" si="15"/>
        <v>35.728999999999999</v>
      </c>
    </row>
    <row r="193" spans="2:8">
      <c r="B193" s="88" t="s">
        <v>546</v>
      </c>
      <c r="C193" s="91">
        <v>2.8</v>
      </c>
      <c r="D193" s="100" t="s">
        <v>957</v>
      </c>
      <c r="E193" s="91">
        <v>1.6</v>
      </c>
      <c r="F193" s="91">
        <f>C193*E193</f>
        <v>4.4799999999999995</v>
      </c>
      <c r="G193" s="91">
        <f>(C193+E193)*2</f>
        <v>8.8000000000000007</v>
      </c>
      <c r="H193" s="115">
        <f t="shared" si="15"/>
        <v>7.1199999999999992</v>
      </c>
    </row>
    <row r="194" spans="2:8">
      <c r="B194" s="88" t="s">
        <v>547</v>
      </c>
      <c r="C194" s="91">
        <v>2.8</v>
      </c>
      <c r="D194" s="100" t="s">
        <v>957</v>
      </c>
      <c r="E194" s="91">
        <v>1.6</v>
      </c>
      <c r="F194" s="91">
        <f>C194*E194</f>
        <v>4.4799999999999995</v>
      </c>
      <c r="G194" s="91">
        <f>(C194+E194)*2</f>
        <v>8.8000000000000007</v>
      </c>
      <c r="H194" s="115">
        <f t="shared" si="15"/>
        <v>7.1199999999999992</v>
      </c>
    </row>
    <row r="195" spans="2:8">
      <c r="B195" s="88" t="s">
        <v>548</v>
      </c>
      <c r="C195" s="91"/>
      <c r="D195" s="100"/>
      <c r="E195" s="91"/>
      <c r="F195" s="91">
        <v>28.427</v>
      </c>
      <c r="G195" s="91">
        <v>24.34</v>
      </c>
      <c r="H195" s="115">
        <f t="shared" si="15"/>
        <v>35.728999999999999</v>
      </c>
    </row>
    <row r="196" spans="2:8">
      <c r="B196" s="93" t="s">
        <v>396</v>
      </c>
      <c r="C196" s="107">
        <v>4.056</v>
      </c>
      <c r="D196" s="108" t="s">
        <v>957</v>
      </c>
      <c r="E196" s="107">
        <v>2.2930000000000001</v>
      </c>
      <c r="F196" s="91">
        <f>C196*E196</f>
        <v>9.3004080000000009</v>
      </c>
      <c r="G196" s="91">
        <f>(C196+E196)*2</f>
        <v>12.698</v>
      </c>
      <c r="H196" s="115">
        <f t="shared" si="15"/>
        <v>13.109808000000001</v>
      </c>
    </row>
    <row r="197" spans="2:8">
      <c r="B197" s="93" t="s">
        <v>397</v>
      </c>
      <c r="C197" s="107">
        <v>2.5</v>
      </c>
      <c r="D197" s="108" t="s">
        <v>957</v>
      </c>
      <c r="E197" s="107">
        <v>1.994</v>
      </c>
      <c r="F197" s="107">
        <f>C197*E197</f>
        <v>4.9850000000000003</v>
      </c>
      <c r="G197" s="107">
        <f>(C197+E197)*2</f>
        <v>8.9879999999999995</v>
      </c>
      <c r="H197" s="115">
        <f t="shared" si="15"/>
        <v>7.6814</v>
      </c>
    </row>
    <row r="198" spans="2:8">
      <c r="B198" s="93" t="s">
        <v>2494</v>
      </c>
      <c r="C198" s="107">
        <v>8.18</v>
      </c>
      <c r="D198" s="108" t="s">
        <v>952</v>
      </c>
      <c r="E198" s="107">
        <v>6.8</v>
      </c>
      <c r="F198" s="107">
        <f>C198*E198</f>
        <v>55.623999999999995</v>
      </c>
      <c r="G198" s="107">
        <f>(C198+E198)*2</f>
        <v>29.96</v>
      </c>
      <c r="H198" s="115">
        <f t="shared" si="15"/>
        <v>64.611999999999995</v>
      </c>
    </row>
    <row r="199" spans="2:8">
      <c r="B199" s="96" t="s">
        <v>972</v>
      </c>
      <c r="C199" s="97"/>
      <c r="D199" s="97"/>
      <c r="E199" s="97"/>
      <c r="F199" s="97"/>
      <c r="G199" s="97"/>
      <c r="H199" s="105"/>
    </row>
    <row r="200" spans="2:8">
      <c r="B200" s="93" t="s">
        <v>579</v>
      </c>
      <c r="C200" s="107"/>
      <c r="D200" s="108"/>
      <c r="E200" s="107"/>
      <c r="F200" s="107">
        <v>495.73</v>
      </c>
      <c r="G200" s="107">
        <v>125</v>
      </c>
      <c r="H200" s="115">
        <f>F200+G200*0.3</f>
        <v>533.23</v>
      </c>
    </row>
    <row r="201" spans="2:8">
      <c r="B201" s="93" t="s">
        <v>2493</v>
      </c>
      <c r="C201" s="107">
        <v>11.74</v>
      </c>
      <c r="D201" s="108" t="s">
        <v>952</v>
      </c>
      <c r="E201" s="107">
        <v>7.1</v>
      </c>
      <c r="F201" s="107">
        <f>+E201*C201</f>
        <v>83.353999999999999</v>
      </c>
      <c r="G201" s="107">
        <f>(C201+E201)*2</f>
        <v>37.68</v>
      </c>
      <c r="H201" s="115">
        <f>F201+G201*0.3</f>
        <v>94.658000000000001</v>
      </c>
    </row>
    <row r="202" spans="2:8">
      <c r="B202" s="93" t="s">
        <v>2495</v>
      </c>
      <c r="C202" s="107">
        <v>11.74</v>
      </c>
      <c r="D202" s="108" t="s">
        <v>952</v>
      </c>
      <c r="E202" s="107">
        <v>7.1</v>
      </c>
      <c r="F202" s="107">
        <f>+E202*C202</f>
        <v>83.353999999999999</v>
      </c>
      <c r="G202" s="107">
        <f>(C202+E202)*2</f>
        <v>37.68</v>
      </c>
      <c r="H202" s="115">
        <f>F202+G202*0.3</f>
        <v>94.658000000000001</v>
      </c>
    </row>
    <row r="203" spans="2:8">
      <c r="B203" s="93" t="s">
        <v>2496</v>
      </c>
      <c r="C203" s="107">
        <v>11.43</v>
      </c>
      <c r="D203" s="108" t="s">
        <v>952</v>
      </c>
      <c r="E203" s="107">
        <v>6.88</v>
      </c>
      <c r="F203" s="107">
        <f>11.43*4*3.6</f>
        <v>164.59200000000001</v>
      </c>
      <c r="G203" s="107">
        <f>+E203*4*3.6</f>
        <v>99.072000000000003</v>
      </c>
      <c r="H203" s="115">
        <f>+G203+F203</f>
        <v>263.66399999999999</v>
      </c>
    </row>
    <row r="204" spans="2:8">
      <c r="B204" s="93" t="s">
        <v>2492</v>
      </c>
      <c r="C204" s="107"/>
      <c r="D204" s="108"/>
      <c r="E204" s="107"/>
      <c r="F204" s="107">
        <v>194</v>
      </c>
      <c r="G204" s="107"/>
      <c r="H204" s="115">
        <f>F204+G204*0.3</f>
        <v>194</v>
      </c>
    </row>
    <row r="205" spans="2:8">
      <c r="B205" s="93" t="s">
        <v>2491</v>
      </c>
      <c r="C205" s="107"/>
      <c r="D205" s="108"/>
      <c r="E205" s="107"/>
      <c r="F205" s="107">
        <v>313.29000000000002</v>
      </c>
      <c r="G205" s="107"/>
      <c r="H205" s="115">
        <f>F205+G205*0.3</f>
        <v>313.29000000000002</v>
      </c>
    </row>
    <row r="206" spans="2:8">
      <c r="B206" s="118" t="s">
        <v>1071</v>
      </c>
      <c r="C206" s="119"/>
      <c r="D206" s="119"/>
      <c r="E206" s="119"/>
      <c r="F206" s="119"/>
      <c r="G206" s="119"/>
      <c r="H206" s="120">
        <f>SUM(H5:H205)</f>
        <v>11914.272547999988</v>
      </c>
    </row>
    <row r="208" spans="2:8" ht="18">
      <c r="B208" s="1040" t="s">
        <v>1054</v>
      </c>
      <c r="C208" s="1040"/>
      <c r="D208" s="1040"/>
      <c r="E208" s="1040"/>
      <c r="F208" s="1040"/>
      <c r="G208" s="1040"/>
      <c r="H208" s="1040"/>
    </row>
    <row r="209" spans="2:8">
      <c r="B209" s="111" t="s">
        <v>951</v>
      </c>
      <c r="C209" s="122" t="s">
        <v>952</v>
      </c>
      <c r="D209" s="113"/>
      <c r="E209" s="122" t="s">
        <v>953</v>
      </c>
      <c r="F209" s="113" t="s">
        <v>584</v>
      </c>
      <c r="G209" s="113" t="s">
        <v>954</v>
      </c>
      <c r="H209" s="114" t="s">
        <v>1061</v>
      </c>
    </row>
    <row r="210" spans="2:8">
      <c r="B210" s="96" t="s">
        <v>958</v>
      </c>
      <c r="C210" s="97"/>
      <c r="D210" s="97"/>
      <c r="E210" s="97"/>
      <c r="F210" s="97"/>
      <c r="G210" s="97"/>
      <c r="H210" s="105"/>
    </row>
    <row r="211" spans="2:8">
      <c r="B211" s="121" t="s">
        <v>959</v>
      </c>
      <c r="C211" s="91"/>
      <c r="D211" s="91"/>
      <c r="E211" s="91"/>
      <c r="F211" s="91"/>
      <c r="G211" s="91"/>
      <c r="H211" s="91"/>
    </row>
    <row r="212" spans="2:8">
      <c r="B212" s="121" t="s">
        <v>960</v>
      </c>
      <c r="C212" s="91">
        <v>0.6</v>
      </c>
      <c r="D212" s="123" t="s">
        <v>957</v>
      </c>
      <c r="E212" s="91">
        <v>11.05</v>
      </c>
      <c r="F212" s="91">
        <f t="shared" ref="F212:F218" si="16">C212*E212</f>
        <v>6.63</v>
      </c>
      <c r="G212" s="107">
        <f t="shared" ref="G212:G218" si="17">(C212+E212)*2</f>
        <v>23.3</v>
      </c>
      <c r="H212" s="91">
        <f t="shared" ref="H212:H218" si="18">F212+G212*0.5</f>
        <v>18.28</v>
      </c>
    </row>
    <row r="213" spans="2:8">
      <c r="B213" s="121" t="s">
        <v>1072</v>
      </c>
      <c r="C213" s="91">
        <v>0.8</v>
      </c>
      <c r="D213" s="123" t="s">
        <v>957</v>
      </c>
      <c r="E213" s="91">
        <v>28.01</v>
      </c>
      <c r="F213" s="91">
        <f t="shared" si="16"/>
        <v>22.408000000000001</v>
      </c>
      <c r="G213" s="107">
        <f t="shared" si="17"/>
        <v>57.620000000000005</v>
      </c>
      <c r="H213" s="91">
        <f t="shared" si="18"/>
        <v>51.218000000000004</v>
      </c>
    </row>
    <row r="214" spans="2:8">
      <c r="B214" s="121" t="s">
        <v>962</v>
      </c>
      <c r="C214" s="91">
        <v>1</v>
      </c>
      <c r="D214" s="123" t="s">
        <v>957</v>
      </c>
      <c r="E214" s="91">
        <v>23.95</v>
      </c>
      <c r="F214" s="91">
        <f t="shared" si="16"/>
        <v>23.95</v>
      </c>
      <c r="G214" s="107">
        <f t="shared" si="17"/>
        <v>49.9</v>
      </c>
      <c r="H214" s="91">
        <f t="shared" si="18"/>
        <v>48.9</v>
      </c>
    </row>
    <row r="215" spans="2:8">
      <c r="B215" s="121"/>
      <c r="C215" s="91">
        <v>1.3</v>
      </c>
      <c r="D215" s="123"/>
      <c r="E215" s="91">
        <v>11.01</v>
      </c>
      <c r="F215" s="91">
        <f t="shared" si="16"/>
        <v>14.313000000000001</v>
      </c>
      <c r="G215" s="107">
        <f t="shared" si="17"/>
        <v>24.62</v>
      </c>
      <c r="H215" s="91">
        <f t="shared" si="18"/>
        <v>26.623000000000001</v>
      </c>
    </row>
    <row r="216" spans="2:8">
      <c r="B216" s="121" t="s">
        <v>963</v>
      </c>
      <c r="C216" s="91">
        <v>1.2</v>
      </c>
      <c r="D216" s="123" t="s">
        <v>957</v>
      </c>
      <c r="E216" s="91">
        <v>23.65</v>
      </c>
      <c r="F216" s="91">
        <f t="shared" si="16"/>
        <v>28.38</v>
      </c>
      <c r="G216" s="107">
        <f t="shared" si="17"/>
        <v>49.699999999999996</v>
      </c>
      <c r="H216" s="91">
        <f t="shared" si="18"/>
        <v>53.23</v>
      </c>
    </row>
    <row r="217" spans="2:8">
      <c r="B217" s="121"/>
      <c r="C217" s="91">
        <v>0.8</v>
      </c>
      <c r="D217" s="123"/>
      <c r="E217" s="91">
        <v>14.57</v>
      </c>
      <c r="F217" s="91">
        <f t="shared" si="16"/>
        <v>11.656000000000001</v>
      </c>
      <c r="G217" s="107">
        <f t="shared" si="17"/>
        <v>30.740000000000002</v>
      </c>
      <c r="H217" s="91">
        <f t="shared" si="18"/>
        <v>27.026000000000003</v>
      </c>
    </row>
    <row r="218" spans="2:8">
      <c r="B218" s="121" t="s">
        <v>964</v>
      </c>
      <c r="C218" s="91">
        <v>0.8</v>
      </c>
      <c r="D218" s="123" t="s">
        <v>957</v>
      </c>
      <c r="E218" s="91">
        <v>22.22</v>
      </c>
      <c r="F218" s="91">
        <f t="shared" si="16"/>
        <v>17.776</v>
      </c>
      <c r="G218" s="107">
        <f t="shared" si="17"/>
        <v>46.04</v>
      </c>
      <c r="H218" s="91">
        <f t="shared" si="18"/>
        <v>40.795999999999999</v>
      </c>
    </row>
    <row r="219" spans="2:8">
      <c r="B219" s="96" t="s">
        <v>972</v>
      </c>
      <c r="C219" s="97"/>
      <c r="D219" s="97"/>
      <c r="E219" s="97"/>
      <c r="F219" s="97"/>
      <c r="G219" s="97"/>
      <c r="H219" s="105"/>
    </row>
    <row r="220" spans="2:8">
      <c r="B220" s="121" t="s">
        <v>1073</v>
      </c>
      <c r="C220" s="91">
        <v>1</v>
      </c>
      <c r="D220" s="123" t="s">
        <v>957</v>
      </c>
      <c r="E220" s="91">
        <v>32.049999999999997</v>
      </c>
      <c r="F220" s="91">
        <f>C220*E220</f>
        <v>32.049999999999997</v>
      </c>
      <c r="G220" s="107">
        <f>(C220+E220)*2</f>
        <v>66.099999999999994</v>
      </c>
      <c r="H220" s="91">
        <f>F220+G220*0.5</f>
        <v>65.099999999999994</v>
      </c>
    </row>
    <row r="221" spans="2:8">
      <c r="B221" s="121"/>
      <c r="C221" s="91">
        <v>1</v>
      </c>
      <c r="D221" s="123" t="s">
        <v>957</v>
      </c>
      <c r="E221" s="91">
        <v>32.049999999999997</v>
      </c>
      <c r="F221" s="91">
        <f>C221*E221</f>
        <v>32.049999999999997</v>
      </c>
      <c r="G221" s="107">
        <f>(C221+E221)*2</f>
        <v>66.099999999999994</v>
      </c>
      <c r="H221" s="91">
        <f>F221+G221*0.5</f>
        <v>65.099999999999994</v>
      </c>
    </row>
    <row r="222" spans="2:8">
      <c r="B222" s="121"/>
      <c r="C222" s="91">
        <v>1</v>
      </c>
      <c r="D222" s="123" t="s">
        <v>957</v>
      </c>
      <c r="E222" s="91">
        <v>32.049999999999997</v>
      </c>
      <c r="F222" s="91">
        <f>C222*E222</f>
        <v>32.049999999999997</v>
      </c>
      <c r="G222" s="107">
        <f>(C222+E222)*2</f>
        <v>66.099999999999994</v>
      </c>
      <c r="H222" s="91">
        <f>F222+G222*0.5</f>
        <v>65.099999999999994</v>
      </c>
    </row>
    <row r="223" spans="2:8">
      <c r="B223" s="121"/>
      <c r="C223" s="91">
        <v>1</v>
      </c>
      <c r="D223" s="123" t="s">
        <v>957</v>
      </c>
      <c r="E223" s="91">
        <v>32.049999999999997</v>
      </c>
      <c r="F223" s="91">
        <f>C223*E223</f>
        <v>32.049999999999997</v>
      </c>
      <c r="G223" s="107">
        <f>(C223+E223)*2</f>
        <v>66.099999999999994</v>
      </c>
      <c r="H223" s="91">
        <f>F223+G223*0.5</f>
        <v>65.099999999999994</v>
      </c>
    </row>
    <row r="224" spans="2:8">
      <c r="B224" s="121"/>
      <c r="C224" s="91">
        <v>1.4</v>
      </c>
      <c r="D224" s="123" t="s">
        <v>957</v>
      </c>
      <c r="E224" s="91">
        <v>39.299999999999997</v>
      </c>
      <c r="F224" s="91">
        <f>C224*E224</f>
        <v>55.019999999999996</v>
      </c>
      <c r="G224" s="107">
        <f>(C224+E224)*2</f>
        <v>81.399999999999991</v>
      </c>
      <c r="H224" s="91">
        <f>F224+G224*0.5</f>
        <v>95.72</v>
      </c>
    </row>
    <row r="225" spans="2:8" ht="4.5" customHeight="1">
      <c r="B225" s="125"/>
      <c r="C225" s="126"/>
      <c r="D225" s="127"/>
      <c r="E225" s="126"/>
      <c r="F225" s="126"/>
      <c r="G225" s="109"/>
      <c r="H225" s="126"/>
    </row>
    <row r="226" spans="2:8">
      <c r="B226" s="1096" t="s">
        <v>9</v>
      </c>
      <c r="C226" s="1097"/>
      <c r="D226" s="1097"/>
      <c r="E226" s="1097"/>
      <c r="F226" s="1097"/>
      <c r="G226" s="1098"/>
      <c r="H226" s="124">
        <f>SUM(H211:H224)</f>
        <v>622.1930000000001</v>
      </c>
    </row>
  </sheetData>
  <mergeCells count="3">
    <mergeCell ref="B208:H208"/>
    <mergeCell ref="B2:H2"/>
    <mergeCell ref="B226:G226"/>
  </mergeCells>
  <printOptions horizontalCentered="1"/>
  <pageMargins left="0.51181102362204722" right="0.51181102362204722" top="0.78740157480314965" bottom="0.78740157480314965" header="0.31496062992125984" footer="0.31496062992125984"/>
  <pageSetup paperSize="9" scale="80" orientation="portrait" r:id="rId1"/>
</worksheet>
</file>

<file path=xl/worksheets/sheet13.xml><?xml version="1.0" encoding="utf-8"?>
<worksheet xmlns="http://schemas.openxmlformats.org/spreadsheetml/2006/main" xmlns:r="http://schemas.openxmlformats.org/officeDocument/2006/relationships">
  <dimension ref="A2:AH240"/>
  <sheetViews>
    <sheetView workbookViewId="0"/>
  </sheetViews>
  <sheetFormatPr defaultColWidth="9" defaultRowHeight="14.4"/>
  <cols>
    <col min="1" max="1" width="30.19921875" style="133" customWidth="1"/>
    <col min="2" max="2" width="6.19921875" style="133" customWidth="1"/>
    <col min="3" max="3" width="7.5" style="133" customWidth="1"/>
    <col min="4" max="4" width="9.3984375" style="133" customWidth="1"/>
    <col min="5" max="7" width="7.3984375" style="133" customWidth="1"/>
    <col min="8" max="8" width="7.5" style="133" customWidth="1"/>
    <col min="9" max="9" width="9.19921875" style="133" customWidth="1"/>
    <col min="10" max="10" width="7.69921875" style="133" customWidth="1"/>
    <col min="11" max="11" width="7.8984375" style="133" customWidth="1"/>
    <col min="12" max="12" width="7" style="133" customWidth="1"/>
    <col min="13" max="13" width="6.69921875" style="133" customWidth="1"/>
    <col min="14" max="16" width="8.09765625" style="133" customWidth="1"/>
    <col min="17" max="17" width="7.3984375" style="133" customWidth="1"/>
    <col min="18" max="27" width="5.5" style="133" customWidth="1"/>
    <col min="28" max="28" width="7.09765625" style="133" bestFit="1" customWidth="1"/>
    <col min="29" max="30" width="10.5" style="244" customWidth="1"/>
    <col min="31" max="31" width="10" style="133" customWidth="1"/>
    <col min="32" max="32" width="8.5" style="133" customWidth="1"/>
    <col min="33" max="33" width="7.69921875" style="133" customWidth="1"/>
    <col min="34" max="34" width="13.5" style="133" customWidth="1"/>
    <col min="35" max="16384" width="9" style="133"/>
  </cols>
  <sheetData>
    <row r="2" spans="1:34" s="443" customFormat="1" ht="30.6">
      <c r="A2" s="440" t="s">
        <v>921</v>
      </c>
      <c r="B2" s="440"/>
      <c r="C2" s="441" t="s">
        <v>1074</v>
      </c>
      <c r="D2" s="441" t="s">
        <v>1075</v>
      </c>
      <c r="E2" s="440" t="s">
        <v>1454</v>
      </c>
      <c r="F2" s="441" t="s">
        <v>1482</v>
      </c>
      <c r="G2" s="441" t="s">
        <v>2155</v>
      </c>
      <c r="H2" s="441" t="s">
        <v>1480</v>
      </c>
      <c r="I2" s="441" t="s">
        <v>1481</v>
      </c>
      <c r="J2" s="441" t="s">
        <v>1077</v>
      </c>
      <c r="K2" s="441" t="s">
        <v>1456</v>
      </c>
      <c r="L2" s="441" t="s">
        <v>1078</v>
      </c>
      <c r="M2" s="441" t="s">
        <v>1079</v>
      </c>
      <c r="N2" s="441" t="s">
        <v>1483</v>
      </c>
      <c r="O2" s="441" t="s">
        <v>1484</v>
      </c>
      <c r="P2" s="441" t="s">
        <v>2156</v>
      </c>
      <c r="Q2" s="440" t="s">
        <v>1076</v>
      </c>
      <c r="R2" s="441" t="s">
        <v>2322</v>
      </c>
      <c r="S2" s="441" t="s">
        <v>2323</v>
      </c>
      <c r="T2" s="441" t="s">
        <v>2324</v>
      </c>
      <c r="U2" s="441" t="s">
        <v>2325</v>
      </c>
      <c r="V2" s="441" t="s">
        <v>2326</v>
      </c>
      <c r="W2" s="441" t="s">
        <v>2330</v>
      </c>
      <c r="X2" s="441" t="s">
        <v>2327</v>
      </c>
      <c r="Y2" s="441" t="s">
        <v>2328</v>
      </c>
      <c r="Z2" s="441" t="s">
        <v>2329</v>
      </c>
      <c r="AA2" s="441" t="s">
        <v>2331</v>
      </c>
      <c r="AB2" s="440" t="s">
        <v>2332</v>
      </c>
      <c r="AC2" s="442" t="s">
        <v>1800</v>
      </c>
      <c r="AD2" s="442" t="s">
        <v>1801</v>
      </c>
      <c r="AE2" s="441" t="s">
        <v>1455</v>
      </c>
      <c r="AF2" s="441" t="s">
        <v>1457</v>
      </c>
      <c r="AG2" s="441" t="s">
        <v>1805</v>
      </c>
    </row>
    <row r="3" spans="1:34" s="443" customFormat="1" ht="10.199999999999999">
      <c r="A3" s="522"/>
      <c r="B3" s="523"/>
      <c r="C3" s="524"/>
      <c r="D3" s="524"/>
      <c r="E3" s="523"/>
      <c r="F3" s="524"/>
      <c r="G3" s="524"/>
      <c r="H3" s="524"/>
      <c r="I3" s="524"/>
      <c r="J3" s="524"/>
      <c r="K3" s="524"/>
      <c r="L3" s="524"/>
      <c r="M3" s="524"/>
      <c r="N3" s="524"/>
      <c r="O3" s="524"/>
      <c r="P3" s="524"/>
      <c r="Q3" s="523"/>
      <c r="R3" s="524"/>
      <c r="S3" s="524"/>
      <c r="T3" s="524"/>
      <c r="U3" s="524"/>
      <c r="V3" s="524"/>
      <c r="W3" s="524"/>
      <c r="X3" s="524"/>
      <c r="Y3" s="524"/>
      <c r="Z3" s="524"/>
      <c r="AA3" s="524"/>
      <c r="AB3" s="523"/>
      <c r="AC3" s="525"/>
      <c r="AD3" s="525"/>
      <c r="AE3" s="524"/>
      <c r="AF3" s="524"/>
      <c r="AG3" s="526"/>
    </row>
    <row r="4" spans="1:34" s="131" customFormat="1" ht="14.25" customHeight="1">
      <c r="A4" s="1101" t="s">
        <v>1453</v>
      </c>
      <c r="B4" s="1102"/>
      <c r="C4" s="1102"/>
      <c r="D4" s="1102"/>
      <c r="E4" s="1102"/>
      <c r="F4" s="1102"/>
      <c r="G4" s="1102"/>
      <c r="H4" s="1102"/>
      <c r="I4" s="1102"/>
      <c r="J4" s="1102"/>
      <c r="K4" s="1102"/>
      <c r="L4" s="1102"/>
      <c r="M4" s="1102"/>
      <c r="N4" s="1102"/>
      <c r="O4" s="1102"/>
      <c r="P4" s="1102"/>
      <c r="Q4" s="1102"/>
      <c r="R4" s="1102"/>
      <c r="S4" s="1102"/>
      <c r="T4" s="1102"/>
      <c r="U4" s="1102"/>
      <c r="V4" s="1102"/>
      <c r="W4" s="1102"/>
      <c r="X4" s="1102"/>
      <c r="Y4" s="1102"/>
      <c r="Z4" s="1102"/>
      <c r="AA4" s="1102"/>
      <c r="AB4" s="1102"/>
      <c r="AC4" s="1102"/>
      <c r="AD4" s="1102"/>
      <c r="AE4" s="1102"/>
      <c r="AF4" s="1102"/>
      <c r="AG4" s="1103"/>
    </row>
    <row r="5" spans="1:34">
      <c r="A5" s="238" t="s">
        <v>1080</v>
      </c>
      <c r="B5" s="238"/>
      <c r="C5" s="200">
        <v>7</v>
      </c>
      <c r="D5" s="200">
        <v>7</v>
      </c>
      <c r="E5" s="200">
        <v>3</v>
      </c>
      <c r="F5" s="200"/>
      <c r="G5" s="200"/>
      <c r="H5" s="200">
        <v>5</v>
      </c>
      <c r="I5" s="200"/>
      <c r="J5" s="200"/>
      <c r="K5" s="200"/>
      <c r="L5" s="238"/>
      <c r="M5" s="238"/>
      <c r="N5" s="200"/>
      <c r="O5" s="200">
        <v>5</v>
      </c>
      <c r="P5" s="200"/>
      <c r="Q5" s="200">
        <v>7</v>
      </c>
      <c r="R5" s="200"/>
      <c r="S5" s="200"/>
      <c r="T5" s="200"/>
      <c r="U5" s="200"/>
      <c r="V5" s="200"/>
      <c r="W5" s="200"/>
      <c r="X5" s="200"/>
      <c r="Y5" s="200"/>
      <c r="Z5" s="200"/>
      <c r="AA5" s="200"/>
      <c r="AB5" s="200"/>
      <c r="AC5" s="245">
        <f>0.6*2.8+0.6*2.1+0.6*0.9</f>
        <v>3.48</v>
      </c>
      <c r="AD5" s="245"/>
      <c r="AE5" s="200">
        <f>0.6*1.6*3+1.42*2*4+0.22*2*8+1.42*2*6+0.22*2*12+(0.11*2+0.41*2+1.4*2)*2</f>
        <v>47.76</v>
      </c>
      <c r="AF5" s="200"/>
      <c r="AG5" s="200"/>
      <c r="AH5" s="133" t="str">
        <f>IF((F5+H5+I5+J5+K5+L5+M5)=(N5+O5),"OK!","Falta torneiras!")</f>
        <v>OK!</v>
      </c>
    </row>
    <row r="6" spans="1:34">
      <c r="A6" s="238" t="s">
        <v>1081</v>
      </c>
      <c r="B6" s="238"/>
      <c r="C6" s="200">
        <v>9</v>
      </c>
      <c r="D6" s="200">
        <v>9</v>
      </c>
      <c r="E6" s="200"/>
      <c r="F6" s="200"/>
      <c r="G6" s="200"/>
      <c r="H6" s="200">
        <v>5</v>
      </c>
      <c r="I6" s="200"/>
      <c r="J6" s="200"/>
      <c r="K6" s="200"/>
      <c r="L6" s="238"/>
      <c r="M6" s="238"/>
      <c r="N6" s="200"/>
      <c r="O6" s="200">
        <v>5</v>
      </c>
      <c r="P6" s="200"/>
      <c r="Q6" s="200">
        <v>7</v>
      </c>
      <c r="R6" s="200"/>
      <c r="S6" s="200"/>
      <c r="T6" s="200"/>
      <c r="U6" s="200"/>
      <c r="V6" s="200"/>
      <c r="W6" s="200"/>
      <c r="X6" s="200"/>
      <c r="Y6" s="200"/>
      <c r="Z6" s="200"/>
      <c r="AA6" s="200"/>
      <c r="AB6" s="200"/>
      <c r="AC6" s="245">
        <f>0.6*2.8+0.6*2.1+0.6*0.9</f>
        <v>3.48</v>
      </c>
      <c r="AD6" s="245"/>
      <c r="AE6" s="200">
        <f>(1.42*2*6+0.22*2*12)*2+(0.11*2+0.41*2+1.4*2)*2</f>
        <v>52.32</v>
      </c>
      <c r="AF6" s="238"/>
      <c r="AG6" s="238"/>
      <c r="AH6" s="133" t="str">
        <f t="shared" ref="AH6:AH71" si="0">IF((F6+H6+I6+J6+K6+L6+M6)=(N6+O6),"OK!","Falta torneiras!")</f>
        <v>OK!</v>
      </c>
    </row>
    <row r="7" spans="1:34">
      <c r="A7" s="238" t="s">
        <v>1082</v>
      </c>
      <c r="B7" s="238"/>
      <c r="C7" s="200">
        <v>2</v>
      </c>
      <c r="D7" s="200">
        <v>2</v>
      </c>
      <c r="E7" s="200"/>
      <c r="F7" s="200"/>
      <c r="G7" s="200"/>
      <c r="H7" s="200"/>
      <c r="I7" s="200">
        <v>2</v>
      </c>
      <c r="J7" s="200"/>
      <c r="K7" s="200"/>
      <c r="L7" s="238"/>
      <c r="M7" s="238"/>
      <c r="N7" s="200"/>
      <c r="O7" s="200">
        <v>2</v>
      </c>
      <c r="P7" s="200"/>
      <c r="Q7" s="200"/>
      <c r="R7" s="200"/>
      <c r="S7" s="200"/>
      <c r="T7" s="200"/>
      <c r="U7" s="200"/>
      <c r="V7" s="200"/>
      <c r="W7" s="200"/>
      <c r="X7" s="200"/>
      <c r="Y7" s="200"/>
      <c r="Z7" s="200"/>
      <c r="AA7" s="200"/>
      <c r="AB7" s="200"/>
      <c r="AC7" s="245">
        <f>0.35*1.18+0.35*1.25</f>
        <v>0.85050000000000003</v>
      </c>
      <c r="AD7" s="245"/>
      <c r="AE7" s="200"/>
      <c r="AF7" s="238"/>
      <c r="AG7" s="238"/>
      <c r="AH7" s="133" t="str">
        <f t="shared" si="0"/>
        <v>OK!</v>
      </c>
    </row>
    <row r="8" spans="1:34">
      <c r="A8" s="238" t="s">
        <v>1083</v>
      </c>
      <c r="B8" s="238"/>
      <c r="C8" s="200">
        <v>2</v>
      </c>
      <c r="D8" s="200">
        <v>2</v>
      </c>
      <c r="E8" s="200"/>
      <c r="F8" s="200"/>
      <c r="G8" s="200"/>
      <c r="H8" s="200"/>
      <c r="I8" s="200">
        <v>2</v>
      </c>
      <c r="J8" s="200"/>
      <c r="K8" s="200"/>
      <c r="L8" s="238"/>
      <c r="M8" s="238"/>
      <c r="N8" s="200"/>
      <c r="O8" s="200">
        <v>2</v>
      </c>
      <c r="P8" s="200"/>
      <c r="Q8" s="200"/>
      <c r="R8" s="200"/>
      <c r="S8" s="200"/>
      <c r="T8" s="200"/>
      <c r="U8" s="200"/>
      <c r="V8" s="200"/>
      <c r="W8" s="200"/>
      <c r="X8" s="200"/>
      <c r="Y8" s="200"/>
      <c r="Z8" s="200"/>
      <c r="AA8" s="200"/>
      <c r="AB8" s="200"/>
      <c r="AC8" s="245">
        <f>0.35*1.18+0.35*1.25</f>
        <v>0.85050000000000003</v>
      </c>
      <c r="AD8" s="245"/>
      <c r="AE8" s="200"/>
      <c r="AF8" s="238"/>
      <c r="AG8" s="238"/>
      <c r="AH8" s="133" t="str">
        <f t="shared" si="0"/>
        <v>OK!</v>
      </c>
    </row>
    <row r="9" spans="1:34">
      <c r="A9" s="238" t="s">
        <v>1084</v>
      </c>
      <c r="B9" s="238"/>
      <c r="C9" s="200">
        <v>1</v>
      </c>
      <c r="D9" s="200">
        <v>1</v>
      </c>
      <c r="E9" s="200"/>
      <c r="F9" s="200"/>
      <c r="G9" s="200"/>
      <c r="H9" s="200">
        <v>1</v>
      </c>
      <c r="I9" s="200"/>
      <c r="J9" s="200"/>
      <c r="K9" s="200"/>
      <c r="L9" s="238"/>
      <c r="M9" s="238"/>
      <c r="N9" s="200"/>
      <c r="O9" s="200">
        <v>1</v>
      </c>
      <c r="P9" s="200"/>
      <c r="Q9" s="200">
        <v>1</v>
      </c>
      <c r="R9" s="200"/>
      <c r="S9" s="200"/>
      <c r="T9" s="200"/>
      <c r="U9" s="200"/>
      <c r="V9" s="200"/>
      <c r="W9" s="200"/>
      <c r="X9" s="200"/>
      <c r="Y9" s="200"/>
      <c r="Z9" s="200"/>
      <c r="AA9" s="200"/>
      <c r="AB9" s="200"/>
      <c r="AC9" s="245">
        <f>0.6*0.9</f>
        <v>0.54</v>
      </c>
      <c r="AD9" s="245"/>
      <c r="AE9" s="200"/>
      <c r="AF9" s="238"/>
      <c r="AG9" s="238"/>
      <c r="AH9" s="133" t="str">
        <f t="shared" si="0"/>
        <v>OK!</v>
      </c>
    </row>
    <row r="10" spans="1:34">
      <c r="A10" s="238" t="s">
        <v>1085</v>
      </c>
      <c r="B10" s="238"/>
      <c r="C10" s="200"/>
      <c r="D10" s="200"/>
      <c r="E10" s="200"/>
      <c r="F10" s="200"/>
      <c r="G10" s="200"/>
      <c r="H10" s="200">
        <v>3</v>
      </c>
      <c r="I10" s="200"/>
      <c r="J10" s="200"/>
      <c r="K10" s="200"/>
      <c r="L10" s="238"/>
      <c r="M10" s="238"/>
      <c r="N10" s="200"/>
      <c r="O10" s="200">
        <v>3</v>
      </c>
      <c r="P10" s="200"/>
      <c r="Q10" s="200"/>
      <c r="R10" s="200"/>
      <c r="S10" s="200"/>
      <c r="T10" s="200"/>
      <c r="U10" s="200"/>
      <c r="V10" s="200"/>
      <c r="W10" s="200"/>
      <c r="X10" s="200"/>
      <c r="Y10" s="200"/>
      <c r="Z10" s="200"/>
      <c r="AA10" s="200"/>
      <c r="AB10" s="200"/>
      <c r="AC10" s="245">
        <f>0.6*3</f>
        <v>1.7999999999999998</v>
      </c>
      <c r="AD10" s="245"/>
      <c r="AE10" s="200"/>
      <c r="AF10" s="238"/>
      <c r="AG10" s="238"/>
      <c r="AH10" s="133" t="str">
        <f t="shared" si="0"/>
        <v>OK!</v>
      </c>
    </row>
    <row r="11" spans="1:34">
      <c r="A11" s="238" t="s">
        <v>1086</v>
      </c>
      <c r="B11" s="238"/>
      <c r="C11" s="200"/>
      <c r="D11" s="200"/>
      <c r="E11" s="200"/>
      <c r="F11" s="200">
        <v>2</v>
      </c>
      <c r="G11" s="200"/>
      <c r="H11" s="200"/>
      <c r="I11" s="200"/>
      <c r="J11" s="200"/>
      <c r="K11" s="200"/>
      <c r="L11" s="238"/>
      <c r="M11" s="238"/>
      <c r="N11" s="200">
        <v>2</v>
      </c>
      <c r="O11" s="200"/>
      <c r="P11" s="200"/>
      <c r="Q11" s="200"/>
      <c r="R11" s="200"/>
      <c r="S11" s="200"/>
      <c r="T11" s="200"/>
      <c r="U11" s="200"/>
      <c r="V11" s="200"/>
      <c r="W11" s="200"/>
      <c r="X11" s="200"/>
      <c r="Y11" s="200"/>
      <c r="Z11" s="200"/>
      <c r="AA11" s="200"/>
      <c r="AB11" s="200"/>
      <c r="AC11" s="245"/>
      <c r="AD11" s="245">
        <f>0.6*5.24</f>
        <v>3.1440000000000001</v>
      </c>
      <c r="AE11" s="200"/>
      <c r="AF11" s="238"/>
      <c r="AG11" s="238"/>
      <c r="AH11" s="133" t="str">
        <f t="shared" si="0"/>
        <v>OK!</v>
      </c>
    </row>
    <row r="12" spans="1:34">
      <c r="A12" s="238" t="s">
        <v>1087</v>
      </c>
      <c r="B12" s="238"/>
      <c r="C12" s="200"/>
      <c r="D12" s="200"/>
      <c r="E12" s="200"/>
      <c r="F12" s="200">
        <v>1</v>
      </c>
      <c r="G12" s="200"/>
      <c r="H12" s="200"/>
      <c r="I12" s="200"/>
      <c r="J12" s="200"/>
      <c r="K12" s="200"/>
      <c r="L12" s="238"/>
      <c r="M12" s="238"/>
      <c r="N12" s="200">
        <v>1</v>
      </c>
      <c r="O12" s="200"/>
      <c r="P12" s="200"/>
      <c r="Q12" s="200"/>
      <c r="R12" s="200"/>
      <c r="S12" s="200"/>
      <c r="T12" s="200"/>
      <c r="U12" s="200"/>
      <c r="V12" s="200"/>
      <c r="W12" s="200"/>
      <c r="X12" s="200"/>
      <c r="Y12" s="200"/>
      <c r="Z12" s="200"/>
      <c r="AA12" s="200"/>
      <c r="AB12" s="200"/>
      <c r="AC12" s="245"/>
      <c r="AD12" s="245">
        <f>0.6*3.06*2</f>
        <v>3.6719999999999997</v>
      </c>
      <c r="AE12" s="200"/>
      <c r="AF12" s="238"/>
      <c r="AG12" s="238"/>
      <c r="AH12" s="133" t="str">
        <f t="shared" si="0"/>
        <v>OK!</v>
      </c>
    </row>
    <row r="13" spans="1:34">
      <c r="A13" s="238" t="s">
        <v>1088</v>
      </c>
      <c r="B13" s="238"/>
      <c r="C13" s="200"/>
      <c r="D13" s="200"/>
      <c r="E13" s="200"/>
      <c r="F13" s="200">
        <v>1</v>
      </c>
      <c r="G13" s="200"/>
      <c r="H13" s="200"/>
      <c r="I13" s="200"/>
      <c r="J13" s="200"/>
      <c r="K13" s="200"/>
      <c r="L13" s="238"/>
      <c r="M13" s="238"/>
      <c r="N13" s="200">
        <v>1</v>
      </c>
      <c r="O13" s="200"/>
      <c r="P13" s="200"/>
      <c r="Q13" s="200"/>
      <c r="R13" s="200"/>
      <c r="S13" s="200"/>
      <c r="T13" s="200"/>
      <c r="U13" s="200"/>
      <c r="V13" s="200"/>
      <c r="W13" s="200"/>
      <c r="X13" s="200"/>
      <c r="Y13" s="200"/>
      <c r="Z13" s="200"/>
      <c r="AA13" s="200"/>
      <c r="AB13" s="200"/>
      <c r="AC13" s="245"/>
      <c r="AD13" s="245">
        <f>0.6*1.7+0.6*5.25+0.6*3.6</f>
        <v>6.33</v>
      </c>
      <c r="AE13" s="200"/>
      <c r="AF13" s="238"/>
      <c r="AG13" s="238"/>
      <c r="AH13" s="133" t="str">
        <f t="shared" si="0"/>
        <v>OK!</v>
      </c>
    </row>
    <row r="14" spans="1:34">
      <c r="A14" s="238" t="s">
        <v>1802</v>
      </c>
      <c r="B14" s="238"/>
      <c r="C14" s="200"/>
      <c r="D14" s="200"/>
      <c r="E14" s="200"/>
      <c r="F14" s="200"/>
      <c r="G14" s="200"/>
      <c r="H14" s="200"/>
      <c r="I14" s="200"/>
      <c r="J14" s="200"/>
      <c r="K14" s="200"/>
      <c r="L14" s="238"/>
      <c r="M14" s="238"/>
      <c r="N14" s="200"/>
      <c r="O14" s="200"/>
      <c r="P14" s="200"/>
      <c r="Q14" s="200"/>
      <c r="R14" s="200"/>
      <c r="S14" s="200"/>
      <c r="T14" s="200"/>
      <c r="U14" s="200"/>
      <c r="V14" s="200"/>
      <c r="W14" s="200"/>
      <c r="X14" s="200"/>
      <c r="Y14" s="200"/>
      <c r="Z14" s="200"/>
      <c r="AA14" s="200"/>
      <c r="AB14" s="200"/>
      <c r="AC14" s="245"/>
      <c r="AD14" s="245">
        <f>+(5.15+ 6.25)*0.75+1.2*3*2</f>
        <v>15.75</v>
      </c>
      <c r="AE14" s="200"/>
      <c r="AF14" s="238"/>
      <c r="AG14" s="238"/>
    </row>
    <row r="15" spans="1:34">
      <c r="A15" s="238" t="s">
        <v>324</v>
      </c>
      <c r="B15" s="238"/>
      <c r="C15" s="200"/>
      <c r="D15" s="200"/>
      <c r="E15" s="200"/>
      <c r="F15" s="200"/>
      <c r="G15" s="200"/>
      <c r="H15" s="200"/>
      <c r="I15" s="200"/>
      <c r="J15" s="200"/>
      <c r="K15" s="200"/>
      <c r="L15" s="238"/>
      <c r="M15" s="238"/>
      <c r="N15" s="200"/>
      <c r="O15" s="200"/>
      <c r="P15" s="200"/>
      <c r="Q15" s="200"/>
      <c r="R15" s="200"/>
      <c r="S15" s="200"/>
      <c r="T15" s="200"/>
      <c r="U15" s="200"/>
      <c r="V15" s="200"/>
      <c r="W15" s="200"/>
      <c r="X15" s="200"/>
      <c r="Y15" s="200"/>
      <c r="Z15" s="200"/>
      <c r="AA15" s="200"/>
      <c r="AB15" s="200"/>
      <c r="AC15" s="245"/>
      <c r="AD15" s="245">
        <f>0.6*5.55+0.6*5.65</f>
        <v>6.72</v>
      </c>
      <c r="AE15" s="200"/>
      <c r="AF15" s="238"/>
      <c r="AG15" s="238"/>
      <c r="AH15" s="133" t="str">
        <f t="shared" si="0"/>
        <v>OK!</v>
      </c>
    </row>
    <row r="16" spans="1:34">
      <c r="A16" s="238" t="s">
        <v>322</v>
      </c>
      <c r="B16" s="238"/>
      <c r="C16" s="200"/>
      <c r="D16" s="200"/>
      <c r="E16" s="200"/>
      <c r="F16" s="200"/>
      <c r="G16" s="200"/>
      <c r="H16" s="200"/>
      <c r="I16" s="200"/>
      <c r="J16" s="200"/>
      <c r="K16" s="200"/>
      <c r="L16" s="238"/>
      <c r="M16" s="238"/>
      <c r="N16" s="200"/>
      <c r="O16" s="200"/>
      <c r="P16" s="200"/>
      <c r="Q16" s="200"/>
      <c r="R16" s="200"/>
      <c r="S16" s="200"/>
      <c r="T16" s="200"/>
      <c r="U16" s="200"/>
      <c r="V16" s="200"/>
      <c r="W16" s="200"/>
      <c r="X16" s="200"/>
      <c r="Y16" s="200"/>
      <c r="Z16" s="200"/>
      <c r="AA16" s="200"/>
      <c r="AB16" s="200"/>
      <c r="AC16" s="245"/>
      <c r="AD16" s="245">
        <f>0.6*2.35+0.6*3.02+0.6*5.7</f>
        <v>6.6419999999999995</v>
      </c>
      <c r="AE16" s="200"/>
      <c r="AF16" s="238"/>
      <c r="AG16" s="238"/>
      <c r="AH16" s="133" t="str">
        <f t="shared" si="0"/>
        <v>OK!</v>
      </c>
    </row>
    <row r="17" spans="1:34">
      <c r="A17" s="238" t="s">
        <v>332</v>
      </c>
      <c r="B17" s="238"/>
      <c r="C17" s="200"/>
      <c r="D17" s="200"/>
      <c r="E17" s="200"/>
      <c r="F17" s="200">
        <v>2</v>
      </c>
      <c r="G17" s="200"/>
      <c r="H17" s="200"/>
      <c r="I17" s="200"/>
      <c r="J17" s="200"/>
      <c r="K17" s="200"/>
      <c r="L17" s="238"/>
      <c r="M17" s="238"/>
      <c r="N17" s="200">
        <v>2</v>
      </c>
      <c r="O17" s="200"/>
      <c r="P17" s="200"/>
      <c r="Q17" s="200"/>
      <c r="R17" s="200"/>
      <c r="S17" s="200"/>
      <c r="T17" s="200"/>
      <c r="U17" s="200"/>
      <c r="V17" s="200"/>
      <c r="W17" s="200"/>
      <c r="X17" s="200"/>
      <c r="Y17" s="200"/>
      <c r="Z17" s="200"/>
      <c r="AA17" s="200"/>
      <c r="AB17" s="200"/>
      <c r="AC17" s="245"/>
      <c r="AD17" s="245">
        <f>0.6*2.35+0.6*5.8</f>
        <v>4.8899999999999997</v>
      </c>
      <c r="AE17" s="200"/>
      <c r="AF17" s="238"/>
      <c r="AG17" s="238"/>
      <c r="AH17" s="133" t="str">
        <f t="shared" si="0"/>
        <v>OK!</v>
      </c>
    </row>
    <row r="18" spans="1:34">
      <c r="A18" s="238" t="s">
        <v>1089</v>
      </c>
      <c r="B18" s="238"/>
      <c r="C18" s="200"/>
      <c r="D18" s="200"/>
      <c r="E18" s="200"/>
      <c r="F18" s="200"/>
      <c r="G18" s="200"/>
      <c r="H18" s="200"/>
      <c r="I18" s="200"/>
      <c r="J18" s="200"/>
      <c r="K18" s="200"/>
      <c r="L18" s="238"/>
      <c r="M18" s="238"/>
      <c r="N18" s="200"/>
      <c r="O18" s="200"/>
      <c r="P18" s="200"/>
      <c r="Q18" s="200"/>
      <c r="R18" s="200"/>
      <c r="S18" s="200"/>
      <c r="T18" s="200"/>
      <c r="U18" s="200"/>
      <c r="V18" s="200"/>
      <c r="W18" s="200"/>
      <c r="X18" s="200"/>
      <c r="Y18" s="200"/>
      <c r="Z18" s="200"/>
      <c r="AA18" s="200"/>
      <c r="AB18" s="200"/>
      <c r="AC18" s="245"/>
      <c r="AD18" s="245">
        <f>0.6*1.85+0.6*3</f>
        <v>2.91</v>
      </c>
      <c r="AE18" s="200"/>
      <c r="AF18" s="238"/>
      <c r="AG18" s="238"/>
      <c r="AH18" s="133" t="str">
        <f t="shared" si="0"/>
        <v>OK!</v>
      </c>
    </row>
    <row r="19" spans="1:34">
      <c r="A19" s="238" t="s">
        <v>329</v>
      </c>
      <c r="B19" s="238"/>
      <c r="C19" s="200"/>
      <c r="D19" s="200"/>
      <c r="E19" s="200"/>
      <c r="F19" s="200"/>
      <c r="G19" s="200"/>
      <c r="H19" s="200"/>
      <c r="I19" s="200"/>
      <c r="J19" s="200"/>
      <c r="K19" s="200"/>
      <c r="L19" s="238"/>
      <c r="M19" s="238"/>
      <c r="N19" s="200"/>
      <c r="O19" s="200"/>
      <c r="P19" s="200"/>
      <c r="Q19" s="200"/>
      <c r="R19" s="200"/>
      <c r="S19" s="200"/>
      <c r="T19" s="200"/>
      <c r="U19" s="200"/>
      <c r="V19" s="200"/>
      <c r="W19" s="200"/>
      <c r="X19" s="200"/>
      <c r="Y19" s="200"/>
      <c r="Z19" s="200"/>
      <c r="AA19" s="200"/>
      <c r="AB19" s="200"/>
      <c r="AC19" s="245"/>
      <c r="AD19" s="245">
        <f>0.6*1.85+0.6*6.5</f>
        <v>5.01</v>
      </c>
      <c r="AE19" s="200"/>
      <c r="AF19" s="238"/>
      <c r="AG19" s="238"/>
      <c r="AH19" s="133" t="str">
        <f t="shared" si="0"/>
        <v>OK!</v>
      </c>
    </row>
    <row r="20" spans="1:34">
      <c r="A20" s="238" t="s">
        <v>1090</v>
      </c>
      <c r="B20" s="238"/>
      <c r="C20" s="200"/>
      <c r="D20" s="200"/>
      <c r="E20" s="200"/>
      <c r="F20" s="200"/>
      <c r="G20" s="200"/>
      <c r="H20" s="200"/>
      <c r="I20" s="200"/>
      <c r="J20" s="200"/>
      <c r="K20" s="200"/>
      <c r="L20" s="238"/>
      <c r="M20" s="238"/>
      <c r="N20" s="200"/>
      <c r="O20" s="200"/>
      <c r="P20" s="200"/>
      <c r="Q20" s="200"/>
      <c r="R20" s="200"/>
      <c r="S20" s="200"/>
      <c r="T20" s="200"/>
      <c r="U20" s="200"/>
      <c r="V20" s="200"/>
      <c r="W20" s="200"/>
      <c r="X20" s="200"/>
      <c r="Y20" s="200"/>
      <c r="Z20" s="200"/>
      <c r="AA20" s="200"/>
      <c r="AB20" s="200"/>
      <c r="AC20" s="245"/>
      <c r="AD20" s="245">
        <f>0.6*5.17+0.6*6.45+0.6*7.34+0.6*1.85</f>
        <v>12.485999999999999</v>
      </c>
      <c r="AE20" s="200"/>
      <c r="AF20" s="238"/>
      <c r="AG20" s="238"/>
      <c r="AH20" s="133" t="str">
        <f t="shared" si="0"/>
        <v>OK!</v>
      </c>
    </row>
    <row r="21" spans="1:34">
      <c r="A21" s="238" t="s">
        <v>317</v>
      </c>
      <c r="B21" s="238"/>
      <c r="C21" s="200"/>
      <c r="D21" s="200"/>
      <c r="E21" s="200"/>
      <c r="F21" s="200">
        <v>1</v>
      </c>
      <c r="G21" s="200"/>
      <c r="H21" s="200"/>
      <c r="I21" s="200"/>
      <c r="J21" s="200"/>
      <c r="K21" s="200"/>
      <c r="L21" s="238"/>
      <c r="M21" s="238"/>
      <c r="N21" s="200">
        <v>1</v>
      </c>
      <c r="O21" s="200"/>
      <c r="P21" s="200"/>
      <c r="Q21" s="200"/>
      <c r="R21" s="200"/>
      <c r="S21" s="200"/>
      <c r="T21" s="200"/>
      <c r="U21" s="200"/>
      <c r="V21" s="200"/>
      <c r="W21" s="200"/>
      <c r="X21" s="200"/>
      <c r="Y21" s="200"/>
      <c r="Z21" s="200"/>
      <c r="AA21" s="200"/>
      <c r="AB21" s="200"/>
      <c r="AC21" s="245"/>
      <c r="AD21" s="245">
        <f>4.52*0.6+0.6*1.71</f>
        <v>3.7379999999999995</v>
      </c>
      <c r="AE21" s="200"/>
      <c r="AF21" s="238"/>
      <c r="AG21" s="238"/>
      <c r="AH21" s="133" t="str">
        <f t="shared" si="0"/>
        <v>OK!</v>
      </c>
    </row>
    <row r="22" spans="1:34">
      <c r="A22" s="238" t="s">
        <v>1091</v>
      </c>
      <c r="B22" s="238"/>
      <c r="C22" s="200"/>
      <c r="D22" s="200"/>
      <c r="E22" s="200"/>
      <c r="F22" s="200"/>
      <c r="G22" s="200"/>
      <c r="H22" s="200"/>
      <c r="I22" s="200"/>
      <c r="J22" s="200"/>
      <c r="K22" s="200"/>
      <c r="L22" s="238"/>
      <c r="M22" s="238"/>
      <c r="N22" s="200"/>
      <c r="O22" s="200"/>
      <c r="P22" s="200"/>
      <c r="Q22" s="200"/>
      <c r="R22" s="200"/>
      <c r="S22" s="200"/>
      <c r="T22" s="200"/>
      <c r="U22" s="200"/>
      <c r="V22" s="200"/>
      <c r="W22" s="200"/>
      <c r="X22" s="200"/>
      <c r="Y22" s="200"/>
      <c r="Z22" s="200"/>
      <c r="AA22" s="200"/>
      <c r="AB22" s="200"/>
      <c r="AC22" s="245"/>
      <c r="AD22" s="245">
        <f>0.6*11</f>
        <v>6.6</v>
      </c>
      <c r="AE22" s="200"/>
      <c r="AF22" s="238"/>
      <c r="AG22" s="238"/>
      <c r="AH22" s="133" t="str">
        <f t="shared" si="0"/>
        <v>OK!</v>
      </c>
    </row>
    <row r="23" spans="1:34">
      <c r="A23" s="238" t="s">
        <v>1092</v>
      </c>
      <c r="B23" s="238"/>
      <c r="C23" s="200"/>
      <c r="D23" s="200"/>
      <c r="E23" s="200"/>
      <c r="F23" s="200">
        <v>1</v>
      </c>
      <c r="G23" s="200"/>
      <c r="H23" s="200"/>
      <c r="I23" s="200"/>
      <c r="J23" s="200"/>
      <c r="K23" s="200"/>
      <c r="L23" s="238"/>
      <c r="M23" s="238"/>
      <c r="N23" s="200">
        <v>1</v>
      </c>
      <c r="O23" s="200"/>
      <c r="P23" s="200"/>
      <c r="Q23" s="200"/>
      <c r="R23" s="200"/>
      <c r="S23" s="200"/>
      <c r="T23" s="200"/>
      <c r="U23" s="200"/>
      <c r="V23" s="200"/>
      <c r="W23" s="200"/>
      <c r="X23" s="200"/>
      <c r="Y23" s="200"/>
      <c r="Z23" s="200"/>
      <c r="AA23" s="200"/>
      <c r="AB23" s="200"/>
      <c r="AC23" s="245"/>
      <c r="AD23" s="245">
        <f>2.85*0.6</f>
        <v>1.71</v>
      </c>
      <c r="AE23" s="200"/>
      <c r="AF23" s="238"/>
      <c r="AG23" s="238"/>
      <c r="AH23" s="133" t="str">
        <f t="shared" si="0"/>
        <v>OK!</v>
      </c>
    </row>
    <row r="24" spans="1:34" s="131" customFormat="1">
      <c r="A24" s="1101" t="s">
        <v>1093</v>
      </c>
      <c r="B24" s="1102"/>
      <c r="C24" s="1102"/>
      <c r="D24" s="1102"/>
      <c r="E24" s="1102"/>
      <c r="F24" s="1102"/>
      <c r="G24" s="1102"/>
      <c r="H24" s="1102"/>
      <c r="I24" s="1102"/>
      <c r="J24" s="1102"/>
      <c r="K24" s="1102"/>
      <c r="L24" s="1102"/>
      <c r="M24" s="1102"/>
      <c r="N24" s="1102"/>
      <c r="O24" s="1102"/>
      <c r="P24" s="1102"/>
      <c r="Q24" s="1102"/>
      <c r="R24" s="1102"/>
      <c r="S24" s="1102"/>
      <c r="T24" s="1102"/>
      <c r="U24" s="1102"/>
      <c r="V24" s="1102"/>
      <c r="W24" s="1102"/>
      <c r="X24" s="1102"/>
      <c r="Y24" s="1102"/>
      <c r="Z24" s="1102"/>
      <c r="AA24" s="1102"/>
      <c r="AB24" s="1102"/>
      <c r="AC24" s="1102"/>
      <c r="AD24" s="1102"/>
      <c r="AE24" s="1102"/>
      <c r="AF24" s="1102"/>
      <c r="AG24" s="1103"/>
      <c r="AH24" s="133" t="str">
        <f t="shared" si="0"/>
        <v>OK!</v>
      </c>
    </row>
    <row r="25" spans="1:34">
      <c r="A25" s="238" t="s">
        <v>1094</v>
      </c>
      <c r="B25" s="238"/>
      <c r="C25" s="200"/>
      <c r="D25" s="200"/>
      <c r="E25" s="200"/>
      <c r="F25" s="200"/>
      <c r="G25" s="200"/>
      <c r="H25" s="200"/>
      <c r="I25" s="200"/>
      <c r="J25" s="200">
        <v>2</v>
      </c>
      <c r="K25" s="200"/>
      <c r="L25" s="200"/>
      <c r="M25" s="200"/>
      <c r="N25" s="200"/>
      <c r="O25" s="200">
        <v>2</v>
      </c>
      <c r="P25" s="200"/>
      <c r="Q25" s="200">
        <v>2</v>
      </c>
      <c r="R25" s="200"/>
      <c r="S25" s="200"/>
      <c r="T25" s="200"/>
      <c r="U25" s="200"/>
      <c r="V25" s="200"/>
      <c r="W25" s="200"/>
      <c r="X25" s="200"/>
      <c r="Y25" s="200"/>
      <c r="Z25" s="200"/>
      <c r="AA25" s="200"/>
      <c r="AB25" s="200"/>
      <c r="AC25" s="245"/>
      <c r="AD25" s="245"/>
      <c r="AE25" s="200"/>
      <c r="AF25" s="200"/>
      <c r="AG25" s="200">
        <v>193.84</v>
      </c>
      <c r="AH25" s="133" t="str">
        <f t="shared" si="0"/>
        <v>OK!</v>
      </c>
    </row>
    <row r="26" spans="1:34">
      <c r="A26" s="238" t="s">
        <v>1084</v>
      </c>
      <c r="B26" s="238"/>
      <c r="C26" s="200"/>
      <c r="D26" s="200"/>
      <c r="E26" s="200"/>
      <c r="F26" s="200"/>
      <c r="G26" s="200"/>
      <c r="H26" s="200"/>
      <c r="I26" s="200"/>
      <c r="J26" s="200">
        <v>1</v>
      </c>
      <c r="K26" s="200"/>
      <c r="L26" s="200"/>
      <c r="M26" s="200"/>
      <c r="N26" s="200"/>
      <c r="O26" s="200">
        <v>1</v>
      </c>
      <c r="P26" s="200"/>
      <c r="Q26" s="200">
        <v>1</v>
      </c>
      <c r="R26" s="200"/>
      <c r="S26" s="200"/>
      <c r="T26" s="200"/>
      <c r="U26" s="200"/>
      <c r="V26" s="200"/>
      <c r="W26" s="200"/>
      <c r="X26" s="200"/>
      <c r="Y26" s="200"/>
      <c r="Z26" s="200"/>
      <c r="AA26" s="200"/>
      <c r="AB26" s="200"/>
      <c r="AC26" s="245"/>
      <c r="AD26" s="245"/>
      <c r="AE26" s="200"/>
      <c r="AF26" s="200"/>
      <c r="AG26" s="200"/>
      <c r="AH26" s="133" t="str">
        <f t="shared" si="0"/>
        <v>OK!</v>
      </c>
    </row>
    <row r="27" spans="1:34">
      <c r="A27" s="238" t="s">
        <v>1095</v>
      </c>
      <c r="B27" s="238"/>
      <c r="C27" s="200"/>
      <c r="D27" s="200"/>
      <c r="E27" s="200"/>
      <c r="F27" s="200"/>
      <c r="G27" s="200"/>
      <c r="H27" s="200"/>
      <c r="I27" s="200"/>
      <c r="J27" s="200">
        <v>1</v>
      </c>
      <c r="K27" s="200"/>
      <c r="L27" s="200"/>
      <c r="M27" s="200"/>
      <c r="N27" s="200"/>
      <c r="O27" s="200">
        <v>1</v>
      </c>
      <c r="P27" s="200"/>
      <c r="Q27" s="200">
        <v>1</v>
      </c>
      <c r="R27" s="200"/>
      <c r="S27" s="200"/>
      <c r="T27" s="200"/>
      <c r="U27" s="200"/>
      <c r="V27" s="200"/>
      <c r="W27" s="200"/>
      <c r="X27" s="200"/>
      <c r="Y27" s="200"/>
      <c r="Z27" s="200"/>
      <c r="AA27" s="200"/>
      <c r="AB27" s="200"/>
      <c r="AC27" s="245"/>
      <c r="AD27" s="245"/>
      <c r="AE27" s="200"/>
      <c r="AF27" s="200"/>
      <c r="AG27" s="200"/>
      <c r="AH27" s="133" t="str">
        <f t="shared" si="0"/>
        <v>OK!</v>
      </c>
    </row>
    <row r="28" spans="1:34">
      <c r="A28" s="238" t="s">
        <v>1096</v>
      </c>
      <c r="B28" s="238"/>
      <c r="C28" s="200"/>
      <c r="D28" s="200"/>
      <c r="E28" s="200"/>
      <c r="F28" s="200"/>
      <c r="G28" s="200"/>
      <c r="H28" s="200"/>
      <c r="I28" s="200"/>
      <c r="J28" s="200">
        <v>1</v>
      </c>
      <c r="K28" s="200"/>
      <c r="L28" s="200"/>
      <c r="M28" s="200"/>
      <c r="N28" s="200"/>
      <c r="O28" s="200">
        <v>1</v>
      </c>
      <c r="P28" s="200"/>
      <c r="Q28" s="200">
        <v>1</v>
      </c>
      <c r="R28" s="200"/>
      <c r="S28" s="200"/>
      <c r="T28" s="200"/>
      <c r="U28" s="200"/>
      <c r="V28" s="200"/>
      <c r="W28" s="200"/>
      <c r="X28" s="200"/>
      <c r="Y28" s="200"/>
      <c r="Z28" s="200"/>
      <c r="AA28" s="200"/>
      <c r="AB28" s="200"/>
      <c r="AC28" s="245"/>
      <c r="AD28" s="245"/>
      <c r="AE28" s="200"/>
      <c r="AF28" s="200"/>
      <c r="AG28" s="200"/>
      <c r="AH28" s="133" t="str">
        <f t="shared" si="0"/>
        <v>OK!</v>
      </c>
    </row>
    <row r="29" spans="1:34">
      <c r="A29" s="238" t="s">
        <v>1097</v>
      </c>
      <c r="B29" s="238"/>
      <c r="C29" s="200"/>
      <c r="D29" s="200"/>
      <c r="E29" s="200"/>
      <c r="F29" s="200"/>
      <c r="G29" s="200"/>
      <c r="H29" s="200"/>
      <c r="I29" s="200"/>
      <c r="J29" s="200">
        <v>1</v>
      </c>
      <c r="K29" s="200"/>
      <c r="L29" s="200"/>
      <c r="M29" s="200"/>
      <c r="N29" s="200"/>
      <c r="O29" s="200">
        <v>1</v>
      </c>
      <c r="P29" s="200"/>
      <c r="Q29" s="200">
        <v>1</v>
      </c>
      <c r="R29" s="200"/>
      <c r="S29" s="200"/>
      <c r="T29" s="200"/>
      <c r="U29" s="200"/>
      <c r="V29" s="200"/>
      <c r="W29" s="200"/>
      <c r="X29" s="200"/>
      <c r="Y29" s="200"/>
      <c r="Z29" s="200"/>
      <c r="AA29" s="200"/>
      <c r="AB29" s="200"/>
      <c r="AC29" s="245"/>
      <c r="AD29" s="245"/>
      <c r="AE29" s="200"/>
      <c r="AF29" s="200"/>
      <c r="AG29" s="200"/>
      <c r="AH29" s="133" t="str">
        <f t="shared" si="0"/>
        <v>OK!</v>
      </c>
    </row>
    <row r="30" spans="1:34">
      <c r="A30" s="238" t="s">
        <v>1098</v>
      </c>
      <c r="B30" s="238"/>
      <c r="C30" s="200"/>
      <c r="D30" s="200"/>
      <c r="E30" s="200"/>
      <c r="F30" s="200"/>
      <c r="G30" s="200"/>
      <c r="H30" s="200"/>
      <c r="I30" s="200"/>
      <c r="J30" s="200">
        <v>1</v>
      </c>
      <c r="K30" s="200"/>
      <c r="L30" s="200"/>
      <c r="M30" s="200"/>
      <c r="N30" s="200"/>
      <c r="O30" s="200">
        <v>1</v>
      </c>
      <c r="P30" s="200"/>
      <c r="Q30" s="200">
        <v>1</v>
      </c>
      <c r="R30" s="200"/>
      <c r="S30" s="200"/>
      <c r="T30" s="200"/>
      <c r="U30" s="200"/>
      <c r="V30" s="200"/>
      <c r="W30" s="200"/>
      <c r="X30" s="200"/>
      <c r="Y30" s="200"/>
      <c r="Z30" s="200"/>
      <c r="AA30" s="200"/>
      <c r="AB30" s="200"/>
      <c r="AC30" s="245"/>
      <c r="AD30" s="245"/>
      <c r="AE30" s="200"/>
      <c r="AF30" s="200"/>
      <c r="AG30" s="200"/>
      <c r="AH30" s="133" t="str">
        <f t="shared" si="0"/>
        <v>OK!</v>
      </c>
    </row>
    <row r="31" spans="1:34">
      <c r="A31" s="238" t="s">
        <v>371</v>
      </c>
      <c r="B31" s="238"/>
      <c r="C31" s="200"/>
      <c r="D31" s="200"/>
      <c r="E31" s="200"/>
      <c r="F31" s="200"/>
      <c r="G31" s="200"/>
      <c r="H31" s="200"/>
      <c r="I31" s="200"/>
      <c r="J31" s="200"/>
      <c r="K31" s="200"/>
      <c r="L31" s="200">
        <v>1</v>
      </c>
      <c r="M31" s="200"/>
      <c r="N31" s="200">
        <v>1</v>
      </c>
      <c r="O31" s="200"/>
      <c r="P31" s="200"/>
      <c r="Q31" s="200"/>
      <c r="R31" s="200"/>
      <c r="S31" s="200"/>
      <c r="T31" s="200"/>
      <c r="U31" s="200"/>
      <c r="V31" s="200"/>
      <c r="W31" s="200"/>
      <c r="X31" s="200"/>
      <c r="Y31" s="200"/>
      <c r="Z31" s="200"/>
      <c r="AA31" s="200"/>
      <c r="AB31" s="200"/>
      <c r="AC31" s="245">
        <f>0.6*3.4</f>
        <v>2.04</v>
      </c>
      <c r="AD31" s="245"/>
      <c r="AE31" s="200"/>
      <c r="AF31" s="200"/>
      <c r="AG31" s="200"/>
      <c r="AH31" s="133" t="str">
        <f t="shared" si="0"/>
        <v>OK!</v>
      </c>
    </row>
    <row r="32" spans="1:34">
      <c r="A32" s="238" t="s">
        <v>308</v>
      </c>
      <c r="B32" s="238"/>
      <c r="C32" s="200"/>
      <c r="D32" s="200"/>
      <c r="E32" s="200"/>
      <c r="F32" s="200"/>
      <c r="G32" s="200"/>
      <c r="H32" s="200">
        <v>1</v>
      </c>
      <c r="I32" s="200"/>
      <c r="J32" s="200"/>
      <c r="K32" s="200"/>
      <c r="L32" s="200"/>
      <c r="M32" s="200">
        <v>2</v>
      </c>
      <c r="N32" s="200"/>
      <c r="O32" s="200">
        <v>1</v>
      </c>
      <c r="P32" s="200"/>
      <c r="Q32" s="200"/>
      <c r="R32" s="200"/>
      <c r="S32" s="200"/>
      <c r="T32" s="200"/>
      <c r="U32" s="200"/>
      <c r="V32" s="200"/>
      <c r="W32" s="200"/>
      <c r="X32" s="200"/>
      <c r="Y32" s="200"/>
      <c r="Z32" s="200"/>
      <c r="AA32" s="200"/>
      <c r="AB32" s="200"/>
      <c r="AC32" s="245">
        <f>2*0.6+0.6*1.19</f>
        <v>1.9139999999999999</v>
      </c>
      <c r="AD32" s="245"/>
      <c r="AE32" s="200"/>
      <c r="AF32" s="200"/>
      <c r="AG32" s="200"/>
      <c r="AH32" s="133" t="str">
        <f t="shared" si="0"/>
        <v>Falta torneiras!</v>
      </c>
    </row>
    <row r="33" spans="1:34">
      <c r="A33" s="238" t="s">
        <v>1099</v>
      </c>
      <c r="B33" s="238"/>
      <c r="C33" s="200">
        <v>1</v>
      </c>
      <c r="D33" s="200">
        <v>1</v>
      </c>
      <c r="E33" s="200"/>
      <c r="F33" s="200"/>
      <c r="G33" s="200"/>
      <c r="H33" s="200"/>
      <c r="I33" s="200">
        <v>1</v>
      </c>
      <c r="J33" s="200"/>
      <c r="K33" s="200"/>
      <c r="L33" s="200"/>
      <c r="M33" s="200"/>
      <c r="N33" s="200"/>
      <c r="O33" s="200">
        <v>1</v>
      </c>
      <c r="P33" s="200"/>
      <c r="Q33" s="200"/>
      <c r="R33" s="200"/>
      <c r="S33" s="200"/>
      <c r="T33" s="200"/>
      <c r="U33" s="200"/>
      <c r="V33" s="200"/>
      <c r="W33" s="200"/>
      <c r="X33" s="200"/>
      <c r="Y33" s="200"/>
      <c r="Z33" s="200"/>
      <c r="AA33" s="200"/>
      <c r="AB33" s="200"/>
      <c r="AC33" s="245">
        <f>0.6*0.9</f>
        <v>0.54</v>
      </c>
      <c r="AD33" s="245"/>
      <c r="AE33" s="200"/>
      <c r="AF33" s="200"/>
      <c r="AG33" s="200"/>
      <c r="AH33" s="133" t="str">
        <f t="shared" si="0"/>
        <v>OK!</v>
      </c>
    </row>
    <row r="34" spans="1:34">
      <c r="A34" s="238" t="s">
        <v>400</v>
      </c>
      <c r="B34" s="238"/>
      <c r="C34" s="200"/>
      <c r="D34" s="200"/>
      <c r="E34" s="200"/>
      <c r="F34" s="200">
        <v>3</v>
      </c>
      <c r="G34" s="200"/>
      <c r="H34" s="200"/>
      <c r="I34" s="200"/>
      <c r="J34" s="200"/>
      <c r="K34" s="200"/>
      <c r="L34" s="200"/>
      <c r="M34" s="200"/>
      <c r="N34" s="200">
        <v>3</v>
      </c>
      <c r="O34" s="200"/>
      <c r="P34" s="200"/>
      <c r="Q34" s="200"/>
      <c r="R34" s="200"/>
      <c r="S34" s="200"/>
      <c r="T34" s="200"/>
      <c r="U34" s="200"/>
      <c r="V34" s="200"/>
      <c r="W34" s="200"/>
      <c r="X34" s="200"/>
      <c r="Y34" s="200"/>
      <c r="Z34" s="200"/>
      <c r="AA34" s="200"/>
      <c r="AB34" s="200"/>
      <c r="AC34" s="245"/>
      <c r="AD34" s="245">
        <f>0.6*5.03+0.6*4.4+0.6*4.07+0.6*5.73+0.6*9.22</f>
        <v>17.07</v>
      </c>
      <c r="AE34" s="200"/>
      <c r="AF34" s="200"/>
      <c r="AG34" s="200"/>
      <c r="AH34" s="133" t="str">
        <f t="shared" si="0"/>
        <v>OK!</v>
      </c>
    </row>
    <row r="35" spans="1:34">
      <c r="A35" s="238" t="s">
        <v>1100</v>
      </c>
      <c r="B35" s="238"/>
      <c r="C35" s="200"/>
      <c r="D35" s="200"/>
      <c r="E35" s="200"/>
      <c r="F35" s="200">
        <v>1</v>
      </c>
      <c r="G35" s="200"/>
      <c r="H35" s="200"/>
      <c r="I35" s="200"/>
      <c r="J35" s="200"/>
      <c r="K35" s="200"/>
      <c r="L35" s="200"/>
      <c r="M35" s="200"/>
      <c r="N35" s="200">
        <v>1</v>
      </c>
      <c r="O35" s="200"/>
      <c r="P35" s="200"/>
      <c r="Q35" s="200"/>
      <c r="R35" s="200"/>
      <c r="S35" s="200"/>
      <c r="T35" s="200"/>
      <c r="U35" s="200"/>
      <c r="V35" s="200"/>
      <c r="W35" s="200"/>
      <c r="X35" s="200"/>
      <c r="Y35" s="200"/>
      <c r="Z35" s="200"/>
      <c r="AA35" s="200"/>
      <c r="AB35" s="200"/>
      <c r="AC35" s="245"/>
      <c r="AD35" s="245">
        <f>0.6*4.85</f>
        <v>2.9099999999999997</v>
      </c>
      <c r="AE35" s="200"/>
      <c r="AF35" s="200"/>
      <c r="AG35" s="200"/>
      <c r="AH35" s="133" t="str">
        <f t="shared" si="0"/>
        <v>OK!</v>
      </c>
    </row>
    <row r="36" spans="1:34">
      <c r="A36" s="238" t="s">
        <v>403</v>
      </c>
      <c r="B36" s="238"/>
      <c r="C36" s="200"/>
      <c r="D36" s="200"/>
      <c r="E36" s="200"/>
      <c r="F36" s="200"/>
      <c r="G36" s="200"/>
      <c r="H36" s="200">
        <v>1</v>
      </c>
      <c r="I36" s="200"/>
      <c r="J36" s="200"/>
      <c r="K36" s="200"/>
      <c r="L36" s="200"/>
      <c r="M36" s="200"/>
      <c r="N36" s="200"/>
      <c r="O36" s="200">
        <v>1</v>
      </c>
      <c r="P36" s="200"/>
      <c r="Q36" s="200"/>
      <c r="R36" s="200"/>
      <c r="S36" s="200"/>
      <c r="T36" s="200"/>
      <c r="U36" s="200"/>
      <c r="V36" s="200"/>
      <c r="W36" s="200"/>
      <c r="X36" s="200"/>
      <c r="Y36" s="200"/>
      <c r="Z36" s="200"/>
      <c r="AA36" s="200"/>
      <c r="AB36" s="200"/>
      <c r="AC36" s="245">
        <f>0.6*1</f>
        <v>0.6</v>
      </c>
      <c r="AD36" s="245"/>
      <c r="AE36" s="200"/>
      <c r="AF36" s="200"/>
      <c r="AG36" s="200"/>
      <c r="AH36" s="133" t="str">
        <f t="shared" si="0"/>
        <v>OK!</v>
      </c>
    </row>
    <row r="37" spans="1:34">
      <c r="A37" s="238" t="s">
        <v>1101</v>
      </c>
      <c r="B37" s="238" t="s">
        <v>428</v>
      </c>
      <c r="C37" s="200">
        <v>1</v>
      </c>
      <c r="D37" s="200">
        <v>1</v>
      </c>
      <c r="E37" s="200"/>
      <c r="F37" s="200"/>
      <c r="G37" s="200"/>
      <c r="H37" s="200">
        <v>1</v>
      </c>
      <c r="I37" s="200"/>
      <c r="J37" s="200">
        <v>1</v>
      </c>
      <c r="K37" s="200"/>
      <c r="L37" s="200"/>
      <c r="M37" s="200"/>
      <c r="N37" s="200"/>
      <c r="O37" s="200">
        <v>2</v>
      </c>
      <c r="P37" s="200"/>
      <c r="Q37" s="200"/>
      <c r="R37" s="200"/>
      <c r="S37" s="200"/>
      <c r="T37" s="200"/>
      <c r="U37" s="200"/>
      <c r="V37" s="200"/>
      <c r="W37" s="200"/>
      <c r="X37" s="200"/>
      <c r="Y37" s="200"/>
      <c r="Z37" s="200"/>
      <c r="AA37" s="200"/>
      <c r="AB37" s="200"/>
      <c r="AC37" s="245">
        <f>0.6*1</f>
        <v>0.6</v>
      </c>
      <c r="AD37" s="245"/>
      <c r="AE37" s="200"/>
      <c r="AF37" s="200"/>
      <c r="AG37" s="200"/>
      <c r="AH37" s="133" t="str">
        <f t="shared" si="0"/>
        <v>OK!</v>
      </c>
    </row>
    <row r="38" spans="1:34">
      <c r="A38" s="238" t="s">
        <v>426</v>
      </c>
      <c r="B38" s="238" t="s">
        <v>428</v>
      </c>
      <c r="C38" s="200">
        <v>1</v>
      </c>
      <c r="D38" s="200">
        <v>1</v>
      </c>
      <c r="E38" s="200"/>
      <c r="F38" s="200"/>
      <c r="G38" s="200"/>
      <c r="H38" s="200">
        <v>1</v>
      </c>
      <c r="I38" s="200"/>
      <c r="J38" s="200">
        <v>1</v>
      </c>
      <c r="K38" s="200"/>
      <c r="L38" s="200"/>
      <c r="M38" s="200"/>
      <c r="N38" s="200"/>
      <c r="O38" s="200">
        <v>2</v>
      </c>
      <c r="P38" s="200"/>
      <c r="Q38" s="200"/>
      <c r="R38" s="200"/>
      <c r="S38" s="200"/>
      <c r="T38" s="200"/>
      <c r="U38" s="200"/>
      <c r="V38" s="200"/>
      <c r="W38" s="200"/>
      <c r="X38" s="200"/>
      <c r="Y38" s="200"/>
      <c r="Z38" s="200"/>
      <c r="AA38" s="200"/>
      <c r="AB38" s="200"/>
      <c r="AC38" s="245">
        <f>0.6*1</f>
        <v>0.6</v>
      </c>
      <c r="AD38" s="245"/>
      <c r="AE38" s="200"/>
      <c r="AF38" s="200"/>
      <c r="AG38" s="200"/>
      <c r="AH38" s="133" t="str">
        <f t="shared" si="0"/>
        <v>OK!</v>
      </c>
    </row>
    <row r="39" spans="1:34">
      <c r="A39" s="238" t="s">
        <v>427</v>
      </c>
      <c r="B39" s="238" t="s">
        <v>428</v>
      </c>
      <c r="C39" s="200">
        <v>1</v>
      </c>
      <c r="D39" s="200">
        <v>1</v>
      </c>
      <c r="E39" s="200"/>
      <c r="F39" s="200"/>
      <c r="G39" s="200"/>
      <c r="H39" s="200">
        <v>1</v>
      </c>
      <c r="I39" s="200"/>
      <c r="J39" s="200">
        <v>1</v>
      </c>
      <c r="K39" s="200"/>
      <c r="L39" s="200"/>
      <c r="M39" s="200"/>
      <c r="N39" s="200"/>
      <c r="O39" s="200">
        <v>2</v>
      </c>
      <c r="P39" s="200"/>
      <c r="Q39" s="200">
        <v>1</v>
      </c>
      <c r="R39" s="200"/>
      <c r="S39" s="200"/>
      <c r="T39" s="200"/>
      <c r="U39" s="200"/>
      <c r="V39" s="200"/>
      <c r="W39" s="200"/>
      <c r="X39" s="200"/>
      <c r="Y39" s="200"/>
      <c r="Z39" s="200"/>
      <c r="AA39" s="200"/>
      <c r="AB39" s="200"/>
      <c r="AC39" s="245">
        <f>0.6*0.9</f>
        <v>0.54</v>
      </c>
      <c r="AD39" s="245"/>
      <c r="AE39" s="200"/>
      <c r="AF39" s="200"/>
      <c r="AG39" s="200"/>
      <c r="AH39" s="133" t="str">
        <f t="shared" si="0"/>
        <v>OK!</v>
      </c>
    </row>
    <row r="40" spans="1:34">
      <c r="A40" s="238" t="s">
        <v>429</v>
      </c>
      <c r="B40" s="238" t="s">
        <v>428</v>
      </c>
      <c r="C40" s="200">
        <v>1</v>
      </c>
      <c r="D40" s="200">
        <v>1</v>
      </c>
      <c r="E40" s="200"/>
      <c r="F40" s="200"/>
      <c r="G40" s="200"/>
      <c r="H40" s="200">
        <v>1</v>
      </c>
      <c r="I40" s="200"/>
      <c r="J40" s="200">
        <v>1</v>
      </c>
      <c r="K40" s="200"/>
      <c r="L40" s="200"/>
      <c r="M40" s="200"/>
      <c r="N40" s="200"/>
      <c r="O40" s="200">
        <v>2</v>
      </c>
      <c r="P40" s="200"/>
      <c r="Q40" s="200">
        <v>1</v>
      </c>
      <c r="R40" s="200"/>
      <c r="S40" s="200"/>
      <c r="T40" s="200"/>
      <c r="U40" s="200"/>
      <c r="V40" s="200"/>
      <c r="W40" s="200"/>
      <c r="X40" s="200"/>
      <c r="Y40" s="200"/>
      <c r="Z40" s="200"/>
      <c r="AA40" s="200"/>
      <c r="AB40" s="200"/>
      <c r="AC40" s="245">
        <f>0.6*0.9</f>
        <v>0.54</v>
      </c>
      <c r="AD40" s="245"/>
      <c r="AE40" s="200"/>
      <c r="AF40" s="200"/>
      <c r="AG40" s="200"/>
      <c r="AH40" s="133" t="str">
        <f t="shared" si="0"/>
        <v>OK!</v>
      </c>
    </row>
    <row r="41" spans="1:34">
      <c r="A41" s="238" t="s">
        <v>1102</v>
      </c>
      <c r="B41" s="238" t="s">
        <v>1103</v>
      </c>
      <c r="C41" s="200">
        <v>2</v>
      </c>
      <c r="D41" s="200">
        <v>2</v>
      </c>
      <c r="E41" s="200"/>
      <c r="F41" s="200"/>
      <c r="G41" s="200"/>
      <c r="H41" s="200">
        <v>2</v>
      </c>
      <c r="I41" s="200"/>
      <c r="J41" s="200"/>
      <c r="K41" s="200"/>
      <c r="L41" s="200"/>
      <c r="M41" s="200"/>
      <c r="N41" s="200"/>
      <c r="O41" s="200">
        <v>2</v>
      </c>
      <c r="P41" s="200"/>
      <c r="Q41" s="200"/>
      <c r="R41" s="200"/>
      <c r="S41" s="200"/>
      <c r="T41" s="200"/>
      <c r="U41" s="200"/>
      <c r="V41" s="200"/>
      <c r="W41" s="200"/>
      <c r="X41" s="200"/>
      <c r="Y41" s="200"/>
      <c r="Z41" s="200"/>
      <c r="AA41" s="200"/>
      <c r="AB41" s="200"/>
      <c r="AC41" s="245">
        <f>0.6*1.75*2</f>
        <v>2.1</v>
      </c>
      <c r="AD41" s="245"/>
      <c r="AE41" s="200"/>
      <c r="AF41" s="200"/>
      <c r="AG41" s="200"/>
      <c r="AH41" s="133" t="str">
        <f t="shared" si="0"/>
        <v>OK!</v>
      </c>
    </row>
    <row r="42" spans="1:34">
      <c r="A42" s="238" t="s">
        <v>1803</v>
      </c>
      <c r="B42" s="238"/>
      <c r="C42" s="200"/>
      <c r="D42" s="200"/>
      <c r="E42" s="200"/>
      <c r="F42" s="200">
        <v>1</v>
      </c>
      <c r="G42" s="200"/>
      <c r="H42" s="200"/>
      <c r="I42" s="200"/>
      <c r="J42" s="200"/>
      <c r="K42" s="200"/>
      <c r="L42" s="200">
        <v>1</v>
      </c>
      <c r="M42" s="200"/>
      <c r="N42" s="200">
        <v>1</v>
      </c>
      <c r="O42" s="200"/>
      <c r="P42" s="200"/>
      <c r="Q42" s="200"/>
      <c r="R42" s="200"/>
      <c r="S42" s="200"/>
      <c r="T42" s="200"/>
      <c r="U42" s="200"/>
      <c r="V42" s="200"/>
      <c r="W42" s="200"/>
      <c r="X42" s="200"/>
      <c r="Y42" s="200"/>
      <c r="Z42" s="200"/>
      <c r="AA42" s="200"/>
      <c r="AB42" s="200"/>
      <c r="AC42" s="245"/>
      <c r="AD42" s="245">
        <f>4.95*0.7</f>
        <v>3.4649999999999999</v>
      </c>
      <c r="AE42" s="200"/>
      <c r="AF42" s="200"/>
      <c r="AG42" s="200"/>
    </row>
    <row r="43" spans="1:34">
      <c r="A43" s="238" t="s">
        <v>1104</v>
      </c>
      <c r="B43" s="238" t="s">
        <v>428</v>
      </c>
      <c r="C43" s="200">
        <v>1</v>
      </c>
      <c r="D43" s="200">
        <v>1</v>
      </c>
      <c r="E43" s="200"/>
      <c r="F43" s="200"/>
      <c r="G43" s="200"/>
      <c r="H43" s="200">
        <v>1</v>
      </c>
      <c r="I43" s="200"/>
      <c r="J43" s="200">
        <v>1</v>
      </c>
      <c r="K43" s="200"/>
      <c r="L43" s="200"/>
      <c r="M43" s="200"/>
      <c r="N43" s="200"/>
      <c r="O43" s="200">
        <v>2</v>
      </c>
      <c r="P43" s="200"/>
      <c r="Q43" s="200">
        <v>1</v>
      </c>
      <c r="R43" s="200"/>
      <c r="S43" s="200"/>
      <c r="T43" s="200"/>
      <c r="U43" s="200"/>
      <c r="V43" s="200"/>
      <c r="W43" s="200"/>
      <c r="X43" s="200"/>
      <c r="Y43" s="200"/>
      <c r="Z43" s="200"/>
      <c r="AA43" s="200"/>
      <c r="AB43" s="200"/>
      <c r="AC43" s="245">
        <f>0.6*0.9</f>
        <v>0.54</v>
      </c>
      <c r="AD43" s="245"/>
      <c r="AE43" s="200"/>
      <c r="AF43" s="200"/>
      <c r="AG43" s="200"/>
      <c r="AH43" s="133" t="str">
        <f t="shared" si="0"/>
        <v>OK!</v>
      </c>
    </row>
    <row r="44" spans="1:34">
      <c r="A44" s="238" t="s">
        <v>1105</v>
      </c>
      <c r="B44" s="238" t="s">
        <v>428</v>
      </c>
      <c r="C44" s="200">
        <v>1</v>
      </c>
      <c r="D44" s="200">
        <v>1</v>
      </c>
      <c r="E44" s="200"/>
      <c r="F44" s="200"/>
      <c r="G44" s="200"/>
      <c r="H44" s="200">
        <v>1</v>
      </c>
      <c r="I44" s="200"/>
      <c r="J44" s="200">
        <v>1</v>
      </c>
      <c r="K44" s="200"/>
      <c r="L44" s="200"/>
      <c r="M44" s="200"/>
      <c r="N44" s="200"/>
      <c r="O44" s="200">
        <v>2</v>
      </c>
      <c r="P44" s="200"/>
      <c r="Q44" s="200"/>
      <c r="R44" s="200"/>
      <c r="S44" s="200"/>
      <c r="T44" s="200"/>
      <c r="U44" s="200"/>
      <c r="V44" s="200"/>
      <c r="W44" s="200"/>
      <c r="X44" s="200"/>
      <c r="Y44" s="200"/>
      <c r="Z44" s="200"/>
      <c r="AA44" s="200"/>
      <c r="AB44" s="200"/>
      <c r="AC44" s="245">
        <f t="shared" ref="AC44:AC53" si="1">0.6*0.9</f>
        <v>0.54</v>
      </c>
      <c r="AD44" s="245"/>
      <c r="AE44" s="200"/>
      <c r="AF44" s="200"/>
      <c r="AG44" s="200"/>
      <c r="AH44" s="133" t="str">
        <f t="shared" si="0"/>
        <v>OK!</v>
      </c>
    </row>
    <row r="45" spans="1:34">
      <c r="A45" s="238" t="s">
        <v>1106</v>
      </c>
      <c r="B45" s="238" t="s">
        <v>428</v>
      </c>
      <c r="C45" s="200">
        <v>1</v>
      </c>
      <c r="D45" s="200">
        <v>1</v>
      </c>
      <c r="E45" s="200"/>
      <c r="F45" s="200"/>
      <c r="G45" s="200"/>
      <c r="H45" s="200">
        <v>1</v>
      </c>
      <c r="I45" s="200"/>
      <c r="J45" s="200">
        <v>1</v>
      </c>
      <c r="K45" s="200"/>
      <c r="L45" s="200"/>
      <c r="M45" s="200"/>
      <c r="N45" s="200"/>
      <c r="O45" s="200">
        <v>2</v>
      </c>
      <c r="P45" s="200"/>
      <c r="Q45" s="200"/>
      <c r="R45" s="200"/>
      <c r="S45" s="200"/>
      <c r="T45" s="200"/>
      <c r="U45" s="200"/>
      <c r="V45" s="200"/>
      <c r="W45" s="200"/>
      <c r="X45" s="200"/>
      <c r="Y45" s="200"/>
      <c r="Z45" s="200"/>
      <c r="AA45" s="200"/>
      <c r="AB45" s="200"/>
      <c r="AC45" s="245">
        <f t="shared" si="1"/>
        <v>0.54</v>
      </c>
      <c r="AD45" s="245"/>
      <c r="AE45" s="200"/>
      <c r="AF45" s="200"/>
      <c r="AG45" s="200"/>
      <c r="AH45" s="133" t="str">
        <f t="shared" si="0"/>
        <v>OK!</v>
      </c>
    </row>
    <row r="46" spans="1:34">
      <c r="A46" s="238" t="s">
        <v>1107</v>
      </c>
      <c r="B46" s="238" t="s">
        <v>428</v>
      </c>
      <c r="C46" s="200">
        <v>1</v>
      </c>
      <c r="D46" s="200">
        <v>1</v>
      </c>
      <c r="E46" s="200"/>
      <c r="F46" s="200"/>
      <c r="G46" s="200"/>
      <c r="H46" s="200">
        <v>1</v>
      </c>
      <c r="I46" s="200"/>
      <c r="J46" s="200">
        <v>1</v>
      </c>
      <c r="K46" s="200"/>
      <c r="L46" s="200"/>
      <c r="M46" s="200"/>
      <c r="N46" s="200"/>
      <c r="O46" s="200">
        <v>2</v>
      </c>
      <c r="P46" s="200"/>
      <c r="Q46" s="200"/>
      <c r="R46" s="200"/>
      <c r="S46" s="200"/>
      <c r="T46" s="200"/>
      <c r="U46" s="200"/>
      <c r="V46" s="200"/>
      <c r="W46" s="200"/>
      <c r="X46" s="200"/>
      <c r="Y46" s="200"/>
      <c r="Z46" s="200"/>
      <c r="AA46" s="200"/>
      <c r="AB46" s="200"/>
      <c r="AC46" s="245">
        <f t="shared" si="1"/>
        <v>0.54</v>
      </c>
      <c r="AD46" s="245"/>
      <c r="AE46" s="200"/>
      <c r="AF46" s="200"/>
      <c r="AG46" s="200"/>
      <c r="AH46" s="133" t="str">
        <f t="shared" si="0"/>
        <v>OK!</v>
      </c>
    </row>
    <row r="47" spans="1:34">
      <c r="A47" s="238" t="s">
        <v>1108</v>
      </c>
      <c r="B47" s="238" t="s">
        <v>428</v>
      </c>
      <c r="C47" s="200">
        <v>1</v>
      </c>
      <c r="D47" s="200">
        <v>1</v>
      </c>
      <c r="E47" s="200"/>
      <c r="F47" s="200"/>
      <c r="G47" s="200"/>
      <c r="H47" s="200">
        <v>1</v>
      </c>
      <c r="I47" s="200"/>
      <c r="J47" s="200">
        <v>1</v>
      </c>
      <c r="K47" s="200"/>
      <c r="L47" s="200"/>
      <c r="M47" s="200"/>
      <c r="N47" s="200"/>
      <c r="O47" s="200">
        <v>2</v>
      </c>
      <c r="P47" s="200"/>
      <c r="Q47" s="200"/>
      <c r="R47" s="200"/>
      <c r="S47" s="200"/>
      <c r="T47" s="200"/>
      <c r="U47" s="200"/>
      <c r="V47" s="200"/>
      <c r="W47" s="200"/>
      <c r="X47" s="200"/>
      <c r="Y47" s="200"/>
      <c r="Z47" s="200"/>
      <c r="AA47" s="200"/>
      <c r="AB47" s="200"/>
      <c r="AC47" s="245">
        <f t="shared" si="1"/>
        <v>0.54</v>
      </c>
      <c r="AD47" s="245"/>
      <c r="AE47" s="200"/>
      <c r="AF47" s="200"/>
      <c r="AG47" s="200"/>
      <c r="AH47" s="133" t="str">
        <f t="shared" si="0"/>
        <v>OK!</v>
      </c>
    </row>
    <row r="48" spans="1:34">
      <c r="A48" s="238" t="s">
        <v>1109</v>
      </c>
      <c r="B48" s="238" t="s">
        <v>428</v>
      </c>
      <c r="C48" s="200">
        <v>1</v>
      </c>
      <c r="D48" s="200">
        <v>1</v>
      </c>
      <c r="E48" s="200"/>
      <c r="F48" s="200"/>
      <c r="G48" s="200"/>
      <c r="H48" s="200">
        <v>1</v>
      </c>
      <c r="I48" s="200"/>
      <c r="J48" s="200">
        <v>1</v>
      </c>
      <c r="K48" s="200"/>
      <c r="L48" s="238"/>
      <c r="M48" s="238"/>
      <c r="N48" s="200"/>
      <c r="O48" s="200">
        <v>2</v>
      </c>
      <c r="P48" s="200"/>
      <c r="Q48" s="200"/>
      <c r="R48" s="200"/>
      <c r="S48" s="200"/>
      <c r="T48" s="200"/>
      <c r="U48" s="200"/>
      <c r="V48" s="200"/>
      <c r="W48" s="200"/>
      <c r="X48" s="200"/>
      <c r="Y48" s="200"/>
      <c r="Z48" s="200"/>
      <c r="AA48" s="200"/>
      <c r="AB48" s="200"/>
      <c r="AC48" s="245">
        <f t="shared" si="1"/>
        <v>0.54</v>
      </c>
      <c r="AD48" s="245"/>
      <c r="AE48" s="200"/>
      <c r="AF48" s="238"/>
      <c r="AG48" s="238"/>
      <c r="AH48" s="133" t="str">
        <f t="shared" si="0"/>
        <v>OK!</v>
      </c>
    </row>
    <row r="49" spans="1:34">
      <c r="A49" s="238" t="s">
        <v>1110</v>
      </c>
      <c r="B49" s="238" t="s">
        <v>428</v>
      </c>
      <c r="C49" s="200">
        <v>1</v>
      </c>
      <c r="D49" s="200">
        <v>1</v>
      </c>
      <c r="E49" s="200"/>
      <c r="F49" s="200"/>
      <c r="G49" s="200"/>
      <c r="H49" s="200">
        <v>1</v>
      </c>
      <c r="I49" s="200"/>
      <c r="J49" s="200">
        <v>1</v>
      </c>
      <c r="K49" s="200"/>
      <c r="L49" s="238"/>
      <c r="M49" s="238"/>
      <c r="N49" s="200"/>
      <c r="O49" s="200">
        <v>2</v>
      </c>
      <c r="P49" s="200"/>
      <c r="Q49" s="200"/>
      <c r="R49" s="200"/>
      <c r="S49" s="200"/>
      <c r="T49" s="200"/>
      <c r="U49" s="200"/>
      <c r="V49" s="200"/>
      <c r="W49" s="200"/>
      <c r="X49" s="200"/>
      <c r="Y49" s="200"/>
      <c r="Z49" s="200"/>
      <c r="AA49" s="200"/>
      <c r="AB49" s="200"/>
      <c r="AC49" s="245">
        <f t="shared" si="1"/>
        <v>0.54</v>
      </c>
      <c r="AD49" s="245"/>
      <c r="AE49" s="200"/>
      <c r="AF49" s="238"/>
      <c r="AG49" s="238"/>
      <c r="AH49" s="133" t="str">
        <f t="shared" si="0"/>
        <v>OK!</v>
      </c>
    </row>
    <row r="50" spans="1:34">
      <c r="A50" s="238" t="s">
        <v>1111</v>
      </c>
      <c r="B50" s="238" t="s">
        <v>428</v>
      </c>
      <c r="C50" s="200">
        <v>1</v>
      </c>
      <c r="D50" s="200">
        <v>1</v>
      </c>
      <c r="E50" s="200"/>
      <c r="F50" s="200"/>
      <c r="G50" s="200"/>
      <c r="H50" s="200">
        <v>1</v>
      </c>
      <c r="I50" s="200"/>
      <c r="J50" s="200">
        <v>1</v>
      </c>
      <c r="K50" s="200"/>
      <c r="L50" s="238"/>
      <c r="M50" s="238"/>
      <c r="N50" s="200"/>
      <c r="O50" s="200">
        <v>2</v>
      </c>
      <c r="P50" s="200"/>
      <c r="Q50" s="200"/>
      <c r="R50" s="200"/>
      <c r="S50" s="200"/>
      <c r="T50" s="200"/>
      <c r="U50" s="200"/>
      <c r="V50" s="200"/>
      <c r="W50" s="200"/>
      <c r="X50" s="200"/>
      <c r="Y50" s="200"/>
      <c r="Z50" s="200"/>
      <c r="AA50" s="200"/>
      <c r="AB50" s="200"/>
      <c r="AC50" s="245">
        <f t="shared" si="1"/>
        <v>0.54</v>
      </c>
      <c r="AD50" s="245"/>
      <c r="AE50" s="200"/>
      <c r="AF50" s="238"/>
      <c r="AG50" s="238"/>
      <c r="AH50" s="133" t="str">
        <f t="shared" si="0"/>
        <v>OK!</v>
      </c>
    </row>
    <row r="51" spans="1:34">
      <c r="A51" s="238" t="s">
        <v>1112</v>
      </c>
      <c r="B51" s="238" t="s">
        <v>428</v>
      </c>
      <c r="C51" s="200">
        <v>1</v>
      </c>
      <c r="D51" s="200">
        <v>1</v>
      </c>
      <c r="E51" s="200"/>
      <c r="F51" s="200"/>
      <c r="G51" s="200"/>
      <c r="H51" s="200">
        <v>1</v>
      </c>
      <c r="I51" s="200"/>
      <c r="J51" s="200">
        <v>1</v>
      </c>
      <c r="K51" s="200"/>
      <c r="L51" s="238"/>
      <c r="M51" s="238"/>
      <c r="N51" s="200"/>
      <c r="O51" s="200">
        <v>2</v>
      </c>
      <c r="P51" s="200"/>
      <c r="Q51" s="200"/>
      <c r="R51" s="200"/>
      <c r="S51" s="200"/>
      <c r="T51" s="200"/>
      <c r="U51" s="200"/>
      <c r="V51" s="200"/>
      <c r="W51" s="200"/>
      <c r="X51" s="200"/>
      <c r="Y51" s="200"/>
      <c r="Z51" s="200"/>
      <c r="AA51" s="200"/>
      <c r="AB51" s="200"/>
      <c r="AC51" s="245">
        <f t="shared" si="1"/>
        <v>0.54</v>
      </c>
      <c r="AD51" s="245"/>
      <c r="AE51" s="200"/>
      <c r="AF51" s="238"/>
      <c r="AG51" s="238"/>
      <c r="AH51" s="133" t="str">
        <f t="shared" si="0"/>
        <v>OK!</v>
      </c>
    </row>
    <row r="52" spans="1:34">
      <c r="A52" s="238" t="s">
        <v>439</v>
      </c>
      <c r="B52" s="238" t="s">
        <v>428</v>
      </c>
      <c r="C52" s="200">
        <v>1</v>
      </c>
      <c r="D52" s="200">
        <v>1</v>
      </c>
      <c r="E52" s="200"/>
      <c r="F52" s="200"/>
      <c r="G52" s="200"/>
      <c r="H52" s="200">
        <v>1</v>
      </c>
      <c r="I52" s="200"/>
      <c r="J52" s="200">
        <v>1</v>
      </c>
      <c r="K52" s="200"/>
      <c r="L52" s="238"/>
      <c r="M52" s="238"/>
      <c r="N52" s="200"/>
      <c r="O52" s="200">
        <v>2</v>
      </c>
      <c r="P52" s="200"/>
      <c r="Q52" s="200">
        <v>1</v>
      </c>
      <c r="R52" s="200"/>
      <c r="S52" s="200"/>
      <c r="T52" s="200"/>
      <c r="U52" s="200"/>
      <c r="V52" s="200"/>
      <c r="W52" s="200"/>
      <c r="X52" s="200"/>
      <c r="Y52" s="200"/>
      <c r="Z52" s="200"/>
      <c r="AA52" s="200"/>
      <c r="AB52" s="200"/>
      <c r="AC52" s="245">
        <f t="shared" si="1"/>
        <v>0.54</v>
      </c>
      <c r="AD52" s="245"/>
      <c r="AE52" s="200"/>
      <c r="AF52" s="238"/>
      <c r="AG52" s="238"/>
      <c r="AH52" s="133" t="str">
        <f t="shared" si="0"/>
        <v>OK!</v>
      </c>
    </row>
    <row r="53" spans="1:34">
      <c r="A53" s="238" t="s">
        <v>1113</v>
      </c>
      <c r="B53" s="238" t="s">
        <v>428</v>
      </c>
      <c r="C53" s="200">
        <v>1</v>
      </c>
      <c r="D53" s="200">
        <v>1</v>
      </c>
      <c r="E53" s="200"/>
      <c r="F53" s="200"/>
      <c r="G53" s="200"/>
      <c r="H53" s="200">
        <v>1</v>
      </c>
      <c r="I53" s="200"/>
      <c r="J53" s="200">
        <v>1</v>
      </c>
      <c r="K53" s="200"/>
      <c r="L53" s="238"/>
      <c r="M53" s="238"/>
      <c r="N53" s="200"/>
      <c r="O53" s="200">
        <v>2</v>
      </c>
      <c r="P53" s="200"/>
      <c r="Q53" s="200">
        <v>1</v>
      </c>
      <c r="R53" s="200"/>
      <c r="S53" s="200"/>
      <c r="T53" s="200"/>
      <c r="U53" s="200"/>
      <c r="V53" s="200"/>
      <c r="W53" s="200"/>
      <c r="X53" s="200"/>
      <c r="Y53" s="200"/>
      <c r="Z53" s="200"/>
      <c r="AA53" s="200"/>
      <c r="AB53" s="200"/>
      <c r="AC53" s="245">
        <f t="shared" si="1"/>
        <v>0.54</v>
      </c>
      <c r="AD53" s="245"/>
      <c r="AE53" s="200"/>
      <c r="AF53" s="238"/>
      <c r="AG53" s="238"/>
      <c r="AH53" s="133" t="str">
        <f t="shared" si="0"/>
        <v>OK!</v>
      </c>
    </row>
    <row r="54" spans="1:34">
      <c r="A54" s="238" t="s">
        <v>1114</v>
      </c>
      <c r="B54" s="238"/>
      <c r="C54" s="200">
        <v>4</v>
      </c>
      <c r="D54" s="200">
        <v>4</v>
      </c>
      <c r="E54" s="200">
        <v>3</v>
      </c>
      <c r="F54" s="200"/>
      <c r="G54" s="200"/>
      <c r="H54" s="200">
        <v>4</v>
      </c>
      <c r="I54" s="200"/>
      <c r="J54" s="200"/>
      <c r="K54" s="200"/>
      <c r="L54" s="238"/>
      <c r="M54" s="238"/>
      <c r="N54" s="200"/>
      <c r="O54" s="200">
        <v>4</v>
      </c>
      <c r="P54" s="200"/>
      <c r="Q54" s="200"/>
      <c r="R54" s="200"/>
      <c r="S54" s="200"/>
      <c r="T54" s="200"/>
      <c r="U54" s="200"/>
      <c r="V54" s="200"/>
      <c r="W54" s="200"/>
      <c r="X54" s="200"/>
      <c r="Y54" s="200"/>
      <c r="Z54" s="200"/>
      <c r="AA54" s="200"/>
      <c r="AB54" s="200"/>
      <c r="AC54" s="245">
        <f>0.6*3.82</f>
        <v>2.2919999999999998</v>
      </c>
      <c r="AD54" s="245"/>
      <c r="AE54" s="200">
        <f>0.4*1.6*2+1.45*2*4+0.05*2*4+0.49*2*4</f>
        <v>17.2</v>
      </c>
      <c r="AF54" s="238"/>
      <c r="AG54" s="238"/>
      <c r="AH54" s="133" t="str">
        <f t="shared" si="0"/>
        <v>OK!</v>
      </c>
    </row>
    <row r="55" spans="1:34">
      <c r="A55" s="238" t="s">
        <v>1115</v>
      </c>
      <c r="B55" s="238"/>
      <c r="C55" s="200">
        <v>6</v>
      </c>
      <c r="D55" s="200">
        <v>6</v>
      </c>
      <c r="E55" s="200"/>
      <c r="F55" s="200"/>
      <c r="G55" s="200"/>
      <c r="H55" s="200">
        <v>4</v>
      </c>
      <c r="I55" s="200"/>
      <c r="J55" s="200"/>
      <c r="K55" s="200"/>
      <c r="L55" s="238"/>
      <c r="M55" s="238"/>
      <c r="N55" s="200"/>
      <c r="O55" s="200">
        <v>4</v>
      </c>
      <c r="P55" s="200"/>
      <c r="Q55" s="200"/>
      <c r="R55" s="200"/>
      <c r="S55" s="200"/>
      <c r="T55" s="200"/>
      <c r="U55" s="200"/>
      <c r="V55" s="200"/>
      <c r="W55" s="200"/>
      <c r="X55" s="200"/>
      <c r="Y55" s="200"/>
      <c r="Z55" s="200"/>
      <c r="AA55" s="200"/>
      <c r="AB55" s="200"/>
      <c r="AC55" s="245">
        <f>0.6*3.82</f>
        <v>2.2919999999999998</v>
      </c>
      <c r="AD55" s="245"/>
      <c r="AE55" s="200">
        <f>0.25*2+0.49*2*6+0.05*2*5+1.45*2*5</f>
        <v>21.38</v>
      </c>
      <c r="AF55" s="238"/>
      <c r="AG55" s="238"/>
      <c r="AH55" s="133" t="str">
        <f t="shared" si="0"/>
        <v>OK!</v>
      </c>
    </row>
    <row r="56" spans="1:34">
      <c r="A56" s="238" t="s">
        <v>1116</v>
      </c>
      <c r="B56" s="238"/>
      <c r="C56" s="200">
        <v>1</v>
      </c>
      <c r="D56" s="200">
        <v>1</v>
      </c>
      <c r="E56" s="200"/>
      <c r="F56" s="200"/>
      <c r="G56" s="200"/>
      <c r="H56" s="200">
        <v>1</v>
      </c>
      <c r="I56" s="200"/>
      <c r="J56" s="200"/>
      <c r="K56" s="200"/>
      <c r="L56" s="238"/>
      <c r="M56" s="238"/>
      <c r="N56" s="200"/>
      <c r="O56" s="200">
        <v>1</v>
      </c>
      <c r="P56" s="200"/>
      <c r="Q56" s="200"/>
      <c r="R56" s="200"/>
      <c r="S56" s="200"/>
      <c r="T56" s="200"/>
      <c r="U56" s="200"/>
      <c r="V56" s="200"/>
      <c r="W56" s="200"/>
      <c r="X56" s="200"/>
      <c r="Y56" s="200"/>
      <c r="Z56" s="200"/>
      <c r="AA56" s="200"/>
      <c r="AB56" s="200"/>
      <c r="AC56" s="245">
        <f>0.35*1.2</f>
        <v>0.42</v>
      </c>
      <c r="AD56" s="245"/>
      <c r="AE56" s="200"/>
      <c r="AF56" s="238"/>
      <c r="AG56" s="238"/>
      <c r="AH56" s="133" t="str">
        <f t="shared" si="0"/>
        <v>OK!</v>
      </c>
    </row>
    <row r="57" spans="1:34">
      <c r="A57" s="238" t="s">
        <v>1117</v>
      </c>
      <c r="B57" s="238"/>
      <c r="C57" s="200">
        <v>1</v>
      </c>
      <c r="D57" s="200">
        <v>1</v>
      </c>
      <c r="E57" s="200"/>
      <c r="F57" s="200"/>
      <c r="G57" s="200"/>
      <c r="H57" s="200">
        <v>1</v>
      </c>
      <c r="I57" s="200"/>
      <c r="J57" s="200"/>
      <c r="K57" s="200"/>
      <c r="L57" s="238"/>
      <c r="M57" s="238"/>
      <c r="N57" s="200"/>
      <c r="O57" s="200">
        <v>1</v>
      </c>
      <c r="P57" s="200"/>
      <c r="Q57" s="200"/>
      <c r="R57" s="200"/>
      <c r="S57" s="200"/>
      <c r="T57" s="200"/>
      <c r="U57" s="200"/>
      <c r="V57" s="200"/>
      <c r="W57" s="200"/>
      <c r="X57" s="200"/>
      <c r="Y57" s="200"/>
      <c r="Z57" s="200"/>
      <c r="AA57" s="200"/>
      <c r="AB57" s="200"/>
      <c r="AC57" s="245">
        <f>0.35*1.2</f>
        <v>0.42</v>
      </c>
      <c r="AD57" s="245"/>
      <c r="AE57" s="200"/>
      <c r="AF57" s="238"/>
      <c r="AG57" s="238"/>
      <c r="AH57" s="133" t="str">
        <f t="shared" si="0"/>
        <v>OK!</v>
      </c>
    </row>
    <row r="58" spans="1:34" ht="29.25" customHeight="1">
      <c r="A58" s="238" t="s">
        <v>408</v>
      </c>
      <c r="B58" s="239" t="s">
        <v>532</v>
      </c>
      <c r="C58" s="200">
        <v>1</v>
      </c>
      <c r="D58" s="200">
        <v>1</v>
      </c>
      <c r="E58" s="200"/>
      <c r="F58" s="200"/>
      <c r="G58" s="200"/>
      <c r="H58" s="200">
        <v>1</v>
      </c>
      <c r="I58" s="200"/>
      <c r="J58" s="200"/>
      <c r="K58" s="200"/>
      <c r="L58" s="238"/>
      <c r="M58" s="238"/>
      <c r="N58" s="200"/>
      <c r="O58" s="200">
        <v>1</v>
      </c>
      <c r="P58" s="200"/>
      <c r="Q58" s="200"/>
      <c r="R58" s="200"/>
      <c r="S58" s="200"/>
      <c r="T58" s="200"/>
      <c r="U58" s="200"/>
      <c r="V58" s="200"/>
      <c r="W58" s="200"/>
      <c r="X58" s="200"/>
      <c r="Y58" s="200"/>
      <c r="Z58" s="200"/>
      <c r="AA58" s="200"/>
      <c r="AB58" s="200"/>
      <c r="AC58" s="245">
        <f>0.9*0.6</f>
        <v>0.54</v>
      </c>
      <c r="AD58" s="245"/>
      <c r="AE58" s="200"/>
      <c r="AF58" s="238"/>
      <c r="AG58" s="238"/>
      <c r="AH58" s="133" t="str">
        <f t="shared" si="0"/>
        <v>OK!</v>
      </c>
    </row>
    <row r="59" spans="1:34">
      <c r="A59" s="238" t="s">
        <v>1118</v>
      </c>
      <c r="B59" s="238"/>
      <c r="C59" s="200"/>
      <c r="D59" s="200"/>
      <c r="E59" s="200"/>
      <c r="F59" s="200"/>
      <c r="G59" s="200"/>
      <c r="H59" s="200"/>
      <c r="I59" s="200"/>
      <c r="J59" s="200">
        <v>1</v>
      </c>
      <c r="K59" s="200"/>
      <c r="L59" s="238"/>
      <c r="M59" s="238"/>
      <c r="N59" s="200"/>
      <c r="O59" s="200">
        <v>1</v>
      </c>
      <c r="P59" s="200"/>
      <c r="Q59" s="200"/>
      <c r="R59" s="200"/>
      <c r="S59" s="200"/>
      <c r="T59" s="200"/>
      <c r="U59" s="200"/>
      <c r="V59" s="200"/>
      <c r="W59" s="200"/>
      <c r="X59" s="200"/>
      <c r="Y59" s="200"/>
      <c r="Z59" s="200"/>
      <c r="AA59" s="200"/>
      <c r="AB59" s="200"/>
      <c r="AC59" s="245"/>
      <c r="AD59" s="245"/>
      <c r="AE59" s="200"/>
      <c r="AF59" s="238"/>
      <c r="AG59" s="238"/>
      <c r="AH59" s="133" t="str">
        <f t="shared" si="0"/>
        <v>OK!</v>
      </c>
    </row>
    <row r="60" spans="1:34">
      <c r="A60" s="238" t="s">
        <v>302</v>
      </c>
      <c r="B60" s="238" t="s">
        <v>428</v>
      </c>
      <c r="C60" s="200">
        <v>1</v>
      </c>
      <c r="D60" s="200">
        <v>1</v>
      </c>
      <c r="E60" s="200"/>
      <c r="F60" s="200"/>
      <c r="G60" s="200"/>
      <c r="H60" s="200">
        <v>1</v>
      </c>
      <c r="I60" s="200"/>
      <c r="J60" s="200"/>
      <c r="K60" s="200"/>
      <c r="L60" s="238"/>
      <c r="M60" s="238"/>
      <c r="N60" s="200"/>
      <c r="O60" s="200">
        <v>1</v>
      </c>
      <c r="P60" s="200"/>
      <c r="Q60" s="200"/>
      <c r="R60" s="200"/>
      <c r="S60" s="200"/>
      <c r="T60" s="200"/>
      <c r="U60" s="200"/>
      <c r="V60" s="200"/>
      <c r="W60" s="200"/>
      <c r="X60" s="200"/>
      <c r="Y60" s="200"/>
      <c r="Z60" s="200"/>
      <c r="AA60" s="200"/>
      <c r="AB60" s="200"/>
      <c r="AC60" s="245">
        <f>0.6*1.9</f>
        <v>1.1399999999999999</v>
      </c>
      <c r="AD60" s="245"/>
      <c r="AE60" s="200"/>
      <c r="AF60" s="238"/>
      <c r="AG60" s="238"/>
      <c r="AH60" s="133" t="str">
        <f t="shared" si="0"/>
        <v>OK!</v>
      </c>
    </row>
    <row r="61" spans="1:34">
      <c r="A61" s="238"/>
      <c r="B61" s="239"/>
      <c r="C61" s="200"/>
      <c r="D61" s="200"/>
      <c r="E61" s="200"/>
      <c r="F61" s="200"/>
      <c r="G61" s="200"/>
      <c r="H61" s="200"/>
      <c r="I61" s="200"/>
      <c r="J61" s="200"/>
      <c r="K61" s="200"/>
      <c r="L61" s="238"/>
      <c r="M61" s="238"/>
      <c r="N61" s="200"/>
      <c r="O61" s="200"/>
      <c r="P61" s="200"/>
      <c r="Q61" s="200"/>
      <c r="R61" s="200">
        <v>19</v>
      </c>
      <c r="S61" s="200">
        <v>5</v>
      </c>
      <c r="T61" s="200">
        <v>2</v>
      </c>
      <c r="U61" s="200">
        <v>4</v>
      </c>
      <c r="V61" s="200"/>
      <c r="W61" s="200">
        <v>24</v>
      </c>
      <c r="X61" s="200">
        <v>53</v>
      </c>
      <c r="Y61" s="200">
        <v>49</v>
      </c>
      <c r="Z61" s="200">
        <v>31</v>
      </c>
      <c r="AA61" s="200">
        <v>20</v>
      </c>
      <c r="AB61" s="200">
        <v>45.4</v>
      </c>
      <c r="AC61" s="245"/>
      <c r="AD61" s="245"/>
      <c r="AE61" s="200"/>
      <c r="AF61" s="238"/>
      <c r="AG61" s="238"/>
    </row>
    <row r="62" spans="1:34">
      <c r="A62" s="238"/>
      <c r="B62" s="239"/>
      <c r="C62" s="200"/>
      <c r="D62" s="200"/>
      <c r="E62" s="200"/>
      <c r="F62" s="200"/>
      <c r="G62" s="200"/>
      <c r="H62" s="200"/>
      <c r="I62" s="200"/>
      <c r="J62" s="200"/>
      <c r="K62" s="200"/>
      <c r="L62" s="238"/>
      <c r="M62" s="238"/>
      <c r="N62" s="200"/>
      <c r="O62" s="200"/>
      <c r="P62" s="200"/>
      <c r="Q62" s="200"/>
      <c r="R62" s="200"/>
      <c r="S62" s="200"/>
      <c r="T62" s="200"/>
      <c r="U62" s="200"/>
      <c r="V62" s="200"/>
      <c r="W62" s="200"/>
      <c r="X62" s="200"/>
      <c r="Y62" s="200"/>
      <c r="Z62" s="200"/>
      <c r="AA62" s="200"/>
      <c r="AB62" s="200"/>
      <c r="AC62" s="245"/>
      <c r="AD62" s="245"/>
      <c r="AE62" s="200"/>
      <c r="AF62" s="238"/>
      <c r="AG62" s="238"/>
    </row>
    <row r="63" spans="1:34">
      <c r="A63" s="238"/>
      <c r="B63" s="239"/>
      <c r="C63" s="200"/>
      <c r="D63" s="200"/>
      <c r="E63" s="200"/>
      <c r="F63" s="200"/>
      <c r="G63" s="200"/>
      <c r="H63" s="200"/>
      <c r="I63" s="200"/>
      <c r="J63" s="200"/>
      <c r="K63" s="200"/>
      <c r="L63" s="238"/>
      <c r="M63" s="238"/>
      <c r="N63" s="200"/>
      <c r="O63" s="200"/>
      <c r="P63" s="200"/>
      <c r="Q63" s="200"/>
      <c r="R63" s="200"/>
      <c r="S63" s="200"/>
      <c r="T63" s="200"/>
      <c r="U63" s="200"/>
      <c r="V63" s="200"/>
      <c r="W63" s="200"/>
      <c r="X63" s="200"/>
      <c r="Y63" s="200"/>
      <c r="Z63" s="200"/>
      <c r="AA63" s="200"/>
      <c r="AB63" s="200"/>
      <c r="AC63" s="245"/>
      <c r="AD63" s="245"/>
      <c r="AE63" s="200"/>
      <c r="AF63" s="238"/>
      <c r="AG63" s="238"/>
    </row>
    <row r="64" spans="1:34">
      <c r="A64" s="238"/>
      <c r="B64" s="238"/>
      <c r="C64" s="200"/>
      <c r="D64" s="200"/>
      <c r="E64" s="200"/>
      <c r="F64" s="200"/>
      <c r="G64" s="200"/>
      <c r="H64" s="200"/>
      <c r="I64" s="200"/>
      <c r="J64" s="200"/>
      <c r="K64" s="200"/>
      <c r="L64" s="238"/>
      <c r="M64" s="238"/>
      <c r="N64" s="200"/>
      <c r="O64" s="200"/>
      <c r="P64" s="200"/>
      <c r="Q64" s="200"/>
      <c r="R64" s="200"/>
      <c r="S64" s="200"/>
      <c r="T64" s="200"/>
      <c r="U64" s="200"/>
      <c r="V64" s="200"/>
      <c r="W64" s="200"/>
      <c r="X64" s="200"/>
      <c r="Y64" s="200"/>
      <c r="Z64" s="200"/>
      <c r="AA64" s="200"/>
      <c r="AB64" s="200"/>
      <c r="AC64" s="245"/>
      <c r="AD64" s="245"/>
      <c r="AE64" s="200"/>
      <c r="AF64" s="238"/>
      <c r="AG64" s="238"/>
    </row>
    <row r="65" spans="1:34">
      <c r="A65" s="238"/>
      <c r="B65" s="238"/>
      <c r="C65" s="200"/>
      <c r="D65" s="200"/>
      <c r="E65" s="200"/>
      <c r="F65" s="200"/>
      <c r="G65" s="200"/>
      <c r="H65" s="200"/>
      <c r="I65" s="200"/>
      <c r="J65" s="200"/>
      <c r="K65" s="200"/>
      <c r="L65" s="238"/>
      <c r="M65" s="238"/>
      <c r="N65" s="200"/>
      <c r="O65" s="200"/>
      <c r="P65" s="200"/>
      <c r="Q65" s="200"/>
      <c r="R65" s="200"/>
      <c r="S65" s="200"/>
      <c r="T65" s="200"/>
      <c r="U65" s="200"/>
      <c r="V65" s="200"/>
      <c r="W65" s="200"/>
      <c r="X65" s="200"/>
      <c r="Y65" s="200"/>
      <c r="Z65" s="200"/>
      <c r="AA65" s="200"/>
      <c r="AB65" s="200"/>
      <c r="AC65" s="245"/>
      <c r="AD65" s="245"/>
      <c r="AE65" s="200"/>
      <c r="AF65" s="238"/>
      <c r="AG65" s="238"/>
    </row>
    <row r="66" spans="1:34">
      <c r="A66" s="238"/>
      <c r="B66" s="238"/>
      <c r="C66" s="200"/>
      <c r="D66" s="200"/>
      <c r="E66" s="200"/>
      <c r="F66" s="200"/>
      <c r="G66" s="200"/>
      <c r="H66" s="200"/>
      <c r="I66" s="200"/>
      <c r="J66" s="200"/>
      <c r="K66" s="200"/>
      <c r="L66" s="238"/>
      <c r="M66" s="238"/>
      <c r="N66" s="200"/>
      <c r="O66" s="200"/>
      <c r="P66" s="200"/>
      <c r="Q66" s="200"/>
      <c r="R66" s="200"/>
      <c r="S66" s="200"/>
      <c r="T66" s="200"/>
      <c r="U66" s="200"/>
      <c r="V66" s="200"/>
      <c r="W66" s="200"/>
      <c r="X66" s="200"/>
      <c r="Y66" s="200"/>
      <c r="Z66" s="200"/>
      <c r="AA66" s="200"/>
      <c r="AB66" s="200"/>
      <c r="AC66" s="245"/>
      <c r="AD66" s="245"/>
      <c r="AE66" s="200"/>
      <c r="AF66" s="238"/>
      <c r="AG66" s="238"/>
    </row>
    <row r="67" spans="1:34">
      <c r="A67" s="238"/>
      <c r="B67" s="238"/>
      <c r="C67" s="200"/>
      <c r="D67" s="200"/>
      <c r="E67" s="200"/>
      <c r="F67" s="200"/>
      <c r="G67" s="200"/>
      <c r="H67" s="200"/>
      <c r="I67" s="200"/>
      <c r="J67" s="200"/>
      <c r="K67" s="200"/>
      <c r="L67" s="238"/>
      <c r="M67" s="238"/>
      <c r="N67" s="200"/>
      <c r="O67" s="200"/>
      <c r="P67" s="200"/>
      <c r="Q67" s="200"/>
      <c r="R67" s="200"/>
      <c r="S67" s="200"/>
      <c r="T67" s="200"/>
      <c r="U67" s="200"/>
      <c r="V67" s="200"/>
      <c r="W67" s="200"/>
      <c r="X67" s="200"/>
      <c r="Y67" s="200"/>
      <c r="Z67" s="200"/>
      <c r="AA67" s="200"/>
      <c r="AB67" s="200"/>
      <c r="AC67" s="245"/>
      <c r="AD67" s="245"/>
      <c r="AE67" s="200"/>
      <c r="AF67" s="238"/>
      <c r="AG67" s="238"/>
    </row>
    <row r="68" spans="1:34" s="131" customFormat="1">
      <c r="A68" s="1101" t="s">
        <v>1122</v>
      </c>
      <c r="B68" s="1102"/>
      <c r="C68" s="1102"/>
      <c r="D68" s="1102"/>
      <c r="E68" s="1102"/>
      <c r="F68" s="1102"/>
      <c r="G68" s="1102"/>
      <c r="H68" s="1102"/>
      <c r="I68" s="1102"/>
      <c r="J68" s="1102"/>
      <c r="K68" s="1102"/>
      <c r="L68" s="1102"/>
      <c r="M68" s="1102"/>
      <c r="N68" s="1102"/>
      <c r="O68" s="1102"/>
      <c r="P68" s="1102"/>
      <c r="Q68" s="1102"/>
      <c r="R68" s="1102"/>
      <c r="S68" s="1102"/>
      <c r="T68" s="1102"/>
      <c r="U68" s="1102"/>
      <c r="V68" s="1102"/>
      <c r="W68" s="1102"/>
      <c r="X68" s="1102"/>
      <c r="Y68" s="1102"/>
      <c r="Z68" s="1102"/>
      <c r="AA68" s="1102"/>
      <c r="AB68" s="1102"/>
      <c r="AC68" s="1102"/>
      <c r="AD68" s="1102"/>
      <c r="AE68" s="1102"/>
      <c r="AF68" s="1102"/>
      <c r="AG68" s="1103"/>
      <c r="AH68" s="133" t="str">
        <f t="shared" si="0"/>
        <v>OK!</v>
      </c>
    </row>
    <row r="69" spans="1:34" ht="27.6">
      <c r="A69" s="238" t="s">
        <v>408</v>
      </c>
      <c r="B69" s="239" t="s">
        <v>1123</v>
      </c>
      <c r="C69" s="200">
        <v>1</v>
      </c>
      <c r="D69" s="200">
        <v>1</v>
      </c>
      <c r="E69" s="200"/>
      <c r="F69" s="200"/>
      <c r="G69" s="200"/>
      <c r="H69" s="200">
        <v>1</v>
      </c>
      <c r="I69" s="200"/>
      <c r="J69" s="200"/>
      <c r="K69" s="200"/>
      <c r="L69" s="238"/>
      <c r="M69" s="238"/>
      <c r="N69" s="200"/>
      <c r="O69" s="200">
        <v>1</v>
      </c>
      <c r="P69" s="200"/>
      <c r="Q69" s="200"/>
      <c r="R69" s="200"/>
      <c r="S69" s="200"/>
      <c r="T69" s="200"/>
      <c r="U69" s="200"/>
      <c r="V69" s="200"/>
      <c r="W69" s="200"/>
      <c r="X69" s="200">
        <v>1</v>
      </c>
      <c r="Y69" s="200">
        <v>1</v>
      </c>
      <c r="Z69" s="200"/>
      <c r="AA69" s="200">
        <v>1</v>
      </c>
      <c r="AB69" s="200">
        <v>1.7</v>
      </c>
      <c r="AC69" s="245">
        <f>0.6*1.7</f>
        <v>1.02</v>
      </c>
      <c r="AD69" s="245"/>
      <c r="AE69" s="200"/>
      <c r="AF69" s="200">
        <v>17.963999999999999</v>
      </c>
      <c r="AG69" s="200"/>
      <c r="AH69" s="133" t="str">
        <f t="shared" si="0"/>
        <v>OK!</v>
      </c>
    </row>
    <row r="70" spans="1:34" ht="27.6">
      <c r="A70" s="238"/>
      <c r="B70" s="239" t="s">
        <v>1124</v>
      </c>
      <c r="C70" s="200">
        <v>1</v>
      </c>
      <c r="D70" s="200">
        <v>1</v>
      </c>
      <c r="E70" s="200"/>
      <c r="F70" s="200"/>
      <c r="G70" s="200"/>
      <c r="H70" s="200">
        <v>1</v>
      </c>
      <c r="I70" s="200"/>
      <c r="J70" s="200"/>
      <c r="K70" s="200"/>
      <c r="L70" s="238"/>
      <c r="M70" s="238"/>
      <c r="N70" s="200"/>
      <c r="O70" s="200">
        <v>1</v>
      </c>
      <c r="P70" s="200"/>
      <c r="Q70" s="200"/>
      <c r="R70" s="200"/>
      <c r="S70" s="200"/>
      <c r="T70" s="200"/>
      <c r="U70" s="200"/>
      <c r="V70" s="200"/>
      <c r="W70" s="200"/>
      <c r="X70" s="200">
        <v>1</v>
      </c>
      <c r="Y70" s="200">
        <v>1</v>
      </c>
      <c r="Z70" s="200"/>
      <c r="AA70" s="200">
        <v>1</v>
      </c>
      <c r="AB70" s="200">
        <v>1.7</v>
      </c>
      <c r="AC70" s="245">
        <f>0.6*1.7</f>
        <v>1.02</v>
      </c>
      <c r="AD70" s="245"/>
      <c r="AE70" s="200"/>
      <c r="AF70" s="238"/>
      <c r="AG70" s="238"/>
      <c r="AH70" s="133" t="str">
        <f t="shared" si="0"/>
        <v>OK!</v>
      </c>
    </row>
    <row r="71" spans="1:34" ht="41.4">
      <c r="A71" s="238" t="s">
        <v>408</v>
      </c>
      <c r="B71" s="239" t="s">
        <v>1121</v>
      </c>
      <c r="C71" s="200">
        <v>1</v>
      </c>
      <c r="D71" s="200">
        <v>1</v>
      </c>
      <c r="E71" s="200"/>
      <c r="F71" s="200"/>
      <c r="G71" s="200"/>
      <c r="H71" s="200"/>
      <c r="I71" s="200">
        <v>1</v>
      </c>
      <c r="J71" s="200"/>
      <c r="K71" s="200"/>
      <c r="L71" s="238"/>
      <c r="M71" s="238"/>
      <c r="N71" s="200"/>
      <c r="O71" s="200">
        <v>1</v>
      </c>
      <c r="P71" s="200"/>
      <c r="Q71" s="200"/>
      <c r="R71" s="200">
        <v>2</v>
      </c>
      <c r="S71" s="200"/>
      <c r="T71" s="200"/>
      <c r="U71" s="200"/>
      <c r="V71" s="200"/>
      <c r="W71" s="200"/>
      <c r="X71" s="200">
        <v>1</v>
      </c>
      <c r="Y71" s="200">
        <v>1</v>
      </c>
      <c r="Z71" s="200"/>
      <c r="AA71" s="200">
        <v>1</v>
      </c>
      <c r="AB71" s="200">
        <v>1.6</v>
      </c>
      <c r="AC71" s="245">
        <f>0.6*1.6</f>
        <v>0.96</v>
      </c>
      <c r="AD71" s="245"/>
      <c r="AE71" s="200"/>
      <c r="AF71" s="238"/>
      <c r="AG71" s="238"/>
      <c r="AH71" s="133" t="str">
        <f t="shared" si="0"/>
        <v>OK!</v>
      </c>
    </row>
    <row r="72" spans="1:34" ht="41.4">
      <c r="A72" s="238"/>
      <c r="B72" s="239" t="s">
        <v>1120</v>
      </c>
      <c r="C72" s="200">
        <v>1</v>
      </c>
      <c r="D72" s="200">
        <v>1</v>
      </c>
      <c r="E72" s="200"/>
      <c r="F72" s="200"/>
      <c r="G72" s="200"/>
      <c r="H72" s="200"/>
      <c r="I72" s="200">
        <v>1</v>
      </c>
      <c r="J72" s="200"/>
      <c r="K72" s="200"/>
      <c r="L72" s="238"/>
      <c r="M72" s="238"/>
      <c r="N72" s="200"/>
      <c r="O72" s="200">
        <v>1</v>
      </c>
      <c r="P72" s="200"/>
      <c r="Q72" s="200"/>
      <c r="R72" s="200">
        <v>2</v>
      </c>
      <c r="S72" s="200"/>
      <c r="T72" s="200"/>
      <c r="U72" s="200"/>
      <c r="V72" s="200"/>
      <c r="W72" s="200"/>
      <c r="X72" s="200">
        <v>1</v>
      </c>
      <c r="Y72" s="200">
        <v>1</v>
      </c>
      <c r="Z72" s="200"/>
      <c r="AA72" s="200">
        <v>1</v>
      </c>
      <c r="AB72" s="200">
        <v>1.6</v>
      </c>
      <c r="AC72" s="245">
        <f>0.6*1.6</f>
        <v>0.96</v>
      </c>
      <c r="AD72" s="245"/>
      <c r="AE72" s="200"/>
      <c r="AF72" s="238"/>
      <c r="AG72" s="238"/>
      <c r="AH72" s="133" t="str">
        <f t="shared" ref="AH72:AH138" si="2">IF((F72+H72+I72+J72+K72+L72+M72)=(N72+O72),"OK!","Falta torneiras!")</f>
        <v>OK!</v>
      </c>
    </row>
    <row r="73" spans="1:34">
      <c r="A73" s="238" t="s">
        <v>477</v>
      </c>
      <c r="B73" s="238" t="s">
        <v>428</v>
      </c>
      <c r="C73" s="200">
        <v>1</v>
      </c>
      <c r="D73" s="200">
        <v>1</v>
      </c>
      <c r="E73" s="200"/>
      <c r="F73" s="200"/>
      <c r="G73" s="200">
        <v>1</v>
      </c>
      <c r="H73" s="200">
        <v>1</v>
      </c>
      <c r="I73" s="200"/>
      <c r="J73" s="200">
        <v>1</v>
      </c>
      <c r="K73" s="200"/>
      <c r="L73" s="238">
        <v>1</v>
      </c>
      <c r="M73" s="238"/>
      <c r="N73" s="200">
        <v>1</v>
      </c>
      <c r="O73" s="200">
        <v>2</v>
      </c>
      <c r="P73" s="200"/>
      <c r="Q73" s="200">
        <v>1</v>
      </c>
      <c r="R73" s="200">
        <v>1</v>
      </c>
      <c r="S73" s="200">
        <v>1</v>
      </c>
      <c r="T73" s="200"/>
      <c r="U73" s="200"/>
      <c r="V73" s="200"/>
      <c r="W73" s="200">
        <v>1</v>
      </c>
      <c r="X73" s="200">
        <v>2</v>
      </c>
      <c r="Y73" s="200">
        <v>2</v>
      </c>
      <c r="Z73" s="200"/>
      <c r="AA73" s="200">
        <v>1</v>
      </c>
      <c r="AB73" s="200">
        <v>0.9</v>
      </c>
      <c r="AC73" s="245">
        <f>0.6*0.9+0.6*1.98</f>
        <v>1.728</v>
      </c>
      <c r="AD73" s="245"/>
      <c r="AE73" s="200"/>
      <c r="AF73" s="238"/>
      <c r="AG73" s="238"/>
      <c r="AH73" s="133" t="str">
        <f t="shared" si="2"/>
        <v>OK!</v>
      </c>
    </row>
    <row r="74" spans="1:34">
      <c r="A74" s="238" t="s">
        <v>478</v>
      </c>
      <c r="B74" s="238" t="s">
        <v>428</v>
      </c>
      <c r="C74" s="200">
        <v>1</v>
      </c>
      <c r="D74" s="200">
        <v>1</v>
      </c>
      <c r="E74" s="200"/>
      <c r="F74" s="200"/>
      <c r="G74" s="200">
        <v>1</v>
      </c>
      <c r="H74" s="200">
        <v>1</v>
      </c>
      <c r="I74" s="200"/>
      <c r="J74" s="200">
        <v>1</v>
      </c>
      <c r="K74" s="200"/>
      <c r="L74" s="238">
        <v>1</v>
      </c>
      <c r="M74" s="238"/>
      <c r="N74" s="200">
        <v>1</v>
      </c>
      <c r="O74" s="200">
        <v>2</v>
      </c>
      <c r="P74" s="200"/>
      <c r="Q74" s="200">
        <v>1</v>
      </c>
      <c r="R74" s="200">
        <v>1</v>
      </c>
      <c r="S74" s="200">
        <v>1</v>
      </c>
      <c r="T74" s="200"/>
      <c r="U74" s="200"/>
      <c r="V74" s="200"/>
      <c r="W74" s="200">
        <v>1</v>
      </c>
      <c r="X74" s="200">
        <v>2</v>
      </c>
      <c r="Y74" s="200">
        <v>2</v>
      </c>
      <c r="Z74" s="200"/>
      <c r="AA74" s="200">
        <v>1</v>
      </c>
      <c r="AB74" s="200">
        <v>0.9</v>
      </c>
      <c r="AC74" s="245">
        <f t="shared" ref="AC74:AC80" si="3">0.6*0.9+0.6*1.98</f>
        <v>1.728</v>
      </c>
      <c r="AD74" s="245"/>
      <c r="AE74" s="200"/>
      <c r="AF74" s="238"/>
      <c r="AG74" s="238"/>
      <c r="AH74" s="133" t="str">
        <f t="shared" si="2"/>
        <v>OK!</v>
      </c>
    </row>
    <row r="75" spans="1:34">
      <c r="A75" s="238" t="s">
        <v>479</v>
      </c>
      <c r="B75" s="238" t="s">
        <v>428</v>
      </c>
      <c r="C75" s="200">
        <v>1</v>
      </c>
      <c r="D75" s="200">
        <v>1</v>
      </c>
      <c r="E75" s="200"/>
      <c r="F75" s="200"/>
      <c r="G75" s="200">
        <v>1</v>
      </c>
      <c r="H75" s="200">
        <v>1</v>
      </c>
      <c r="I75" s="200"/>
      <c r="J75" s="200">
        <v>1</v>
      </c>
      <c r="K75" s="200"/>
      <c r="L75" s="238">
        <v>1</v>
      </c>
      <c r="M75" s="238"/>
      <c r="N75" s="200">
        <v>1</v>
      </c>
      <c r="O75" s="200">
        <v>2</v>
      </c>
      <c r="P75" s="200"/>
      <c r="Q75" s="200">
        <v>1</v>
      </c>
      <c r="R75" s="200">
        <v>1</v>
      </c>
      <c r="S75" s="200">
        <v>1</v>
      </c>
      <c r="T75" s="200"/>
      <c r="U75" s="200"/>
      <c r="V75" s="200"/>
      <c r="W75" s="200">
        <v>1</v>
      </c>
      <c r="X75" s="200">
        <v>2</v>
      </c>
      <c r="Y75" s="200">
        <v>2</v>
      </c>
      <c r="Z75" s="200"/>
      <c r="AA75" s="200">
        <v>1</v>
      </c>
      <c r="AB75" s="200">
        <v>0.9</v>
      </c>
      <c r="AC75" s="245">
        <f t="shared" si="3"/>
        <v>1.728</v>
      </c>
      <c r="AD75" s="245"/>
      <c r="AE75" s="200"/>
      <c r="AF75" s="238"/>
      <c r="AG75" s="238"/>
      <c r="AH75" s="133" t="str">
        <f t="shared" si="2"/>
        <v>OK!</v>
      </c>
    </row>
    <row r="76" spans="1:34">
      <c r="A76" s="238" t="s">
        <v>480</v>
      </c>
      <c r="B76" s="238" t="s">
        <v>428</v>
      </c>
      <c r="C76" s="200">
        <v>1</v>
      </c>
      <c r="D76" s="200">
        <v>1</v>
      </c>
      <c r="E76" s="200"/>
      <c r="F76" s="200"/>
      <c r="G76" s="200">
        <v>1</v>
      </c>
      <c r="H76" s="200">
        <v>1</v>
      </c>
      <c r="I76" s="200"/>
      <c r="J76" s="200">
        <v>1</v>
      </c>
      <c r="K76" s="200"/>
      <c r="L76" s="238">
        <v>1</v>
      </c>
      <c r="M76" s="238"/>
      <c r="N76" s="200">
        <v>1</v>
      </c>
      <c r="O76" s="200">
        <v>2</v>
      </c>
      <c r="P76" s="200"/>
      <c r="Q76" s="200">
        <v>1</v>
      </c>
      <c r="R76" s="200">
        <v>1</v>
      </c>
      <c r="S76" s="200">
        <v>1</v>
      </c>
      <c r="T76" s="200"/>
      <c r="U76" s="200"/>
      <c r="V76" s="200"/>
      <c r="W76" s="200">
        <v>1</v>
      </c>
      <c r="X76" s="200">
        <v>2</v>
      </c>
      <c r="Y76" s="200">
        <v>2</v>
      </c>
      <c r="Z76" s="200"/>
      <c r="AA76" s="200">
        <v>1</v>
      </c>
      <c r="AB76" s="200">
        <v>0.9</v>
      </c>
      <c r="AC76" s="245">
        <f t="shared" si="3"/>
        <v>1.728</v>
      </c>
      <c r="AD76" s="245"/>
      <c r="AE76" s="200"/>
      <c r="AF76" s="238"/>
      <c r="AG76" s="238"/>
      <c r="AH76" s="133" t="str">
        <f t="shared" si="2"/>
        <v>OK!</v>
      </c>
    </row>
    <row r="77" spans="1:34">
      <c r="A77" s="238" t="s">
        <v>488</v>
      </c>
      <c r="B77" s="238" t="s">
        <v>428</v>
      </c>
      <c r="C77" s="200">
        <v>1</v>
      </c>
      <c r="D77" s="200">
        <v>1</v>
      </c>
      <c r="E77" s="200"/>
      <c r="F77" s="200"/>
      <c r="G77" s="200">
        <v>1</v>
      </c>
      <c r="H77" s="200">
        <v>1</v>
      </c>
      <c r="I77" s="200"/>
      <c r="J77" s="200">
        <v>1</v>
      </c>
      <c r="K77" s="200"/>
      <c r="L77" s="238">
        <v>1</v>
      </c>
      <c r="M77" s="238"/>
      <c r="N77" s="200">
        <v>1</v>
      </c>
      <c r="O77" s="200">
        <v>2</v>
      </c>
      <c r="P77" s="200"/>
      <c r="Q77" s="200">
        <v>1</v>
      </c>
      <c r="R77" s="200">
        <v>1</v>
      </c>
      <c r="S77" s="200">
        <v>1</v>
      </c>
      <c r="T77" s="200"/>
      <c r="U77" s="200"/>
      <c r="V77" s="200"/>
      <c r="W77" s="200">
        <v>1</v>
      </c>
      <c r="X77" s="200">
        <v>2</v>
      </c>
      <c r="Y77" s="200">
        <v>2</v>
      </c>
      <c r="Z77" s="200"/>
      <c r="AA77" s="200">
        <v>1</v>
      </c>
      <c r="AB77" s="200">
        <v>0.9</v>
      </c>
      <c r="AC77" s="245">
        <f t="shared" si="3"/>
        <v>1.728</v>
      </c>
      <c r="AD77" s="245"/>
      <c r="AE77" s="200"/>
      <c r="AF77" s="238"/>
      <c r="AG77" s="238"/>
      <c r="AH77" s="133" t="str">
        <f t="shared" si="2"/>
        <v>OK!</v>
      </c>
    </row>
    <row r="78" spans="1:34">
      <c r="A78" s="238" t="s">
        <v>489</v>
      </c>
      <c r="B78" s="238" t="s">
        <v>428</v>
      </c>
      <c r="C78" s="200">
        <v>1</v>
      </c>
      <c r="D78" s="200">
        <v>1</v>
      </c>
      <c r="E78" s="200"/>
      <c r="F78" s="200"/>
      <c r="G78" s="200">
        <v>1</v>
      </c>
      <c r="H78" s="200">
        <v>1</v>
      </c>
      <c r="I78" s="200"/>
      <c r="J78" s="200">
        <v>1</v>
      </c>
      <c r="K78" s="200"/>
      <c r="L78" s="238">
        <v>1</v>
      </c>
      <c r="M78" s="238"/>
      <c r="N78" s="200">
        <v>1</v>
      </c>
      <c r="O78" s="200">
        <v>2</v>
      </c>
      <c r="P78" s="200"/>
      <c r="Q78" s="200">
        <v>1</v>
      </c>
      <c r="R78" s="200">
        <v>1</v>
      </c>
      <c r="S78" s="200">
        <v>1</v>
      </c>
      <c r="T78" s="200"/>
      <c r="U78" s="200"/>
      <c r="V78" s="200"/>
      <c r="W78" s="200">
        <v>1</v>
      </c>
      <c r="X78" s="200">
        <v>2</v>
      </c>
      <c r="Y78" s="200">
        <v>2</v>
      </c>
      <c r="Z78" s="200"/>
      <c r="AA78" s="200">
        <v>1</v>
      </c>
      <c r="AB78" s="200">
        <v>0.9</v>
      </c>
      <c r="AC78" s="245">
        <f t="shared" si="3"/>
        <v>1.728</v>
      </c>
      <c r="AD78" s="245"/>
      <c r="AE78" s="200"/>
      <c r="AF78" s="238"/>
      <c r="AG78" s="238"/>
      <c r="AH78" s="133" t="str">
        <f t="shared" si="2"/>
        <v>OK!</v>
      </c>
    </row>
    <row r="79" spans="1:34">
      <c r="A79" s="238" t="s">
        <v>490</v>
      </c>
      <c r="B79" s="238" t="s">
        <v>428</v>
      </c>
      <c r="C79" s="200">
        <v>1</v>
      </c>
      <c r="D79" s="200">
        <v>1</v>
      </c>
      <c r="E79" s="200"/>
      <c r="F79" s="200"/>
      <c r="G79" s="200">
        <v>1</v>
      </c>
      <c r="H79" s="200">
        <v>1</v>
      </c>
      <c r="I79" s="200"/>
      <c r="J79" s="200">
        <v>1</v>
      </c>
      <c r="K79" s="200"/>
      <c r="L79" s="238">
        <v>1</v>
      </c>
      <c r="M79" s="238"/>
      <c r="N79" s="200">
        <v>1</v>
      </c>
      <c r="O79" s="200">
        <v>2</v>
      </c>
      <c r="P79" s="200"/>
      <c r="Q79" s="200">
        <v>1</v>
      </c>
      <c r="R79" s="200">
        <v>1</v>
      </c>
      <c r="S79" s="200">
        <v>1</v>
      </c>
      <c r="T79" s="200"/>
      <c r="U79" s="200"/>
      <c r="V79" s="200"/>
      <c r="W79" s="200">
        <v>1</v>
      </c>
      <c r="X79" s="200">
        <v>2</v>
      </c>
      <c r="Y79" s="200">
        <v>2</v>
      </c>
      <c r="Z79" s="200"/>
      <c r="AA79" s="200">
        <v>1</v>
      </c>
      <c r="AB79" s="200">
        <v>0.9</v>
      </c>
      <c r="AC79" s="245">
        <f t="shared" si="3"/>
        <v>1.728</v>
      </c>
      <c r="AD79" s="245"/>
      <c r="AE79" s="200"/>
      <c r="AF79" s="238"/>
      <c r="AG79" s="238"/>
      <c r="AH79" s="133" t="str">
        <f t="shared" si="2"/>
        <v>OK!</v>
      </c>
    </row>
    <row r="80" spans="1:34">
      <c r="A80" s="238" t="s">
        <v>491</v>
      </c>
      <c r="B80" s="238" t="s">
        <v>428</v>
      </c>
      <c r="C80" s="200">
        <v>1</v>
      </c>
      <c r="D80" s="200">
        <v>1</v>
      </c>
      <c r="E80" s="200"/>
      <c r="F80" s="200"/>
      <c r="G80" s="200">
        <v>1</v>
      </c>
      <c r="H80" s="200">
        <v>1</v>
      </c>
      <c r="I80" s="200"/>
      <c r="J80" s="200">
        <v>1</v>
      </c>
      <c r="K80" s="200"/>
      <c r="L80" s="238">
        <v>1</v>
      </c>
      <c r="M80" s="238"/>
      <c r="N80" s="200">
        <v>1</v>
      </c>
      <c r="O80" s="200">
        <v>2</v>
      </c>
      <c r="P80" s="200"/>
      <c r="Q80" s="200">
        <v>1</v>
      </c>
      <c r="R80" s="200">
        <v>1</v>
      </c>
      <c r="S80" s="200">
        <v>1</v>
      </c>
      <c r="T80" s="200"/>
      <c r="U80" s="200"/>
      <c r="V80" s="200"/>
      <c r="W80" s="200">
        <v>1</v>
      </c>
      <c r="X80" s="200">
        <v>2</v>
      </c>
      <c r="Y80" s="200">
        <v>2</v>
      </c>
      <c r="Z80" s="200"/>
      <c r="AA80" s="200">
        <v>1</v>
      </c>
      <c r="AB80" s="200">
        <v>0.9</v>
      </c>
      <c r="AC80" s="245">
        <f t="shared" si="3"/>
        <v>1.728</v>
      </c>
      <c r="AD80" s="245"/>
      <c r="AE80" s="200"/>
      <c r="AF80" s="238"/>
      <c r="AG80" s="238"/>
      <c r="AH80" s="133" t="str">
        <f t="shared" si="2"/>
        <v>OK!</v>
      </c>
    </row>
    <row r="81" spans="1:34">
      <c r="A81" s="238" t="s">
        <v>1125</v>
      </c>
      <c r="B81" s="238"/>
      <c r="C81" s="240"/>
      <c r="D81" s="200"/>
      <c r="E81" s="200"/>
      <c r="F81" s="200">
        <v>2</v>
      </c>
      <c r="G81" s="200"/>
      <c r="H81" s="200"/>
      <c r="I81" s="200"/>
      <c r="J81" s="200"/>
      <c r="K81" s="200"/>
      <c r="L81" s="238"/>
      <c r="M81" s="238"/>
      <c r="N81" s="200">
        <v>2</v>
      </c>
      <c r="O81" s="200"/>
      <c r="P81" s="200"/>
      <c r="Q81" s="200"/>
      <c r="R81" s="200"/>
      <c r="S81" s="200"/>
      <c r="T81" s="200"/>
      <c r="U81" s="200"/>
      <c r="V81" s="200"/>
      <c r="W81" s="200"/>
      <c r="X81" s="200"/>
      <c r="Y81" s="200"/>
      <c r="Z81" s="200"/>
      <c r="AA81" s="200"/>
      <c r="AB81" s="200"/>
      <c r="AC81" s="245"/>
      <c r="AD81" s="245">
        <f>0.6*3.18*2</f>
        <v>3.8159999999999998</v>
      </c>
      <c r="AE81" s="200"/>
      <c r="AF81" s="238"/>
      <c r="AG81" s="238"/>
      <c r="AH81" s="133" t="str">
        <f t="shared" si="2"/>
        <v>OK!</v>
      </c>
    </row>
    <row r="82" spans="1:34">
      <c r="A82" s="238" t="s">
        <v>472</v>
      </c>
      <c r="B82" s="238"/>
      <c r="C82" s="200"/>
      <c r="D82" s="200"/>
      <c r="E82" s="200"/>
      <c r="F82" s="200">
        <v>1</v>
      </c>
      <c r="G82" s="200"/>
      <c r="H82" s="200"/>
      <c r="I82" s="200"/>
      <c r="J82" s="200"/>
      <c r="K82" s="200"/>
      <c r="L82" s="238">
        <v>1</v>
      </c>
      <c r="M82" s="238"/>
      <c r="N82" s="200">
        <v>2</v>
      </c>
      <c r="O82" s="200"/>
      <c r="P82" s="200"/>
      <c r="Q82" s="200"/>
      <c r="R82" s="200"/>
      <c r="S82" s="200"/>
      <c r="T82" s="200"/>
      <c r="U82" s="200"/>
      <c r="V82" s="200"/>
      <c r="W82" s="200"/>
      <c r="X82" s="200"/>
      <c r="Y82" s="200"/>
      <c r="Z82" s="200"/>
      <c r="AA82" s="200"/>
      <c r="AB82" s="200"/>
      <c r="AC82" s="245"/>
      <c r="AD82" s="245">
        <f>0.6*3.18</f>
        <v>1.9079999999999999</v>
      </c>
      <c r="AE82" s="200"/>
      <c r="AF82" s="238"/>
      <c r="AG82" s="238"/>
      <c r="AH82" s="133" t="str">
        <f t="shared" si="2"/>
        <v>OK!</v>
      </c>
    </row>
    <row r="83" spans="1:34">
      <c r="A83" s="238" t="s">
        <v>1126</v>
      </c>
      <c r="B83" s="238"/>
      <c r="C83" s="200"/>
      <c r="D83" s="200"/>
      <c r="E83" s="200"/>
      <c r="F83" s="200">
        <v>1</v>
      </c>
      <c r="G83" s="200"/>
      <c r="H83" s="200"/>
      <c r="I83" s="200"/>
      <c r="J83" s="200"/>
      <c r="K83" s="200"/>
      <c r="L83" s="238"/>
      <c r="M83" s="238"/>
      <c r="N83" s="200">
        <v>1</v>
      </c>
      <c r="O83" s="200"/>
      <c r="P83" s="200"/>
      <c r="Q83" s="200"/>
      <c r="R83" s="200"/>
      <c r="S83" s="200"/>
      <c r="T83" s="200"/>
      <c r="U83" s="200"/>
      <c r="V83" s="200"/>
      <c r="W83" s="200"/>
      <c r="X83" s="200"/>
      <c r="Y83" s="200"/>
      <c r="Z83" s="200"/>
      <c r="AA83" s="200"/>
      <c r="AB83" s="200"/>
      <c r="AC83" s="245"/>
      <c r="AD83" s="245">
        <f>0.6*2.5</f>
        <v>1.5</v>
      </c>
      <c r="AE83" s="200"/>
      <c r="AF83" s="238"/>
      <c r="AG83" s="238"/>
      <c r="AH83" s="133" t="str">
        <f t="shared" si="2"/>
        <v>OK!</v>
      </c>
    </row>
    <row r="84" spans="1:34">
      <c r="A84" s="238" t="s">
        <v>1127</v>
      </c>
      <c r="B84" s="238"/>
      <c r="C84" s="200">
        <v>2</v>
      </c>
      <c r="D84" s="200">
        <v>2</v>
      </c>
      <c r="E84" s="200">
        <v>2</v>
      </c>
      <c r="F84" s="200"/>
      <c r="G84" s="200"/>
      <c r="H84" s="200">
        <v>2</v>
      </c>
      <c r="I84" s="200"/>
      <c r="J84" s="200"/>
      <c r="K84" s="200"/>
      <c r="L84" s="238"/>
      <c r="M84" s="238"/>
      <c r="N84" s="200"/>
      <c r="O84" s="200">
        <v>2</v>
      </c>
      <c r="P84" s="200"/>
      <c r="Q84" s="200">
        <v>2</v>
      </c>
      <c r="R84" s="200"/>
      <c r="S84" s="200"/>
      <c r="T84" s="200"/>
      <c r="U84" s="200"/>
      <c r="V84" s="200"/>
      <c r="W84" s="200">
        <v>2</v>
      </c>
      <c r="X84" s="200">
        <v>2</v>
      </c>
      <c r="Y84" s="200">
        <v>1</v>
      </c>
      <c r="Z84" s="200"/>
      <c r="AA84" s="200">
        <v>2</v>
      </c>
      <c r="AB84" s="200">
        <v>2</v>
      </c>
      <c r="AC84" s="245">
        <f>2.15*0.6</f>
        <v>1.2899999999999998</v>
      </c>
      <c r="AD84" s="245"/>
      <c r="AE84" s="200">
        <f>0.47*1.6+1*1.6+1.33*2*5+0.53*2*4+0.1*2*4</f>
        <v>20.692000000000004</v>
      </c>
      <c r="AF84" s="238"/>
      <c r="AG84" s="238"/>
      <c r="AH84" s="133" t="str">
        <f t="shared" si="2"/>
        <v>OK!</v>
      </c>
    </row>
    <row r="85" spans="1:34">
      <c r="A85" s="238" t="s">
        <v>1128</v>
      </c>
      <c r="B85" s="238"/>
      <c r="C85" s="200">
        <v>2</v>
      </c>
      <c r="D85" s="200">
        <v>2</v>
      </c>
      <c r="E85" s="200"/>
      <c r="F85" s="200"/>
      <c r="G85" s="200"/>
      <c r="H85" s="200">
        <v>2</v>
      </c>
      <c r="I85" s="200"/>
      <c r="J85" s="200"/>
      <c r="K85" s="200"/>
      <c r="L85" s="238"/>
      <c r="M85" s="238"/>
      <c r="N85" s="200"/>
      <c r="O85" s="200">
        <v>2</v>
      </c>
      <c r="P85" s="200"/>
      <c r="Q85" s="200">
        <v>2</v>
      </c>
      <c r="R85" s="200"/>
      <c r="S85" s="200"/>
      <c r="T85" s="200"/>
      <c r="U85" s="200"/>
      <c r="V85" s="200"/>
      <c r="W85" s="200">
        <v>2</v>
      </c>
      <c r="X85" s="200">
        <v>2</v>
      </c>
      <c r="Y85" s="200">
        <v>1</v>
      </c>
      <c r="Z85" s="200"/>
      <c r="AA85" s="200">
        <v>2</v>
      </c>
      <c r="AB85" s="200">
        <v>2</v>
      </c>
      <c r="AC85" s="245">
        <f>2.15*0.6</f>
        <v>1.2899999999999998</v>
      </c>
      <c r="AD85" s="245"/>
      <c r="AE85" s="200">
        <f>1.33*2*5+0.53*2*4+0.1*2*4</f>
        <v>18.34</v>
      </c>
      <c r="AF85" s="238"/>
      <c r="AG85" s="238"/>
      <c r="AH85" s="133" t="str">
        <f t="shared" si="2"/>
        <v>OK!</v>
      </c>
    </row>
    <row r="86" spans="1:34">
      <c r="A86" s="238" t="s">
        <v>407</v>
      </c>
      <c r="B86" s="238"/>
      <c r="C86" s="200"/>
      <c r="D86" s="200"/>
      <c r="E86" s="200"/>
      <c r="F86" s="200"/>
      <c r="G86" s="200"/>
      <c r="H86" s="200"/>
      <c r="I86" s="200"/>
      <c r="J86" s="200"/>
      <c r="K86" s="200"/>
      <c r="L86" s="238"/>
      <c r="M86" s="238"/>
      <c r="N86" s="200"/>
      <c r="O86" s="200"/>
      <c r="P86" s="200"/>
      <c r="Q86" s="200"/>
      <c r="R86" s="200"/>
      <c r="S86" s="200"/>
      <c r="T86" s="200"/>
      <c r="U86" s="200"/>
      <c r="V86" s="200"/>
      <c r="W86" s="200"/>
      <c r="X86" s="200"/>
      <c r="Y86" s="200"/>
      <c r="Z86" s="200"/>
      <c r="AA86" s="200"/>
      <c r="AB86" s="200"/>
      <c r="AC86" s="245">
        <f>0.6*3.38+0.6*2.35</f>
        <v>3.4379999999999997</v>
      </c>
      <c r="AD86" s="245"/>
      <c r="AE86" s="200"/>
      <c r="AF86" s="238"/>
      <c r="AG86" s="238"/>
      <c r="AH86" s="133" t="str">
        <f t="shared" si="2"/>
        <v>OK!</v>
      </c>
    </row>
    <row r="87" spans="1:34">
      <c r="A87" s="238" t="s">
        <v>1129</v>
      </c>
      <c r="B87" s="238"/>
      <c r="C87" s="200"/>
      <c r="D87" s="200"/>
      <c r="E87" s="200"/>
      <c r="F87" s="200"/>
      <c r="G87" s="200"/>
      <c r="H87" s="200"/>
      <c r="I87" s="200"/>
      <c r="J87" s="200"/>
      <c r="K87" s="200"/>
      <c r="L87" s="238"/>
      <c r="M87" s="238"/>
      <c r="N87" s="200"/>
      <c r="O87" s="200"/>
      <c r="P87" s="200"/>
      <c r="Q87" s="200"/>
      <c r="R87" s="200"/>
      <c r="S87" s="200"/>
      <c r="T87" s="200"/>
      <c r="U87" s="200"/>
      <c r="V87" s="200"/>
      <c r="W87" s="200"/>
      <c r="X87" s="200"/>
      <c r="Y87" s="200"/>
      <c r="Z87" s="200"/>
      <c r="AA87" s="200"/>
      <c r="AB87" s="200"/>
      <c r="AC87" s="245">
        <f>0.6*3.66</f>
        <v>2.1960000000000002</v>
      </c>
      <c r="AD87" s="245"/>
      <c r="AE87" s="200"/>
      <c r="AF87" s="238"/>
      <c r="AG87" s="238"/>
      <c r="AH87" s="133" t="str">
        <f t="shared" si="2"/>
        <v>OK!</v>
      </c>
    </row>
    <row r="88" spans="1:34">
      <c r="A88" s="238" t="s">
        <v>475</v>
      </c>
      <c r="B88" s="238"/>
      <c r="C88" s="200"/>
      <c r="D88" s="200"/>
      <c r="E88" s="200"/>
      <c r="F88" s="200"/>
      <c r="G88" s="200"/>
      <c r="H88" s="200"/>
      <c r="I88" s="200"/>
      <c r="J88" s="200"/>
      <c r="K88" s="200"/>
      <c r="L88" s="238"/>
      <c r="M88" s="238"/>
      <c r="N88" s="200"/>
      <c r="O88" s="200"/>
      <c r="P88" s="200">
        <v>9</v>
      </c>
      <c r="Q88" s="200"/>
      <c r="R88" s="200"/>
      <c r="S88" s="200"/>
      <c r="T88" s="200"/>
      <c r="U88" s="200"/>
      <c r="V88" s="200"/>
      <c r="W88" s="200"/>
      <c r="X88" s="200"/>
      <c r="Y88" s="200"/>
      <c r="Z88" s="200"/>
      <c r="AA88" s="200"/>
      <c r="AB88" s="200"/>
      <c r="AC88" s="245"/>
      <c r="AD88" s="245"/>
      <c r="AE88" s="200"/>
      <c r="AF88" s="238"/>
      <c r="AG88" s="238"/>
      <c r="AH88" s="133" t="str">
        <f t="shared" si="2"/>
        <v>OK!</v>
      </c>
    </row>
    <row r="89" spans="1:34">
      <c r="A89" s="238"/>
      <c r="B89" s="238"/>
      <c r="C89" s="238"/>
      <c r="D89" s="238"/>
      <c r="E89" s="238"/>
      <c r="F89" s="238"/>
      <c r="G89" s="238"/>
      <c r="H89" s="238"/>
      <c r="I89" s="238"/>
      <c r="J89" s="238"/>
      <c r="K89" s="238"/>
      <c r="L89" s="238"/>
      <c r="M89" s="238"/>
      <c r="N89" s="238"/>
      <c r="O89" s="238"/>
      <c r="P89" s="238"/>
      <c r="Q89" s="238"/>
      <c r="R89" s="238"/>
      <c r="S89" s="238"/>
      <c r="T89" s="238"/>
      <c r="U89" s="238"/>
      <c r="V89" s="238"/>
      <c r="W89" s="238"/>
      <c r="X89" s="238"/>
      <c r="Y89" s="238"/>
      <c r="Z89" s="238"/>
      <c r="AA89" s="238"/>
      <c r="AB89" s="238"/>
      <c r="AC89" s="246"/>
      <c r="AD89" s="246"/>
      <c r="AE89" s="238"/>
      <c r="AF89" s="238"/>
      <c r="AG89" s="238"/>
      <c r="AH89" s="133" t="str">
        <f t="shared" si="2"/>
        <v>OK!</v>
      </c>
    </row>
    <row r="90" spans="1:34" s="131" customFormat="1">
      <c r="A90" s="1101" t="s">
        <v>1130</v>
      </c>
      <c r="B90" s="1102"/>
      <c r="C90" s="1102"/>
      <c r="D90" s="1102"/>
      <c r="E90" s="1102"/>
      <c r="F90" s="1102"/>
      <c r="G90" s="1102"/>
      <c r="H90" s="1102"/>
      <c r="I90" s="1102"/>
      <c r="J90" s="1102"/>
      <c r="K90" s="1102"/>
      <c r="L90" s="1102"/>
      <c r="M90" s="1102"/>
      <c r="N90" s="1102"/>
      <c r="O90" s="1102"/>
      <c r="P90" s="1102"/>
      <c r="Q90" s="1102"/>
      <c r="R90" s="1102"/>
      <c r="S90" s="1102"/>
      <c r="T90" s="1102"/>
      <c r="U90" s="1102"/>
      <c r="V90" s="1102"/>
      <c r="W90" s="1102"/>
      <c r="X90" s="1102"/>
      <c r="Y90" s="1102"/>
      <c r="Z90" s="1102"/>
      <c r="AA90" s="1102"/>
      <c r="AB90" s="1102"/>
      <c r="AC90" s="1102"/>
      <c r="AD90" s="1102"/>
      <c r="AE90" s="1102"/>
      <c r="AF90" s="1102"/>
      <c r="AG90" s="1103"/>
      <c r="AH90" s="133" t="str">
        <f t="shared" si="2"/>
        <v>OK!</v>
      </c>
    </row>
    <row r="91" spans="1:34" ht="41.4">
      <c r="A91" s="238" t="s">
        <v>408</v>
      </c>
      <c r="B91" s="239" t="s">
        <v>1121</v>
      </c>
      <c r="C91" s="200">
        <v>1</v>
      </c>
      <c r="D91" s="200">
        <v>1</v>
      </c>
      <c r="E91" s="200"/>
      <c r="F91" s="200"/>
      <c r="G91" s="200"/>
      <c r="H91" s="200"/>
      <c r="I91" s="200">
        <v>1</v>
      </c>
      <c r="J91" s="200"/>
      <c r="K91" s="200"/>
      <c r="L91" s="200"/>
      <c r="M91" s="200"/>
      <c r="N91" s="200"/>
      <c r="O91" s="200">
        <v>1</v>
      </c>
      <c r="P91" s="200"/>
      <c r="Q91" s="200"/>
      <c r="R91" s="200">
        <v>2</v>
      </c>
      <c r="S91" s="200"/>
      <c r="T91" s="200"/>
      <c r="U91" s="200"/>
      <c r="V91" s="200"/>
      <c r="W91" s="200"/>
      <c r="X91" s="200">
        <v>1</v>
      </c>
      <c r="Y91" s="200">
        <v>1</v>
      </c>
      <c r="Z91" s="200"/>
      <c r="AA91" s="200">
        <v>1</v>
      </c>
      <c r="AB91" s="200">
        <v>1.6</v>
      </c>
      <c r="AC91" s="245">
        <f>0.6*1.6</f>
        <v>0.96</v>
      </c>
      <c r="AD91" s="245"/>
      <c r="AE91" s="200"/>
      <c r="AF91" s="200">
        <v>17.963999999999999</v>
      </c>
      <c r="AG91" s="200"/>
      <c r="AH91" s="133" t="str">
        <f t="shared" si="2"/>
        <v>OK!</v>
      </c>
    </row>
    <row r="92" spans="1:34" ht="41.4">
      <c r="A92" s="238"/>
      <c r="B92" s="239" t="s">
        <v>1120</v>
      </c>
      <c r="C92" s="200">
        <v>1</v>
      </c>
      <c r="D92" s="200">
        <v>1</v>
      </c>
      <c r="E92" s="200"/>
      <c r="F92" s="200"/>
      <c r="G92" s="200"/>
      <c r="H92" s="200"/>
      <c r="I92" s="200">
        <v>1</v>
      </c>
      <c r="J92" s="200"/>
      <c r="K92" s="200"/>
      <c r="L92" s="200"/>
      <c r="M92" s="200"/>
      <c r="N92" s="200"/>
      <c r="O92" s="200">
        <v>1</v>
      </c>
      <c r="P92" s="200"/>
      <c r="Q92" s="200"/>
      <c r="R92" s="200">
        <v>2</v>
      </c>
      <c r="S92" s="200"/>
      <c r="T92" s="200"/>
      <c r="U92" s="200"/>
      <c r="V92" s="200"/>
      <c r="W92" s="200"/>
      <c r="X92" s="200">
        <v>1</v>
      </c>
      <c r="Y92" s="200">
        <v>1</v>
      </c>
      <c r="Z92" s="200"/>
      <c r="AA92" s="200">
        <v>1</v>
      </c>
      <c r="AB92" s="200">
        <v>1.6</v>
      </c>
      <c r="AC92" s="245">
        <f>0.6*1.6</f>
        <v>0.96</v>
      </c>
      <c r="AD92" s="245"/>
      <c r="AE92" s="200"/>
      <c r="AF92" s="200"/>
      <c r="AG92" s="200"/>
      <c r="AH92" s="133" t="str">
        <f t="shared" si="2"/>
        <v>OK!</v>
      </c>
    </row>
    <row r="93" spans="1:34">
      <c r="A93" s="238" t="s">
        <v>529</v>
      </c>
      <c r="B93" s="238"/>
      <c r="C93" s="200"/>
      <c r="D93" s="200"/>
      <c r="E93" s="200"/>
      <c r="F93" s="200">
        <v>2</v>
      </c>
      <c r="G93" s="200"/>
      <c r="H93" s="200"/>
      <c r="I93" s="200"/>
      <c r="J93" s="200"/>
      <c r="K93" s="200"/>
      <c r="L93" s="200">
        <v>2</v>
      </c>
      <c r="M93" s="200"/>
      <c r="N93" s="200">
        <v>2</v>
      </c>
      <c r="O93" s="200"/>
      <c r="P93" s="200"/>
      <c r="Q93" s="200"/>
      <c r="R93" s="200"/>
      <c r="S93" s="200"/>
      <c r="T93" s="200"/>
      <c r="U93" s="200"/>
      <c r="V93" s="200"/>
      <c r="W93" s="200"/>
      <c r="X93" s="200"/>
      <c r="Y93" s="200"/>
      <c r="Z93" s="200"/>
      <c r="AA93" s="200"/>
      <c r="AB93" s="200"/>
      <c r="AC93" s="245">
        <f>0.6*4</f>
        <v>2.4</v>
      </c>
      <c r="AD93" s="245"/>
      <c r="AE93" s="200"/>
      <c r="AF93" s="200"/>
      <c r="AG93" s="200"/>
      <c r="AH93" s="133" t="str">
        <f t="shared" si="2"/>
        <v>Falta torneiras!</v>
      </c>
    </row>
    <row r="94" spans="1:34">
      <c r="A94" s="238" t="s">
        <v>1131</v>
      </c>
      <c r="B94" s="238"/>
      <c r="C94" s="200"/>
      <c r="D94" s="200"/>
      <c r="E94" s="200"/>
      <c r="F94" s="200">
        <v>2</v>
      </c>
      <c r="G94" s="200"/>
      <c r="H94" s="200"/>
      <c r="I94" s="200"/>
      <c r="J94" s="200"/>
      <c r="K94" s="200"/>
      <c r="L94" s="200"/>
      <c r="M94" s="200"/>
      <c r="N94" s="200">
        <v>2</v>
      </c>
      <c r="O94" s="200"/>
      <c r="P94" s="200"/>
      <c r="Q94" s="200"/>
      <c r="R94" s="200"/>
      <c r="S94" s="200"/>
      <c r="T94" s="200"/>
      <c r="U94" s="200"/>
      <c r="V94" s="200"/>
      <c r="W94" s="200"/>
      <c r="X94" s="200"/>
      <c r="Y94" s="200"/>
      <c r="Z94" s="200"/>
      <c r="AA94" s="200"/>
      <c r="AB94" s="200"/>
      <c r="AC94" s="245">
        <f>0.6*1.67*2</f>
        <v>2.004</v>
      </c>
      <c r="AD94" s="245"/>
      <c r="AE94" s="200"/>
      <c r="AF94" s="200"/>
      <c r="AG94" s="200"/>
      <c r="AH94" s="133" t="str">
        <f t="shared" si="2"/>
        <v>OK!</v>
      </c>
    </row>
    <row r="95" spans="1:34">
      <c r="A95" s="238" t="s">
        <v>1132</v>
      </c>
      <c r="B95" s="238" t="s">
        <v>1133</v>
      </c>
      <c r="C95" s="200">
        <v>4</v>
      </c>
      <c r="D95" s="200">
        <v>4</v>
      </c>
      <c r="E95" s="200"/>
      <c r="F95" s="200"/>
      <c r="G95" s="200"/>
      <c r="H95" s="200">
        <v>4</v>
      </c>
      <c r="I95" s="200"/>
      <c r="J95" s="200"/>
      <c r="K95" s="200"/>
      <c r="L95" s="200"/>
      <c r="M95" s="200"/>
      <c r="N95" s="200"/>
      <c r="O95" s="200">
        <v>4</v>
      </c>
      <c r="P95" s="200"/>
      <c r="Q95" s="200">
        <v>4</v>
      </c>
      <c r="R95" s="200"/>
      <c r="S95" s="200"/>
      <c r="T95" s="200"/>
      <c r="U95" s="200"/>
      <c r="V95" s="200"/>
      <c r="W95" s="200">
        <v>4</v>
      </c>
      <c r="X95" s="200">
        <v>4</v>
      </c>
      <c r="Y95" s="200">
        <v>4</v>
      </c>
      <c r="Z95" s="200"/>
      <c r="AA95" s="200">
        <v>4</v>
      </c>
      <c r="AB95" s="200">
        <f>4*1.6</f>
        <v>6.4</v>
      </c>
      <c r="AC95" s="245">
        <f>0.6*1.58*4</f>
        <v>3.7919999999999998</v>
      </c>
      <c r="AD95" s="245"/>
      <c r="AE95" s="200"/>
      <c r="AF95" s="200"/>
      <c r="AG95" s="200"/>
      <c r="AH95" s="133" t="str">
        <f t="shared" si="2"/>
        <v>OK!</v>
      </c>
    </row>
    <row r="96" spans="1:34">
      <c r="A96" s="238" t="s">
        <v>1134</v>
      </c>
      <c r="B96" s="238"/>
      <c r="C96" s="200"/>
      <c r="D96" s="200"/>
      <c r="E96" s="200"/>
      <c r="F96" s="200"/>
      <c r="G96" s="200"/>
      <c r="H96" s="200"/>
      <c r="I96" s="200"/>
      <c r="J96" s="200"/>
      <c r="K96" s="200"/>
      <c r="L96" s="200"/>
      <c r="M96" s="200"/>
      <c r="N96" s="200"/>
      <c r="O96" s="200"/>
      <c r="P96" s="200">
        <v>4</v>
      </c>
      <c r="Q96" s="200"/>
      <c r="R96" s="200"/>
      <c r="S96" s="200"/>
      <c r="T96" s="200"/>
      <c r="U96" s="200"/>
      <c r="V96" s="200"/>
      <c r="W96" s="200"/>
      <c r="X96" s="200">
        <v>4</v>
      </c>
      <c r="Y96" s="200">
        <v>4</v>
      </c>
      <c r="Z96" s="200"/>
      <c r="AA96" s="200"/>
      <c r="AB96" s="200"/>
      <c r="AC96" s="245">
        <f>2.18*0.6*2</f>
        <v>2.6160000000000001</v>
      </c>
      <c r="AD96" s="245"/>
      <c r="AE96" s="200"/>
      <c r="AF96" s="200"/>
      <c r="AG96" s="200"/>
      <c r="AH96" s="133" t="str">
        <f t="shared" si="2"/>
        <v>OK!</v>
      </c>
    </row>
    <row r="97" spans="1:34">
      <c r="A97" s="238" t="s">
        <v>1135</v>
      </c>
      <c r="B97" s="238"/>
      <c r="C97" s="200">
        <v>2</v>
      </c>
      <c r="D97" s="200">
        <v>2</v>
      </c>
      <c r="E97" s="200"/>
      <c r="F97" s="200"/>
      <c r="G97" s="200"/>
      <c r="H97" s="200">
        <v>2</v>
      </c>
      <c r="I97" s="200"/>
      <c r="J97" s="200"/>
      <c r="K97" s="200"/>
      <c r="L97" s="200"/>
      <c r="M97" s="200"/>
      <c r="N97" s="200"/>
      <c r="O97" s="200">
        <v>2</v>
      </c>
      <c r="P97" s="200"/>
      <c r="Q97" s="200">
        <v>2</v>
      </c>
      <c r="R97" s="200"/>
      <c r="S97" s="200"/>
      <c r="T97" s="200"/>
      <c r="U97" s="200"/>
      <c r="V97" s="200"/>
      <c r="W97" s="200">
        <v>2</v>
      </c>
      <c r="X97" s="200">
        <v>2</v>
      </c>
      <c r="Y97" s="200">
        <v>2</v>
      </c>
      <c r="Z97" s="200"/>
      <c r="AA97" s="200">
        <v>2</v>
      </c>
      <c r="AB97" s="200">
        <v>2</v>
      </c>
      <c r="AC97" s="245">
        <f>0.6*1.05*2</f>
        <v>1.26</v>
      </c>
      <c r="AD97" s="245"/>
      <c r="AE97" s="200"/>
      <c r="AF97" s="200"/>
      <c r="AG97" s="200"/>
      <c r="AH97" s="133" t="str">
        <f t="shared" si="2"/>
        <v>OK!</v>
      </c>
    </row>
    <row r="98" spans="1:34">
      <c r="A98" s="238" t="s">
        <v>1136</v>
      </c>
      <c r="B98" s="238" t="s">
        <v>428</v>
      </c>
      <c r="C98" s="200">
        <v>1</v>
      </c>
      <c r="D98" s="200">
        <v>1</v>
      </c>
      <c r="E98" s="200"/>
      <c r="F98" s="200"/>
      <c r="G98" s="200"/>
      <c r="H98" s="200"/>
      <c r="I98" s="200"/>
      <c r="J98" s="200">
        <v>1</v>
      </c>
      <c r="K98" s="200"/>
      <c r="L98" s="200"/>
      <c r="M98" s="200"/>
      <c r="N98" s="200"/>
      <c r="O98" s="200">
        <v>1</v>
      </c>
      <c r="P98" s="200"/>
      <c r="Q98" s="200">
        <v>1</v>
      </c>
      <c r="R98" s="200">
        <v>3</v>
      </c>
      <c r="S98" s="200"/>
      <c r="T98" s="200">
        <v>1</v>
      </c>
      <c r="U98" s="200"/>
      <c r="V98" s="200">
        <v>1</v>
      </c>
      <c r="W98" s="200">
        <v>1</v>
      </c>
      <c r="X98" s="200">
        <v>1</v>
      </c>
      <c r="Y98" s="200">
        <v>1</v>
      </c>
      <c r="Z98" s="200"/>
      <c r="AA98" s="200">
        <v>1</v>
      </c>
      <c r="AB98" s="200">
        <v>0.9</v>
      </c>
      <c r="AC98" s="245"/>
      <c r="AD98" s="245"/>
      <c r="AE98" s="200"/>
      <c r="AF98" s="200"/>
      <c r="AG98" s="200"/>
      <c r="AH98" s="133" t="str">
        <f t="shared" si="2"/>
        <v>OK!</v>
      </c>
    </row>
    <row r="99" spans="1:34">
      <c r="A99" s="238" t="s">
        <v>1458</v>
      </c>
      <c r="B99" s="238"/>
      <c r="C99" s="200"/>
      <c r="D99" s="200"/>
      <c r="E99" s="200"/>
      <c r="F99" s="200">
        <v>3</v>
      </c>
      <c r="G99" s="200"/>
      <c r="H99" s="200"/>
      <c r="I99" s="200"/>
      <c r="J99" s="200"/>
      <c r="K99" s="200">
        <v>8</v>
      </c>
      <c r="L99" s="200"/>
      <c r="M99" s="200"/>
      <c r="N99" s="200">
        <v>0</v>
      </c>
      <c r="O99" s="200"/>
      <c r="P99" s="200"/>
      <c r="Q99" s="200"/>
      <c r="R99" s="200"/>
      <c r="S99" s="200"/>
      <c r="T99" s="200"/>
      <c r="U99" s="200"/>
      <c r="V99" s="200"/>
      <c r="W99" s="200"/>
      <c r="X99" s="200">
        <v>11</v>
      </c>
      <c r="Y99" s="200">
        <v>11</v>
      </c>
      <c r="Z99" s="200"/>
      <c r="AA99" s="200"/>
      <c r="AB99" s="200"/>
      <c r="AC99" s="245"/>
      <c r="AD99" s="245">
        <f>1.2*0.6*3</f>
        <v>2.16</v>
      </c>
      <c r="AE99" s="200"/>
      <c r="AF99" s="200"/>
      <c r="AG99" s="200"/>
      <c r="AH99" s="133" t="str">
        <f t="shared" si="2"/>
        <v>Falta torneiras!</v>
      </c>
    </row>
    <row r="100" spans="1:34">
      <c r="A100" s="238" t="s">
        <v>2157</v>
      </c>
      <c r="B100" s="238"/>
      <c r="C100" s="200"/>
      <c r="D100" s="200"/>
      <c r="E100" s="200"/>
      <c r="F100" s="200"/>
      <c r="G100" s="200"/>
      <c r="H100" s="200"/>
      <c r="I100" s="200"/>
      <c r="J100" s="200"/>
      <c r="K100" s="200">
        <v>6</v>
      </c>
      <c r="L100" s="200"/>
      <c r="M100" s="200"/>
      <c r="N100" s="200">
        <v>0</v>
      </c>
      <c r="O100" s="200"/>
      <c r="P100" s="200"/>
      <c r="Q100" s="200"/>
      <c r="R100" s="200"/>
      <c r="S100" s="200"/>
      <c r="T100" s="200"/>
      <c r="U100" s="200"/>
      <c r="V100" s="200"/>
      <c r="W100" s="200"/>
      <c r="X100" s="200">
        <v>6</v>
      </c>
      <c r="Y100" s="200">
        <v>6</v>
      </c>
      <c r="Z100" s="200"/>
      <c r="AA100" s="200"/>
      <c r="AB100" s="200"/>
      <c r="AC100" s="245"/>
      <c r="AD100" s="245"/>
      <c r="AE100" s="200"/>
      <c r="AF100" s="200"/>
      <c r="AG100" s="200"/>
    </row>
    <row r="101" spans="1:34">
      <c r="A101" s="238" t="s">
        <v>2158</v>
      </c>
      <c r="B101" s="238"/>
      <c r="C101" s="200"/>
      <c r="D101" s="200"/>
      <c r="E101" s="200"/>
      <c r="F101" s="200"/>
      <c r="G101" s="200"/>
      <c r="H101" s="200"/>
      <c r="I101" s="200"/>
      <c r="J101" s="200"/>
      <c r="K101" s="200">
        <v>8</v>
      </c>
      <c r="L101" s="200"/>
      <c r="M101" s="200"/>
      <c r="N101" s="200">
        <v>0</v>
      </c>
      <c r="O101" s="200"/>
      <c r="P101" s="200"/>
      <c r="Q101" s="200"/>
      <c r="R101" s="200"/>
      <c r="S101" s="200"/>
      <c r="T101" s="200"/>
      <c r="U101" s="200"/>
      <c r="V101" s="200"/>
      <c r="W101" s="200"/>
      <c r="X101" s="200">
        <v>8</v>
      </c>
      <c r="Y101" s="200">
        <v>8</v>
      </c>
      <c r="Z101" s="200"/>
      <c r="AA101" s="200"/>
      <c r="AB101" s="200"/>
      <c r="AC101" s="245"/>
      <c r="AD101" s="245"/>
      <c r="AE101" s="200"/>
      <c r="AF101" s="200"/>
      <c r="AG101" s="200"/>
    </row>
    <row r="102" spans="1:34">
      <c r="A102" s="238" t="s">
        <v>504</v>
      </c>
      <c r="B102" s="238"/>
      <c r="C102" s="200"/>
      <c r="D102" s="200"/>
      <c r="E102" s="200"/>
      <c r="F102" s="200"/>
      <c r="G102" s="200"/>
      <c r="H102" s="200"/>
      <c r="I102" s="200"/>
      <c r="J102" s="200"/>
      <c r="K102" s="200"/>
      <c r="L102" s="200"/>
      <c r="M102" s="200">
        <v>2</v>
      </c>
      <c r="N102" s="200"/>
      <c r="O102" s="200"/>
      <c r="P102" s="200"/>
      <c r="Q102" s="200"/>
      <c r="R102" s="200"/>
      <c r="S102" s="200"/>
      <c r="T102" s="200"/>
      <c r="U102" s="200"/>
      <c r="V102" s="200"/>
      <c r="W102" s="200"/>
      <c r="X102" s="200"/>
      <c r="Y102" s="200"/>
      <c r="Z102" s="200"/>
      <c r="AA102" s="200"/>
      <c r="AB102" s="200"/>
      <c r="AC102" s="245"/>
      <c r="AD102" s="245"/>
      <c r="AE102" s="200"/>
      <c r="AF102" s="200"/>
      <c r="AG102" s="200"/>
      <c r="AH102" s="133" t="str">
        <f t="shared" si="2"/>
        <v>Falta torneiras!</v>
      </c>
    </row>
    <row r="103" spans="1:34">
      <c r="A103" s="238" t="s">
        <v>1137</v>
      </c>
      <c r="B103" s="238"/>
      <c r="C103" s="200"/>
      <c r="D103" s="200"/>
      <c r="E103" s="200"/>
      <c r="F103" s="200">
        <v>1</v>
      </c>
      <c r="G103" s="200"/>
      <c r="H103" s="200"/>
      <c r="I103" s="200"/>
      <c r="J103" s="200"/>
      <c r="K103" s="200"/>
      <c r="L103" s="200"/>
      <c r="M103" s="200"/>
      <c r="N103" s="200">
        <v>1</v>
      </c>
      <c r="O103" s="200"/>
      <c r="P103" s="200"/>
      <c r="Q103" s="200"/>
      <c r="R103" s="200"/>
      <c r="S103" s="200"/>
      <c r="T103" s="200"/>
      <c r="U103" s="200"/>
      <c r="V103" s="200"/>
      <c r="W103" s="200"/>
      <c r="X103" s="200"/>
      <c r="Y103" s="200"/>
      <c r="Z103" s="200"/>
      <c r="AA103" s="200"/>
      <c r="AB103" s="200"/>
      <c r="AC103" s="245"/>
      <c r="AD103" s="245">
        <f>0.6*3.5</f>
        <v>2.1</v>
      </c>
      <c r="AE103" s="200"/>
      <c r="AF103" s="200"/>
      <c r="AG103" s="200"/>
      <c r="AH103" s="133" t="str">
        <f t="shared" si="2"/>
        <v>OK!</v>
      </c>
    </row>
    <row r="104" spans="1:34">
      <c r="A104" s="238" t="s">
        <v>404</v>
      </c>
      <c r="B104" s="238"/>
      <c r="C104" s="200"/>
      <c r="D104" s="200"/>
      <c r="E104" s="200"/>
      <c r="F104" s="200">
        <v>1</v>
      </c>
      <c r="G104" s="200"/>
      <c r="H104" s="200"/>
      <c r="I104" s="200"/>
      <c r="J104" s="200"/>
      <c r="K104" s="200"/>
      <c r="L104" s="200"/>
      <c r="M104" s="200"/>
      <c r="N104" s="200">
        <v>1</v>
      </c>
      <c r="O104" s="200"/>
      <c r="P104" s="200"/>
      <c r="Q104" s="200"/>
      <c r="R104" s="200"/>
      <c r="S104" s="200"/>
      <c r="T104" s="200"/>
      <c r="U104" s="200"/>
      <c r="V104" s="200"/>
      <c r="W104" s="200"/>
      <c r="X104" s="200"/>
      <c r="Y104" s="200"/>
      <c r="Z104" s="200"/>
      <c r="AA104" s="200"/>
      <c r="AB104" s="200"/>
      <c r="AC104" s="245"/>
      <c r="AD104" s="245">
        <f>0.6*3.5</f>
        <v>2.1</v>
      </c>
      <c r="AE104" s="200"/>
      <c r="AF104" s="200"/>
      <c r="AG104" s="200"/>
      <c r="AH104" s="133" t="str">
        <f t="shared" si="2"/>
        <v>OK!</v>
      </c>
    </row>
    <row r="105" spans="1:34">
      <c r="A105" s="238" t="s">
        <v>1138</v>
      </c>
      <c r="B105" s="238"/>
      <c r="C105" s="200"/>
      <c r="D105" s="200"/>
      <c r="E105" s="200"/>
      <c r="F105" s="200"/>
      <c r="G105" s="200"/>
      <c r="H105" s="200"/>
      <c r="I105" s="200"/>
      <c r="J105" s="200"/>
      <c r="K105" s="200"/>
      <c r="L105" s="200"/>
      <c r="M105" s="200"/>
      <c r="N105" s="200">
        <v>3</v>
      </c>
      <c r="O105" s="200"/>
      <c r="P105" s="200"/>
      <c r="Q105" s="200"/>
      <c r="R105" s="200"/>
      <c r="S105" s="200"/>
      <c r="T105" s="200"/>
      <c r="U105" s="200"/>
      <c r="V105" s="200"/>
      <c r="W105" s="200"/>
      <c r="X105" s="200"/>
      <c r="Y105" s="200"/>
      <c r="Z105" s="200"/>
      <c r="AA105" s="200"/>
      <c r="AB105" s="200"/>
      <c r="AC105" s="245">
        <f>8.4*0.6*3</f>
        <v>15.120000000000001</v>
      </c>
      <c r="AD105" s="245"/>
      <c r="AE105" s="200"/>
      <c r="AF105" s="200"/>
      <c r="AG105" s="200"/>
      <c r="AH105" s="133" t="str">
        <f t="shared" si="2"/>
        <v>Falta torneiras!</v>
      </c>
    </row>
    <row r="106" spans="1:34">
      <c r="A106" s="238" t="s">
        <v>1139</v>
      </c>
      <c r="B106" s="238"/>
      <c r="C106" s="200"/>
      <c r="D106" s="200"/>
      <c r="E106" s="200"/>
      <c r="F106" s="200">
        <v>1</v>
      </c>
      <c r="G106" s="200"/>
      <c r="H106" s="200"/>
      <c r="I106" s="200"/>
      <c r="J106" s="200"/>
      <c r="K106" s="200"/>
      <c r="L106" s="200"/>
      <c r="M106" s="200"/>
      <c r="N106" s="200">
        <v>1</v>
      </c>
      <c r="O106" s="200"/>
      <c r="P106" s="200"/>
      <c r="Q106" s="200"/>
      <c r="R106" s="200"/>
      <c r="S106" s="200"/>
      <c r="T106" s="200"/>
      <c r="U106" s="200"/>
      <c r="V106" s="200"/>
      <c r="W106" s="200"/>
      <c r="X106" s="200"/>
      <c r="Y106" s="200"/>
      <c r="Z106" s="200"/>
      <c r="AA106" s="200"/>
      <c r="AB106" s="200"/>
      <c r="AC106" s="245"/>
      <c r="AD106" s="245">
        <f>0.6*3.87+0.6*2.72</f>
        <v>3.9540000000000002</v>
      </c>
      <c r="AE106" s="200"/>
      <c r="AF106" s="200"/>
      <c r="AG106" s="200"/>
      <c r="AH106" s="133" t="str">
        <f t="shared" si="2"/>
        <v>OK!</v>
      </c>
    </row>
    <row r="107" spans="1:34" s="131" customFormat="1">
      <c r="A107" s="1101" t="s">
        <v>1459</v>
      </c>
      <c r="B107" s="1102"/>
      <c r="C107" s="1102"/>
      <c r="D107" s="1102"/>
      <c r="E107" s="1102"/>
      <c r="F107" s="1102"/>
      <c r="G107" s="1102"/>
      <c r="H107" s="1102"/>
      <c r="I107" s="1102"/>
      <c r="J107" s="1102"/>
      <c r="K107" s="1102"/>
      <c r="L107" s="1102"/>
      <c r="M107" s="1102"/>
      <c r="N107" s="1102"/>
      <c r="O107" s="1102"/>
      <c r="P107" s="1102"/>
      <c r="Q107" s="1102"/>
      <c r="R107" s="1102"/>
      <c r="S107" s="1102"/>
      <c r="T107" s="1102"/>
      <c r="U107" s="1102"/>
      <c r="V107" s="1102"/>
      <c r="W107" s="1102"/>
      <c r="X107" s="1102"/>
      <c r="Y107" s="1102"/>
      <c r="Z107" s="1102"/>
      <c r="AA107" s="1102"/>
      <c r="AB107" s="1102"/>
      <c r="AC107" s="1102"/>
      <c r="AD107" s="1102"/>
      <c r="AE107" s="1102"/>
      <c r="AF107" s="1102"/>
      <c r="AG107" s="1103"/>
      <c r="AH107" s="133" t="str">
        <f t="shared" si="2"/>
        <v>OK!</v>
      </c>
    </row>
    <row r="108" spans="1:34" ht="41.4">
      <c r="A108" s="1099" t="s">
        <v>408</v>
      </c>
      <c r="B108" s="239" t="s">
        <v>1121</v>
      </c>
      <c r="C108" s="200">
        <v>1</v>
      </c>
      <c r="D108" s="200">
        <v>1</v>
      </c>
      <c r="E108" s="200"/>
      <c r="F108" s="200"/>
      <c r="G108" s="200"/>
      <c r="H108" s="200"/>
      <c r="I108" s="200">
        <v>1</v>
      </c>
      <c r="J108" s="200"/>
      <c r="K108" s="200"/>
      <c r="L108" s="200"/>
      <c r="M108" s="200"/>
      <c r="N108" s="200"/>
      <c r="O108" s="200">
        <v>1</v>
      </c>
      <c r="P108" s="200"/>
      <c r="Q108" s="200"/>
      <c r="R108" s="200">
        <v>2</v>
      </c>
      <c r="S108" s="200"/>
      <c r="T108" s="200"/>
      <c r="U108" s="200"/>
      <c r="V108" s="200"/>
      <c r="W108" s="200"/>
      <c r="X108" s="200">
        <v>1</v>
      </c>
      <c r="Y108" s="200">
        <v>1</v>
      </c>
      <c r="Z108" s="200"/>
      <c r="AA108" s="200">
        <v>1</v>
      </c>
      <c r="AB108" s="200">
        <v>1.6</v>
      </c>
      <c r="AC108" s="245">
        <f>0.6*1.6</f>
        <v>0.96</v>
      </c>
      <c r="AD108" s="245"/>
      <c r="AE108" s="200"/>
      <c r="AF108" s="200">
        <v>17.963999999999999</v>
      </c>
      <c r="AG108" s="200"/>
      <c r="AH108" s="133" t="str">
        <f t="shared" si="2"/>
        <v>OK!</v>
      </c>
    </row>
    <row r="109" spans="1:34" ht="41.4">
      <c r="A109" s="1100"/>
      <c r="B109" s="239" t="s">
        <v>1120</v>
      </c>
      <c r="C109" s="200">
        <v>1</v>
      </c>
      <c r="D109" s="200">
        <v>1</v>
      </c>
      <c r="E109" s="200"/>
      <c r="F109" s="200"/>
      <c r="G109" s="200"/>
      <c r="H109" s="200"/>
      <c r="I109" s="200">
        <v>1</v>
      </c>
      <c r="J109" s="200"/>
      <c r="K109" s="200"/>
      <c r="L109" s="200"/>
      <c r="M109" s="200"/>
      <c r="N109" s="200"/>
      <c r="O109" s="200">
        <v>1</v>
      </c>
      <c r="P109" s="200"/>
      <c r="Q109" s="200"/>
      <c r="R109" s="200">
        <v>2</v>
      </c>
      <c r="S109" s="200"/>
      <c r="T109" s="200"/>
      <c r="U109" s="200"/>
      <c r="V109" s="200"/>
      <c r="W109" s="200"/>
      <c r="X109" s="200">
        <v>1</v>
      </c>
      <c r="Y109" s="200">
        <v>1</v>
      </c>
      <c r="Z109" s="200"/>
      <c r="AA109" s="200">
        <v>1</v>
      </c>
      <c r="AB109" s="200">
        <v>1.6</v>
      </c>
      <c r="AC109" s="245">
        <f>0.6*1.6</f>
        <v>0.96</v>
      </c>
      <c r="AD109" s="245"/>
      <c r="AE109" s="200"/>
      <c r="AF109" s="200"/>
      <c r="AG109" s="200"/>
      <c r="AH109" s="133" t="str">
        <f t="shared" si="2"/>
        <v>OK!</v>
      </c>
    </row>
    <row r="110" spans="1:34">
      <c r="A110" s="238" t="s">
        <v>396</v>
      </c>
      <c r="B110" s="238"/>
      <c r="C110" s="200"/>
      <c r="D110" s="200"/>
      <c r="E110" s="200"/>
      <c r="F110" s="200">
        <v>1</v>
      </c>
      <c r="G110" s="200"/>
      <c r="H110" s="200"/>
      <c r="I110" s="200"/>
      <c r="J110" s="200"/>
      <c r="K110" s="200"/>
      <c r="L110" s="200"/>
      <c r="M110" s="200"/>
      <c r="N110" s="200">
        <v>1</v>
      </c>
      <c r="O110" s="200"/>
      <c r="P110" s="200"/>
      <c r="Q110" s="200"/>
      <c r="R110" s="200"/>
      <c r="S110" s="200"/>
      <c r="T110" s="200"/>
      <c r="U110" s="200"/>
      <c r="V110" s="200"/>
      <c r="W110" s="200"/>
      <c r="X110" s="200"/>
      <c r="Y110" s="200"/>
      <c r="Z110" s="200"/>
      <c r="AA110" s="200"/>
      <c r="AB110" s="200"/>
      <c r="AC110" s="245">
        <f>0.6*1.67</f>
        <v>1.002</v>
      </c>
      <c r="AD110" s="245"/>
      <c r="AE110" s="200"/>
      <c r="AF110" s="200"/>
      <c r="AG110" s="200"/>
      <c r="AH110" s="133" t="str">
        <f t="shared" si="2"/>
        <v>OK!</v>
      </c>
    </row>
    <row r="111" spans="1:34">
      <c r="A111" s="238" t="s">
        <v>1460</v>
      </c>
      <c r="B111" s="238" t="s">
        <v>428</v>
      </c>
      <c r="C111" s="200">
        <v>2</v>
      </c>
      <c r="D111" s="200">
        <v>2</v>
      </c>
      <c r="E111" s="200"/>
      <c r="F111" s="200"/>
      <c r="G111" s="200"/>
      <c r="H111" s="200">
        <v>2</v>
      </c>
      <c r="I111" s="200"/>
      <c r="J111" s="200"/>
      <c r="K111" s="200"/>
      <c r="L111" s="200"/>
      <c r="M111" s="200"/>
      <c r="N111" s="200"/>
      <c r="O111" s="200">
        <v>2</v>
      </c>
      <c r="P111" s="200"/>
      <c r="Q111" s="200">
        <v>2</v>
      </c>
      <c r="R111" s="200"/>
      <c r="S111" s="200"/>
      <c r="T111" s="200"/>
      <c r="U111" s="200"/>
      <c r="V111" s="200"/>
      <c r="W111" s="200">
        <v>2</v>
      </c>
      <c r="X111" s="200">
        <v>2</v>
      </c>
      <c r="Y111" s="200">
        <v>2</v>
      </c>
      <c r="Z111" s="200"/>
      <c r="AA111" s="200">
        <v>2</v>
      </c>
      <c r="AB111" s="200">
        <v>3.2</v>
      </c>
      <c r="AC111" s="245">
        <f>0.6*1.58*2</f>
        <v>1.8959999999999999</v>
      </c>
      <c r="AD111" s="245"/>
      <c r="AE111" s="200"/>
      <c r="AF111" s="200"/>
      <c r="AG111" s="200"/>
      <c r="AH111" s="133" t="str">
        <f t="shared" si="2"/>
        <v>OK!</v>
      </c>
    </row>
    <row r="112" spans="1:34">
      <c r="A112" s="238" t="s">
        <v>529</v>
      </c>
      <c r="B112" s="238"/>
      <c r="C112" s="200"/>
      <c r="D112" s="200"/>
      <c r="E112" s="200"/>
      <c r="F112" s="200">
        <v>1</v>
      </c>
      <c r="G112" s="200"/>
      <c r="H112" s="200"/>
      <c r="I112" s="200"/>
      <c r="J112" s="200"/>
      <c r="K112" s="200"/>
      <c r="L112" s="238"/>
      <c r="M112" s="238"/>
      <c r="N112" s="200">
        <v>1</v>
      </c>
      <c r="O112" s="200"/>
      <c r="P112" s="200"/>
      <c r="Q112" s="200"/>
      <c r="R112" s="200"/>
      <c r="S112" s="200"/>
      <c r="T112" s="200"/>
      <c r="U112" s="200"/>
      <c r="V112" s="200"/>
      <c r="W112" s="200"/>
      <c r="X112" s="200"/>
      <c r="Y112" s="200"/>
      <c r="Z112" s="200"/>
      <c r="AA112" s="200"/>
      <c r="AB112" s="200"/>
      <c r="AC112" s="245"/>
      <c r="AD112" s="245">
        <f>2.85*0.6</f>
        <v>1.71</v>
      </c>
      <c r="AE112" s="200"/>
      <c r="AF112" s="238"/>
      <c r="AG112" s="238"/>
      <c r="AH112" s="133" t="str">
        <f t="shared" si="2"/>
        <v>OK!</v>
      </c>
    </row>
    <row r="113" spans="1:34">
      <c r="A113" s="238" t="s">
        <v>1804</v>
      </c>
      <c r="B113" s="238"/>
      <c r="C113" s="200"/>
      <c r="D113" s="200"/>
      <c r="E113" s="200"/>
      <c r="F113" s="200"/>
      <c r="G113" s="200"/>
      <c r="H113" s="200"/>
      <c r="I113" s="200"/>
      <c r="J113" s="200"/>
      <c r="K113" s="200"/>
      <c r="L113" s="238"/>
      <c r="M113" s="238"/>
      <c r="N113" s="200"/>
      <c r="O113" s="200"/>
      <c r="P113" s="200">
        <v>2</v>
      </c>
      <c r="Q113" s="200"/>
      <c r="R113" s="200"/>
      <c r="S113" s="200"/>
      <c r="T113" s="200"/>
      <c r="U113" s="200"/>
      <c r="V113" s="200"/>
      <c r="W113" s="200"/>
      <c r="X113" s="200">
        <v>2</v>
      </c>
      <c r="Y113" s="200">
        <v>2</v>
      </c>
      <c r="Z113" s="200"/>
      <c r="AA113" s="200"/>
      <c r="AB113" s="200"/>
      <c r="AC113" s="245"/>
      <c r="AD113" s="245">
        <f>2.2*0.6</f>
        <v>1.32</v>
      </c>
      <c r="AE113" s="200"/>
      <c r="AF113" s="238"/>
      <c r="AG113" s="238"/>
    </row>
    <row r="114" spans="1:34">
      <c r="A114" s="238" t="s">
        <v>1461</v>
      </c>
      <c r="B114" s="238" t="s">
        <v>428</v>
      </c>
      <c r="C114" s="200">
        <v>1</v>
      </c>
      <c r="D114" s="200">
        <v>1</v>
      </c>
      <c r="E114" s="200"/>
      <c r="F114" s="200">
        <v>2</v>
      </c>
      <c r="G114" s="200"/>
      <c r="H114" s="200">
        <v>1</v>
      </c>
      <c r="I114" s="200"/>
      <c r="J114" s="200"/>
      <c r="K114" s="200"/>
      <c r="L114" s="200"/>
      <c r="M114" s="200">
        <v>5</v>
      </c>
      <c r="N114" s="200"/>
      <c r="O114" s="200">
        <v>1</v>
      </c>
      <c r="P114" s="200"/>
      <c r="Q114" s="200">
        <v>1</v>
      </c>
      <c r="R114" s="200"/>
      <c r="S114" s="200"/>
      <c r="T114" s="200"/>
      <c r="U114" s="200"/>
      <c r="V114" s="200"/>
      <c r="W114" s="200">
        <v>1</v>
      </c>
      <c r="X114" s="200">
        <v>8</v>
      </c>
      <c r="Y114" s="200">
        <v>8</v>
      </c>
      <c r="Z114" s="200"/>
      <c r="AA114" s="200">
        <v>1</v>
      </c>
      <c r="AB114" s="200">
        <v>1.2</v>
      </c>
      <c r="AC114" s="245">
        <f>1.2*0.6</f>
        <v>0.72</v>
      </c>
      <c r="AD114" s="245"/>
      <c r="AE114" s="200"/>
      <c r="AF114" s="200"/>
      <c r="AG114" s="200"/>
      <c r="AH114" s="133" t="str">
        <f t="shared" si="2"/>
        <v>Falta torneiras!</v>
      </c>
    </row>
    <row r="115" spans="1:34">
      <c r="A115" s="238" t="s">
        <v>1462</v>
      </c>
      <c r="B115" s="238" t="s">
        <v>428</v>
      </c>
      <c r="C115" s="200">
        <v>1</v>
      </c>
      <c r="D115" s="200">
        <v>1</v>
      </c>
      <c r="E115" s="200"/>
      <c r="F115" s="200"/>
      <c r="G115" s="200"/>
      <c r="H115" s="200">
        <v>1</v>
      </c>
      <c r="I115" s="200"/>
      <c r="J115" s="200">
        <v>1</v>
      </c>
      <c r="K115" s="489"/>
      <c r="L115" s="200"/>
      <c r="M115" s="200"/>
      <c r="N115" s="200"/>
      <c r="O115" s="200">
        <v>2</v>
      </c>
      <c r="P115" s="200"/>
      <c r="Q115" s="200">
        <v>1</v>
      </c>
      <c r="R115" s="200"/>
      <c r="S115" s="200"/>
      <c r="T115" s="200"/>
      <c r="U115" s="200"/>
      <c r="V115" s="200"/>
      <c r="W115" s="200"/>
      <c r="X115" s="200">
        <v>2</v>
      </c>
      <c r="Y115" s="200">
        <v>2</v>
      </c>
      <c r="Z115" s="200"/>
      <c r="AA115" s="200">
        <v>1</v>
      </c>
      <c r="AB115" s="200">
        <v>1</v>
      </c>
      <c r="AC115" s="245">
        <f>1*0.6</f>
        <v>0.6</v>
      </c>
      <c r="AD115" s="245"/>
      <c r="AE115" s="200"/>
      <c r="AF115" s="200"/>
      <c r="AG115" s="200"/>
      <c r="AH115" s="133" t="e">
        <f>IF((F115+H115+I115+#REF!+J115+L115+M115)=(N115+O115),"OK!","Falta torneiras!")</f>
        <v>#REF!</v>
      </c>
    </row>
    <row r="116" spans="1:34">
      <c r="A116" s="238" t="s">
        <v>1463</v>
      </c>
      <c r="B116" s="238" t="s">
        <v>428</v>
      </c>
      <c r="C116" s="200">
        <v>1</v>
      </c>
      <c r="D116" s="200">
        <v>1</v>
      </c>
      <c r="E116" s="200"/>
      <c r="F116" s="200"/>
      <c r="G116" s="200"/>
      <c r="H116" s="200">
        <v>1</v>
      </c>
      <c r="I116" s="200"/>
      <c r="J116" s="200">
        <v>1</v>
      </c>
      <c r="K116" s="489"/>
      <c r="L116" s="200"/>
      <c r="M116" s="200"/>
      <c r="N116" s="200"/>
      <c r="O116" s="200">
        <v>2</v>
      </c>
      <c r="P116" s="200"/>
      <c r="Q116" s="200">
        <v>1</v>
      </c>
      <c r="R116" s="200"/>
      <c r="S116" s="200"/>
      <c r="T116" s="200"/>
      <c r="U116" s="200"/>
      <c r="V116" s="200"/>
      <c r="W116" s="200"/>
      <c r="X116" s="200">
        <v>2</v>
      </c>
      <c r="Y116" s="200">
        <v>2</v>
      </c>
      <c r="Z116" s="200"/>
      <c r="AA116" s="200">
        <v>1</v>
      </c>
      <c r="AB116" s="200">
        <v>1</v>
      </c>
      <c r="AC116" s="245">
        <f t="shared" ref="AC116:AC123" si="4">1*0.6</f>
        <v>0.6</v>
      </c>
      <c r="AD116" s="245"/>
      <c r="AE116" s="200"/>
      <c r="AF116" s="200"/>
      <c r="AG116" s="200"/>
      <c r="AH116" s="133" t="e">
        <f>IF((F116+H116+I116+#REF!+J116+L116+M116)=(N116+O116),"OK!","Falta torneiras!")</f>
        <v>#REF!</v>
      </c>
    </row>
    <row r="117" spans="1:34">
      <c r="A117" s="238" t="s">
        <v>1464</v>
      </c>
      <c r="B117" s="238" t="s">
        <v>428</v>
      </c>
      <c r="C117" s="200">
        <v>1</v>
      </c>
      <c r="D117" s="200">
        <v>1</v>
      </c>
      <c r="E117" s="200"/>
      <c r="F117" s="200"/>
      <c r="G117" s="200"/>
      <c r="H117" s="200">
        <v>1</v>
      </c>
      <c r="I117" s="200"/>
      <c r="J117" s="200">
        <v>1</v>
      </c>
      <c r="K117" s="489"/>
      <c r="L117" s="200"/>
      <c r="M117" s="200"/>
      <c r="N117" s="200"/>
      <c r="O117" s="200">
        <v>2</v>
      </c>
      <c r="P117" s="200"/>
      <c r="Q117" s="200">
        <v>1</v>
      </c>
      <c r="R117" s="200"/>
      <c r="S117" s="200"/>
      <c r="T117" s="200"/>
      <c r="U117" s="200"/>
      <c r="V117" s="200"/>
      <c r="W117" s="200"/>
      <c r="X117" s="200">
        <v>2</v>
      </c>
      <c r="Y117" s="200">
        <v>2</v>
      </c>
      <c r="Z117" s="200"/>
      <c r="AA117" s="200">
        <v>1</v>
      </c>
      <c r="AB117" s="200">
        <v>1</v>
      </c>
      <c r="AC117" s="245">
        <f t="shared" si="4"/>
        <v>0.6</v>
      </c>
      <c r="AD117" s="245"/>
      <c r="AE117" s="200"/>
      <c r="AF117" s="200"/>
      <c r="AG117" s="200"/>
      <c r="AH117" s="133" t="e">
        <f>IF((F117+H117+I117+#REF!+J117+L117+M117)=(N117+O117),"OK!","Falta torneiras!")</f>
        <v>#REF!</v>
      </c>
    </row>
    <row r="118" spans="1:34">
      <c r="A118" s="238" t="s">
        <v>1465</v>
      </c>
      <c r="B118" s="238" t="s">
        <v>428</v>
      </c>
      <c r="C118" s="200">
        <v>1</v>
      </c>
      <c r="D118" s="200">
        <v>1</v>
      </c>
      <c r="E118" s="200"/>
      <c r="F118" s="200"/>
      <c r="G118" s="200"/>
      <c r="H118" s="200">
        <v>1</v>
      </c>
      <c r="I118" s="200"/>
      <c r="J118" s="200">
        <v>1</v>
      </c>
      <c r="K118" s="489"/>
      <c r="L118" s="200"/>
      <c r="M118" s="200"/>
      <c r="N118" s="200"/>
      <c r="O118" s="200">
        <v>2</v>
      </c>
      <c r="P118" s="200"/>
      <c r="Q118" s="200">
        <v>1</v>
      </c>
      <c r="R118" s="200"/>
      <c r="S118" s="200"/>
      <c r="T118" s="200"/>
      <c r="U118" s="200"/>
      <c r="V118" s="200"/>
      <c r="W118" s="200"/>
      <c r="X118" s="200">
        <v>2</v>
      </c>
      <c r="Y118" s="200">
        <v>2</v>
      </c>
      <c r="Z118" s="200"/>
      <c r="AA118" s="200">
        <v>1</v>
      </c>
      <c r="AB118" s="200">
        <v>1</v>
      </c>
      <c r="AC118" s="245">
        <f t="shared" si="4"/>
        <v>0.6</v>
      </c>
      <c r="AD118" s="245"/>
      <c r="AE118" s="200"/>
      <c r="AF118" s="200"/>
      <c r="AG118" s="200"/>
      <c r="AH118" s="133" t="e">
        <f>IF((F118+H118+I118+#REF!+J118+L118+M118)=(N118+O118),"OK!","Falta torneiras!")</f>
        <v>#REF!</v>
      </c>
    </row>
    <row r="119" spans="1:34">
      <c r="A119" s="238" t="s">
        <v>1466</v>
      </c>
      <c r="B119" s="238" t="s">
        <v>428</v>
      </c>
      <c r="C119" s="200">
        <v>1</v>
      </c>
      <c r="D119" s="200">
        <v>1</v>
      </c>
      <c r="E119" s="200"/>
      <c r="F119" s="200"/>
      <c r="G119" s="200"/>
      <c r="H119" s="200">
        <v>1</v>
      </c>
      <c r="I119" s="200"/>
      <c r="J119" s="200">
        <v>1</v>
      </c>
      <c r="K119" s="489"/>
      <c r="L119" s="200"/>
      <c r="M119" s="200"/>
      <c r="N119" s="200"/>
      <c r="O119" s="200">
        <v>2</v>
      </c>
      <c r="P119" s="200"/>
      <c r="Q119" s="200">
        <v>1</v>
      </c>
      <c r="R119" s="200"/>
      <c r="S119" s="200"/>
      <c r="T119" s="200"/>
      <c r="U119" s="200"/>
      <c r="V119" s="200"/>
      <c r="W119" s="200"/>
      <c r="X119" s="200">
        <v>2</v>
      </c>
      <c r="Y119" s="200">
        <v>2</v>
      </c>
      <c r="Z119" s="200"/>
      <c r="AA119" s="200">
        <v>1</v>
      </c>
      <c r="AB119" s="200">
        <v>1</v>
      </c>
      <c r="AC119" s="245">
        <f t="shared" si="4"/>
        <v>0.6</v>
      </c>
      <c r="AD119" s="245"/>
      <c r="AE119" s="200"/>
      <c r="AF119" s="200"/>
      <c r="AG119" s="200"/>
      <c r="AH119" s="133" t="e">
        <f>IF((F119+H119+I119+#REF!+J119+L119+M119)=(N119+O119),"OK!","Falta torneiras!")</f>
        <v>#REF!</v>
      </c>
    </row>
    <row r="120" spans="1:34">
      <c r="A120" s="238" t="s">
        <v>1467</v>
      </c>
      <c r="B120" s="238" t="s">
        <v>428</v>
      </c>
      <c r="C120" s="200">
        <v>1</v>
      </c>
      <c r="D120" s="200">
        <v>1</v>
      </c>
      <c r="E120" s="200"/>
      <c r="F120" s="200"/>
      <c r="G120" s="200"/>
      <c r="H120" s="200">
        <v>1</v>
      </c>
      <c r="I120" s="200"/>
      <c r="J120" s="200">
        <v>1</v>
      </c>
      <c r="K120" s="489"/>
      <c r="L120" s="200"/>
      <c r="M120" s="200"/>
      <c r="N120" s="200"/>
      <c r="O120" s="200">
        <v>2</v>
      </c>
      <c r="P120" s="200"/>
      <c r="Q120" s="200">
        <v>1</v>
      </c>
      <c r="R120" s="200"/>
      <c r="S120" s="200"/>
      <c r="T120" s="200"/>
      <c r="U120" s="200"/>
      <c r="V120" s="200"/>
      <c r="W120" s="200"/>
      <c r="X120" s="200">
        <v>2</v>
      </c>
      <c r="Y120" s="200">
        <v>2</v>
      </c>
      <c r="Z120" s="200"/>
      <c r="AA120" s="200">
        <v>1</v>
      </c>
      <c r="AB120" s="200">
        <v>1</v>
      </c>
      <c r="AC120" s="245">
        <f t="shared" si="4"/>
        <v>0.6</v>
      </c>
      <c r="AD120" s="245"/>
      <c r="AE120" s="200"/>
      <c r="AF120" s="200"/>
      <c r="AG120" s="200"/>
      <c r="AH120" s="133" t="e">
        <f>IF((F120+H120+I120+#REF!+J120+L120+M120)=(N120+O120),"OK!","Falta torneiras!")</f>
        <v>#REF!</v>
      </c>
    </row>
    <row r="121" spans="1:34">
      <c r="A121" s="238" t="s">
        <v>1468</v>
      </c>
      <c r="B121" s="238" t="s">
        <v>428</v>
      </c>
      <c r="C121" s="200">
        <v>1</v>
      </c>
      <c r="D121" s="200">
        <v>1</v>
      </c>
      <c r="E121" s="200"/>
      <c r="F121" s="200"/>
      <c r="G121" s="200"/>
      <c r="H121" s="200">
        <v>1</v>
      </c>
      <c r="I121" s="200"/>
      <c r="J121" s="200">
        <v>1</v>
      </c>
      <c r="K121" s="200"/>
      <c r="L121" s="200"/>
      <c r="M121" s="200"/>
      <c r="N121" s="200"/>
      <c r="O121" s="200">
        <v>2</v>
      </c>
      <c r="P121" s="200"/>
      <c r="Q121" s="200">
        <v>1</v>
      </c>
      <c r="R121" s="200"/>
      <c r="S121" s="200"/>
      <c r="T121" s="200"/>
      <c r="U121" s="200"/>
      <c r="V121" s="200"/>
      <c r="W121" s="200"/>
      <c r="X121" s="200">
        <v>2</v>
      </c>
      <c r="Y121" s="200">
        <v>2</v>
      </c>
      <c r="Z121" s="200"/>
      <c r="AA121" s="200">
        <v>1</v>
      </c>
      <c r="AB121" s="200">
        <v>1</v>
      </c>
      <c r="AC121" s="245">
        <f t="shared" si="4"/>
        <v>0.6</v>
      </c>
      <c r="AD121" s="245"/>
      <c r="AE121" s="200"/>
      <c r="AF121" s="200"/>
      <c r="AG121" s="200"/>
      <c r="AH121" s="133" t="str">
        <f t="shared" si="2"/>
        <v>OK!</v>
      </c>
    </row>
    <row r="122" spans="1:34">
      <c r="A122" s="238" t="s">
        <v>1469</v>
      </c>
      <c r="B122" s="238" t="s">
        <v>428</v>
      </c>
      <c r="C122" s="200">
        <v>1</v>
      </c>
      <c r="D122" s="200">
        <v>1</v>
      </c>
      <c r="E122" s="200"/>
      <c r="F122" s="200"/>
      <c r="G122" s="200"/>
      <c r="H122" s="200">
        <v>1</v>
      </c>
      <c r="I122" s="200"/>
      <c r="J122" s="200">
        <v>1</v>
      </c>
      <c r="K122" s="200"/>
      <c r="L122" s="200"/>
      <c r="M122" s="200"/>
      <c r="N122" s="200"/>
      <c r="O122" s="200">
        <v>2</v>
      </c>
      <c r="P122" s="200"/>
      <c r="Q122" s="200">
        <v>1</v>
      </c>
      <c r="R122" s="200"/>
      <c r="S122" s="200"/>
      <c r="T122" s="200"/>
      <c r="U122" s="200"/>
      <c r="V122" s="200"/>
      <c r="W122" s="200"/>
      <c r="X122" s="200">
        <v>2</v>
      </c>
      <c r="Y122" s="200">
        <v>2</v>
      </c>
      <c r="Z122" s="200"/>
      <c r="AA122" s="200">
        <v>1</v>
      </c>
      <c r="AB122" s="200">
        <v>1</v>
      </c>
      <c r="AC122" s="245">
        <f t="shared" si="4"/>
        <v>0.6</v>
      </c>
      <c r="AD122" s="245"/>
      <c r="AE122" s="200"/>
      <c r="AF122" s="200"/>
      <c r="AG122" s="200"/>
      <c r="AH122" s="133" t="str">
        <f t="shared" si="2"/>
        <v>OK!</v>
      </c>
    </row>
    <row r="123" spans="1:34">
      <c r="A123" s="238" t="s">
        <v>1470</v>
      </c>
      <c r="B123" s="238" t="s">
        <v>428</v>
      </c>
      <c r="C123" s="200">
        <v>1</v>
      </c>
      <c r="D123" s="200">
        <v>1</v>
      </c>
      <c r="E123" s="200"/>
      <c r="F123" s="200"/>
      <c r="G123" s="200"/>
      <c r="H123" s="200">
        <v>1</v>
      </c>
      <c r="I123" s="200"/>
      <c r="J123" s="200">
        <v>1</v>
      </c>
      <c r="K123" s="200"/>
      <c r="L123" s="200"/>
      <c r="M123" s="200"/>
      <c r="N123" s="200"/>
      <c r="O123" s="200">
        <v>2</v>
      </c>
      <c r="P123" s="200"/>
      <c r="Q123" s="200">
        <v>1</v>
      </c>
      <c r="R123" s="200"/>
      <c r="S123" s="200"/>
      <c r="T123" s="200"/>
      <c r="U123" s="200"/>
      <c r="V123" s="200"/>
      <c r="W123" s="200"/>
      <c r="X123" s="200">
        <v>2</v>
      </c>
      <c r="Y123" s="200">
        <v>2</v>
      </c>
      <c r="Z123" s="200"/>
      <c r="AA123" s="200">
        <v>1</v>
      </c>
      <c r="AB123" s="200">
        <v>1</v>
      </c>
      <c r="AC123" s="245">
        <f t="shared" si="4"/>
        <v>0.6</v>
      </c>
      <c r="AD123" s="245"/>
      <c r="AE123" s="200"/>
      <c r="AF123" s="200"/>
      <c r="AG123" s="200"/>
      <c r="AH123" s="133" t="str">
        <f t="shared" si="2"/>
        <v>OK!</v>
      </c>
    </row>
    <row r="124" spans="1:34" ht="27.6">
      <c r="A124" s="1099" t="s">
        <v>407</v>
      </c>
      <c r="B124" s="239" t="s">
        <v>1471</v>
      </c>
      <c r="C124" s="200">
        <v>1</v>
      </c>
      <c r="D124" s="200">
        <v>1</v>
      </c>
      <c r="E124" s="200"/>
      <c r="F124" s="200"/>
      <c r="G124" s="200"/>
      <c r="H124" s="200"/>
      <c r="I124" s="200">
        <v>1</v>
      </c>
      <c r="J124" s="200"/>
      <c r="K124" s="200"/>
      <c r="L124" s="200"/>
      <c r="M124" s="200"/>
      <c r="N124" s="200"/>
      <c r="O124" s="200">
        <v>1</v>
      </c>
      <c r="P124" s="200"/>
      <c r="Q124" s="200"/>
      <c r="R124" s="200">
        <v>2</v>
      </c>
      <c r="S124" s="200"/>
      <c r="T124" s="200"/>
      <c r="U124" s="200"/>
      <c r="V124" s="200"/>
      <c r="W124" s="200"/>
      <c r="X124" s="200">
        <v>1</v>
      </c>
      <c r="Y124" s="200">
        <v>1</v>
      </c>
      <c r="Z124" s="200"/>
      <c r="AA124" s="200">
        <v>1</v>
      </c>
      <c r="AB124" s="200">
        <v>1.2</v>
      </c>
      <c r="AC124" s="245">
        <f>1.2*0.35</f>
        <v>0.42</v>
      </c>
      <c r="AD124" s="245"/>
      <c r="AE124" s="200"/>
      <c r="AF124" s="200"/>
      <c r="AG124" s="200"/>
      <c r="AH124" s="133" t="str">
        <f t="shared" si="2"/>
        <v>OK!</v>
      </c>
    </row>
    <row r="125" spans="1:34" ht="27.6">
      <c r="A125" s="1100"/>
      <c r="B125" s="239" t="s">
        <v>1472</v>
      </c>
      <c r="C125" s="200">
        <v>1</v>
      </c>
      <c r="D125" s="200">
        <v>1</v>
      </c>
      <c r="E125" s="200"/>
      <c r="F125" s="200"/>
      <c r="G125" s="200"/>
      <c r="H125" s="200"/>
      <c r="I125" s="200">
        <v>1</v>
      </c>
      <c r="J125" s="200"/>
      <c r="K125" s="200"/>
      <c r="L125" s="200"/>
      <c r="M125" s="200"/>
      <c r="N125" s="200"/>
      <c r="O125" s="200">
        <v>1</v>
      </c>
      <c r="P125" s="200"/>
      <c r="Q125" s="200"/>
      <c r="R125" s="200">
        <v>2</v>
      </c>
      <c r="S125" s="200"/>
      <c r="T125" s="200"/>
      <c r="U125" s="200"/>
      <c r="V125" s="200"/>
      <c r="W125" s="200"/>
      <c r="X125" s="200">
        <v>1</v>
      </c>
      <c r="Y125" s="200">
        <v>1</v>
      </c>
      <c r="Z125" s="200"/>
      <c r="AA125" s="200">
        <v>1</v>
      </c>
      <c r="AB125" s="200">
        <v>1.2</v>
      </c>
      <c r="AC125" s="245">
        <f>1.2*0.35</f>
        <v>0.42</v>
      </c>
      <c r="AD125" s="245"/>
      <c r="AE125" s="200"/>
      <c r="AF125" s="200"/>
      <c r="AG125" s="200"/>
      <c r="AH125" s="133" t="str">
        <f t="shared" si="2"/>
        <v>OK!</v>
      </c>
    </row>
    <row r="126" spans="1:34">
      <c r="A126" s="238" t="s">
        <v>511</v>
      </c>
      <c r="B126" s="238"/>
      <c r="C126" s="200"/>
      <c r="D126" s="200"/>
      <c r="E126" s="200"/>
      <c r="F126" s="200">
        <v>1</v>
      </c>
      <c r="G126" s="200"/>
      <c r="H126" s="200">
        <v>1</v>
      </c>
      <c r="I126" s="200"/>
      <c r="J126" s="200"/>
      <c r="K126" s="200"/>
      <c r="L126" s="200"/>
      <c r="M126" s="200"/>
      <c r="N126" s="200">
        <v>1</v>
      </c>
      <c r="O126" s="200">
        <v>1</v>
      </c>
      <c r="P126" s="200"/>
      <c r="Q126" s="200"/>
      <c r="R126" s="200"/>
      <c r="S126" s="200"/>
      <c r="T126" s="200"/>
      <c r="U126" s="200"/>
      <c r="V126" s="200"/>
      <c r="W126" s="200"/>
      <c r="X126" s="200"/>
      <c r="Y126" s="200"/>
      <c r="Z126" s="200"/>
      <c r="AA126" s="200"/>
      <c r="AB126" s="200"/>
      <c r="AC126" s="245">
        <f>3.35*0.6</f>
        <v>2.0099999999999998</v>
      </c>
      <c r="AD126" s="245"/>
      <c r="AE126" s="200"/>
      <c r="AF126" s="200"/>
      <c r="AG126" s="200"/>
      <c r="AH126" s="133" t="str">
        <f t="shared" si="2"/>
        <v>OK!</v>
      </c>
    </row>
    <row r="127" spans="1:34">
      <c r="A127" s="238" t="s">
        <v>1473</v>
      </c>
      <c r="B127" s="238"/>
      <c r="C127" s="200"/>
      <c r="D127" s="200"/>
      <c r="E127" s="200"/>
      <c r="F127" s="200">
        <v>2</v>
      </c>
      <c r="G127" s="200"/>
      <c r="H127" s="200"/>
      <c r="I127" s="200"/>
      <c r="J127" s="200"/>
      <c r="K127" s="200"/>
      <c r="L127" s="200"/>
      <c r="M127" s="200"/>
      <c r="N127" s="200">
        <v>2</v>
      </c>
      <c r="O127" s="200"/>
      <c r="P127" s="200"/>
      <c r="Q127" s="200"/>
      <c r="R127" s="200"/>
      <c r="S127" s="200"/>
      <c r="T127" s="200"/>
      <c r="U127" s="200"/>
      <c r="V127" s="200"/>
      <c r="W127" s="200"/>
      <c r="X127" s="200"/>
      <c r="Y127" s="200"/>
      <c r="Z127" s="200"/>
      <c r="AA127" s="200"/>
      <c r="AB127" s="200"/>
      <c r="AC127" s="245"/>
      <c r="AD127" s="245">
        <f>3.89*0.6*2</f>
        <v>4.6680000000000001</v>
      </c>
      <c r="AE127" s="200"/>
      <c r="AF127" s="200"/>
      <c r="AG127" s="200"/>
      <c r="AH127" s="133" t="str">
        <f t="shared" si="2"/>
        <v>OK!</v>
      </c>
    </row>
    <row r="128" spans="1:34">
      <c r="A128" s="238" t="s">
        <v>516</v>
      </c>
      <c r="B128" s="238" t="s">
        <v>1199</v>
      </c>
      <c r="C128" s="200">
        <v>1</v>
      </c>
      <c r="D128" s="200">
        <v>1</v>
      </c>
      <c r="E128" s="200"/>
      <c r="F128" s="200"/>
      <c r="G128" s="200"/>
      <c r="H128" s="200">
        <v>1</v>
      </c>
      <c r="I128" s="200"/>
      <c r="J128" s="200"/>
      <c r="K128" s="200"/>
      <c r="L128" s="200"/>
      <c r="M128" s="200"/>
      <c r="N128" s="200"/>
      <c r="O128" s="200">
        <v>1</v>
      </c>
      <c r="P128" s="200"/>
      <c r="Q128" s="200">
        <v>1</v>
      </c>
      <c r="R128" s="200"/>
      <c r="S128" s="200"/>
      <c r="T128" s="200"/>
      <c r="U128" s="200"/>
      <c r="V128" s="200"/>
      <c r="W128" s="200">
        <v>1</v>
      </c>
      <c r="X128" s="200">
        <v>1</v>
      </c>
      <c r="Y128" s="200">
        <v>1</v>
      </c>
      <c r="Z128" s="200"/>
      <c r="AA128" s="200">
        <v>1</v>
      </c>
      <c r="AB128" s="200">
        <v>0.9</v>
      </c>
      <c r="AC128" s="245">
        <f>0.9*0.6</f>
        <v>0.54</v>
      </c>
      <c r="AD128" s="245"/>
      <c r="AE128" s="200"/>
      <c r="AF128" s="200"/>
      <c r="AG128" s="200"/>
      <c r="AH128" s="133" t="str">
        <f t="shared" si="2"/>
        <v>OK!</v>
      </c>
    </row>
    <row r="129" spans="1:34">
      <c r="A129" s="238"/>
      <c r="B129" s="238" t="s">
        <v>1198</v>
      </c>
      <c r="C129" s="200">
        <v>1</v>
      </c>
      <c r="D129" s="200">
        <v>1</v>
      </c>
      <c r="E129" s="200"/>
      <c r="F129" s="200"/>
      <c r="G129" s="200"/>
      <c r="H129" s="200">
        <v>1</v>
      </c>
      <c r="I129" s="200"/>
      <c r="J129" s="200"/>
      <c r="K129" s="200"/>
      <c r="L129" s="200"/>
      <c r="M129" s="200"/>
      <c r="N129" s="200"/>
      <c r="O129" s="200">
        <v>1</v>
      </c>
      <c r="P129" s="200"/>
      <c r="Q129" s="200">
        <v>1</v>
      </c>
      <c r="R129" s="200"/>
      <c r="S129" s="200"/>
      <c r="T129" s="200"/>
      <c r="U129" s="200"/>
      <c r="V129" s="200"/>
      <c r="W129" s="200">
        <v>1</v>
      </c>
      <c r="X129" s="200">
        <v>1</v>
      </c>
      <c r="Y129" s="200">
        <v>1</v>
      </c>
      <c r="Z129" s="200"/>
      <c r="AA129" s="200">
        <v>1</v>
      </c>
      <c r="AB129" s="200">
        <v>0.9</v>
      </c>
      <c r="AC129" s="245">
        <f>0.9*0.6</f>
        <v>0.54</v>
      </c>
      <c r="AD129" s="245"/>
      <c r="AE129" s="200"/>
      <c r="AF129" s="200"/>
      <c r="AG129" s="200"/>
      <c r="AH129" s="133" t="str">
        <f t="shared" si="2"/>
        <v>OK!</v>
      </c>
    </row>
    <row r="130" spans="1:34">
      <c r="A130" s="238" t="s">
        <v>407</v>
      </c>
      <c r="B130" s="239"/>
      <c r="C130" s="200"/>
      <c r="D130" s="200"/>
      <c r="E130" s="200"/>
      <c r="F130" s="200"/>
      <c r="G130" s="200"/>
      <c r="H130" s="200"/>
      <c r="I130" s="200"/>
      <c r="J130" s="200"/>
      <c r="K130" s="200"/>
      <c r="L130" s="200"/>
      <c r="M130" s="200"/>
      <c r="N130" s="200"/>
      <c r="O130" s="200"/>
      <c r="P130" s="200"/>
      <c r="Q130" s="200"/>
      <c r="R130" s="200"/>
      <c r="S130" s="200"/>
      <c r="T130" s="200"/>
      <c r="U130" s="200"/>
      <c r="V130" s="200"/>
      <c r="W130" s="200"/>
      <c r="X130" s="200"/>
      <c r="Y130" s="200"/>
      <c r="Z130" s="200"/>
      <c r="AA130" s="200"/>
      <c r="AB130" s="200"/>
      <c r="AC130" s="245">
        <f>4.8*0.6*0.6*6.39</f>
        <v>11.041919999999999</v>
      </c>
      <c r="AD130" s="245"/>
      <c r="AE130" s="200"/>
      <c r="AF130" s="200"/>
      <c r="AG130" s="200"/>
      <c r="AH130" s="133" t="str">
        <f t="shared" si="2"/>
        <v>OK!</v>
      </c>
    </row>
    <row r="131" spans="1:34" ht="27.6">
      <c r="A131" s="238" t="s">
        <v>1474</v>
      </c>
      <c r="B131" s="239" t="s">
        <v>1475</v>
      </c>
      <c r="C131" s="200">
        <v>2</v>
      </c>
      <c r="D131" s="200">
        <v>2</v>
      </c>
      <c r="E131" s="200"/>
      <c r="F131" s="200"/>
      <c r="G131" s="200"/>
      <c r="H131" s="200"/>
      <c r="I131" s="200">
        <v>2</v>
      </c>
      <c r="J131" s="200"/>
      <c r="K131" s="200"/>
      <c r="L131" s="238"/>
      <c r="M131" s="238"/>
      <c r="N131" s="200"/>
      <c r="O131" s="200">
        <v>2</v>
      </c>
      <c r="P131" s="200"/>
      <c r="Q131" s="200">
        <v>2</v>
      </c>
      <c r="R131" s="200">
        <v>4</v>
      </c>
      <c r="S131" s="200">
        <v>2</v>
      </c>
      <c r="T131" s="200">
        <v>2</v>
      </c>
      <c r="U131" s="200">
        <v>2</v>
      </c>
      <c r="V131" s="200"/>
      <c r="W131" s="200">
        <v>2</v>
      </c>
      <c r="X131" s="200">
        <v>2</v>
      </c>
      <c r="Y131" s="200">
        <v>2</v>
      </c>
      <c r="Z131" s="200"/>
      <c r="AA131" s="200">
        <v>2</v>
      </c>
      <c r="AB131" s="200">
        <v>2.4</v>
      </c>
      <c r="AC131" s="245">
        <f>1.29*0.35</f>
        <v>0.45149999999999996</v>
      </c>
      <c r="AD131" s="245"/>
      <c r="AE131" s="200"/>
      <c r="AF131" s="238"/>
      <c r="AG131" s="238"/>
      <c r="AH131" s="133" t="str">
        <f t="shared" si="2"/>
        <v>OK!</v>
      </c>
    </row>
    <row r="132" spans="1:34">
      <c r="A132" s="238" t="s">
        <v>1476</v>
      </c>
      <c r="B132" s="239"/>
      <c r="C132" s="200"/>
      <c r="D132" s="200"/>
      <c r="E132" s="200"/>
      <c r="F132" s="200">
        <v>4</v>
      </c>
      <c r="G132" s="200"/>
      <c r="H132" s="200"/>
      <c r="I132" s="200"/>
      <c r="J132" s="200"/>
      <c r="K132" s="200"/>
      <c r="L132" s="238"/>
      <c r="M132" s="238"/>
      <c r="N132" s="200">
        <v>4</v>
      </c>
      <c r="O132" s="200"/>
      <c r="P132" s="200"/>
      <c r="Q132" s="200"/>
      <c r="R132" s="200"/>
      <c r="S132" s="200"/>
      <c r="T132" s="200"/>
      <c r="U132" s="200"/>
      <c r="V132" s="200"/>
      <c r="W132" s="200"/>
      <c r="X132" s="200"/>
      <c r="Y132" s="200"/>
      <c r="Z132" s="200"/>
      <c r="AA132" s="200"/>
      <c r="AB132" s="200"/>
      <c r="AC132" s="245"/>
      <c r="AD132" s="245">
        <f>3.7*0.6*4</f>
        <v>8.8800000000000008</v>
      </c>
      <c r="AE132" s="200"/>
      <c r="AF132" s="238"/>
      <c r="AG132" s="238"/>
      <c r="AH132" s="133" t="str">
        <f t="shared" si="2"/>
        <v>OK!</v>
      </c>
    </row>
    <row r="133" spans="1:34">
      <c r="A133" s="238" t="s">
        <v>1477</v>
      </c>
      <c r="B133" s="238"/>
      <c r="C133" s="200"/>
      <c r="D133" s="200"/>
      <c r="E133" s="200"/>
      <c r="F133" s="200">
        <v>2</v>
      </c>
      <c r="G133" s="200"/>
      <c r="H133" s="200"/>
      <c r="I133" s="200"/>
      <c r="J133" s="200"/>
      <c r="K133" s="200"/>
      <c r="L133" s="238"/>
      <c r="M133" s="238"/>
      <c r="N133" s="200">
        <v>2</v>
      </c>
      <c r="O133" s="200"/>
      <c r="P133" s="200"/>
      <c r="Q133" s="200"/>
      <c r="R133" s="200"/>
      <c r="S133" s="200"/>
      <c r="T133" s="200"/>
      <c r="U133" s="200"/>
      <c r="V133" s="200"/>
      <c r="W133" s="200"/>
      <c r="X133" s="200"/>
      <c r="Y133" s="200"/>
      <c r="Z133" s="200"/>
      <c r="AA133" s="200"/>
      <c r="AB133" s="200"/>
      <c r="AC133" s="245">
        <f>8.05*0.6*2</f>
        <v>9.66</v>
      </c>
      <c r="AD133" s="245"/>
      <c r="AE133" s="200"/>
      <c r="AF133" s="238"/>
      <c r="AG133" s="200"/>
      <c r="AH133" s="133" t="str">
        <f t="shared" si="2"/>
        <v>OK!</v>
      </c>
    </row>
    <row r="134" spans="1:34">
      <c r="A134" s="238"/>
      <c r="B134" s="238"/>
      <c r="C134" s="200"/>
      <c r="D134" s="200"/>
      <c r="E134" s="200"/>
      <c r="F134" s="200"/>
      <c r="G134" s="200"/>
      <c r="H134" s="200"/>
      <c r="I134" s="200"/>
      <c r="J134" s="200"/>
      <c r="K134" s="200"/>
      <c r="L134" s="238"/>
      <c r="M134" s="238"/>
      <c r="N134" s="200"/>
      <c r="O134" s="200"/>
      <c r="P134" s="200"/>
      <c r="Q134" s="200"/>
      <c r="R134" s="200"/>
      <c r="S134" s="200"/>
      <c r="T134" s="200"/>
      <c r="U134" s="200"/>
      <c r="V134" s="200"/>
      <c r="W134" s="200"/>
      <c r="X134" s="200"/>
      <c r="Y134" s="200"/>
      <c r="Z134" s="200"/>
      <c r="AA134" s="200"/>
      <c r="AB134" s="200"/>
      <c r="AC134" s="245"/>
      <c r="AD134" s="245"/>
      <c r="AE134" s="200"/>
      <c r="AF134" s="238"/>
      <c r="AG134" s="238"/>
      <c r="AH134" s="133" t="str">
        <f t="shared" si="2"/>
        <v>OK!</v>
      </c>
    </row>
    <row r="135" spans="1:34">
      <c r="A135" s="238"/>
      <c r="B135" s="238"/>
      <c r="C135" s="200"/>
      <c r="D135" s="200"/>
      <c r="E135" s="200"/>
      <c r="F135" s="200"/>
      <c r="G135" s="200"/>
      <c r="H135" s="200"/>
      <c r="I135" s="200"/>
      <c r="J135" s="200"/>
      <c r="K135" s="200"/>
      <c r="L135" s="238"/>
      <c r="M135" s="238"/>
      <c r="N135" s="200"/>
      <c r="O135" s="200"/>
      <c r="P135" s="200"/>
      <c r="Q135" s="200"/>
      <c r="R135" s="200"/>
      <c r="S135" s="200"/>
      <c r="T135" s="200"/>
      <c r="U135" s="200"/>
      <c r="V135" s="200"/>
      <c r="W135" s="200"/>
      <c r="X135" s="200"/>
      <c r="Y135" s="200"/>
      <c r="Z135" s="200"/>
      <c r="AA135" s="200"/>
      <c r="AB135" s="200"/>
      <c r="AC135" s="245"/>
      <c r="AD135" s="245"/>
      <c r="AE135" s="200"/>
      <c r="AF135" s="238"/>
      <c r="AG135" s="238"/>
      <c r="AH135" s="133" t="str">
        <f t="shared" si="2"/>
        <v>OK!</v>
      </c>
    </row>
    <row r="136" spans="1:34">
      <c r="A136" s="238"/>
      <c r="B136" s="238"/>
      <c r="C136" s="200"/>
      <c r="D136" s="200"/>
      <c r="E136" s="200"/>
      <c r="F136" s="200"/>
      <c r="G136" s="200"/>
      <c r="H136" s="200"/>
      <c r="I136" s="200"/>
      <c r="J136" s="200"/>
      <c r="K136" s="200"/>
      <c r="L136" s="200"/>
      <c r="M136" s="200"/>
      <c r="N136" s="200"/>
      <c r="O136" s="200"/>
      <c r="P136" s="200"/>
      <c r="Q136" s="200"/>
      <c r="R136" s="200"/>
      <c r="S136" s="200"/>
      <c r="T136" s="200"/>
      <c r="U136" s="200"/>
      <c r="V136" s="200"/>
      <c r="W136" s="200"/>
      <c r="X136" s="200"/>
      <c r="Y136" s="200"/>
      <c r="Z136" s="200"/>
      <c r="AA136" s="200"/>
      <c r="AB136" s="200"/>
      <c r="AC136" s="245"/>
      <c r="AD136" s="245"/>
      <c r="AE136" s="200"/>
      <c r="AF136" s="200"/>
      <c r="AG136" s="200"/>
      <c r="AH136" s="133" t="str">
        <f t="shared" si="2"/>
        <v>OK!</v>
      </c>
    </row>
    <row r="137" spans="1:34" s="132" customFormat="1" ht="15.6">
      <c r="A137" s="1101" t="s">
        <v>2499</v>
      </c>
      <c r="B137" s="1102"/>
      <c r="C137" s="1102"/>
      <c r="D137" s="1102"/>
      <c r="E137" s="1102"/>
      <c r="F137" s="1102"/>
      <c r="G137" s="1102"/>
      <c r="H137" s="1102"/>
      <c r="I137" s="1102"/>
      <c r="J137" s="1102"/>
      <c r="K137" s="1102"/>
      <c r="L137" s="1102"/>
      <c r="M137" s="1102"/>
      <c r="N137" s="1102"/>
      <c r="O137" s="1102"/>
      <c r="P137" s="1102"/>
      <c r="Q137" s="1102"/>
      <c r="R137" s="1102"/>
      <c r="S137" s="1102"/>
      <c r="T137" s="1102"/>
      <c r="U137" s="1102"/>
      <c r="V137" s="1102"/>
      <c r="W137" s="1102"/>
      <c r="X137" s="1102"/>
      <c r="Y137" s="1102"/>
      <c r="Z137" s="1102"/>
      <c r="AA137" s="1102"/>
      <c r="AB137" s="1102"/>
      <c r="AC137" s="1102"/>
      <c r="AD137" s="1102"/>
      <c r="AE137" s="1102"/>
      <c r="AF137" s="1102"/>
      <c r="AG137" s="1103"/>
      <c r="AH137" s="133" t="str">
        <f t="shared" si="2"/>
        <v>OK!</v>
      </c>
    </row>
    <row r="138" spans="1:34" ht="41.4">
      <c r="A138" s="1099" t="s">
        <v>408</v>
      </c>
      <c r="B138" s="239" t="s">
        <v>1121</v>
      </c>
      <c r="C138" s="200">
        <v>1</v>
      </c>
      <c r="D138" s="200">
        <v>1</v>
      </c>
      <c r="E138" s="200"/>
      <c r="F138" s="200"/>
      <c r="G138" s="200"/>
      <c r="H138" s="200"/>
      <c r="I138" s="200">
        <v>1</v>
      </c>
      <c r="J138" s="200"/>
      <c r="K138" s="200"/>
      <c r="L138" s="238"/>
      <c r="M138" s="238"/>
      <c r="N138" s="200"/>
      <c r="O138" s="200">
        <v>1</v>
      </c>
      <c r="P138" s="200"/>
      <c r="Q138" s="200"/>
      <c r="R138" s="200">
        <v>2</v>
      </c>
      <c r="S138" s="200"/>
      <c r="T138" s="200"/>
      <c r="U138" s="200"/>
      <c r="V138" s="200"/>
      <c r="W138" s="200"/>
      <c r="X138" s="200">
        <v>1</v>
      </c>
      <c r="Y138" s="200">
        <v>1</v>
      </c>
      <c r="Z138" s="200"/>
      <c r="AA138" s="200">
        <v>1</v>
      </c>
      <c r="AB138" s="200">
        <v>1.6</v>
      </c>
      <c r="AC138" s="245">
        <v>0.96</v>
      </c>
      <c r="AD138" s="245"/>
      <c r="AE138" s="200"/>
      <c r="AF138" s="200">
        <v>5.98</v>
      </c>
      <c r="AG138" s="200"/>
      <c r="AH138" s="133" t="str">
        <f t="shared" si="2"/>
        <v>OK!</v>
      </c>
    </row>
    <row r="139" spans="1:34" ht="41.4">
      <c r="A139" s="1100"/>
      <c r="B139" s="239" t="s">
        <v>1120</v>
      </c>
      <c r="C139" s="200">
        <v>1</v>
      </c>
      <c r="D139" s="200">
        <v>1</v>
      </c>
      <c r="E139" s="200"/>
      <c r="F139" s="200"/>
      <c r="G139" s="200"/>
      <c r="H139" s="200"/>
      <c r="I139" s="200">
        <v>1</v>
      </c>
      <c r="J139" s="200"/>
      <c r="K139" s="200"/>
      <c r="L139" s="238"/>
      <c r="M139" s="238"/>
      <c r="N139" s="200"/>
      <c r="O139" s="200">
        <v>1</v>
      </c>
      <c r="P139" s="200"/>
      <c r="Q139" s="200"/>
      <c r="R139" s="200">
        <v>2</v>
      </c>
      <c r="S139" s="200"/>
      <c r="T139" s="200"/>
      <c r="U139" s="200"/>
      <c r="V139" s="200"/>
      <c r="W139" s="200"/>
      <c r="X139" s="200">
        <v>1</v>
      </c>
      <c r="Y139" s="200">
        <v>1</v>
      </c>
      <c r="Z139" s="200"/>
      <c r="AA139" s="200">
        <v>1</v>
      </c>
      <c r="AB139" s="200">
        <v>1.6</v>
      </c>
      <c r="AC139" s="245">
        <v>0.96</v>
      </c>
      <c r="AD139" s="245"/>
      <c r="AE139" s="200"/>
      <c r="AF139" s="238"/>
      <c r="AG139" s="238"/>
      <c r="AH139" s="133" t="str">
        <f t="shared" ref="AH139:AH217" si="5">IF((F139+H139+I139+J139+K139+L139+M139)=(N139+O139),"OK!","Falta torneiras!")</f>
        <v>OK!</v>
      </c>
    </row>
    <row r="140" spans="1:34">
      <c r="A140" s="238" t="s">
        <v>529</v>
      </c>
      <c r="B140" s="238"/>
      <c r="C140" s="200"/>
      <c r="D140" s="200"/>
      <c r="E140" s="200"/>
      <c r="F140" s="200">
        <v>1</v>
      </c>
      <c r="G140" s="200"/>
      <c r="H140" s="200"/>
      <c r="I140" s="200"/>
      <c r="J140" s="200"/>
      <c r="K140" s="200"/>
      <c r="L140" s="238">
        <v>1</v>
      </c>
      <c r="M140" s="238"/>
      <c r="N140" s="200">
        <v>1</v>
      </c>
      <c r="O140" s="200"/>
      <c r="P140" s="200"/>
      <c r="Q140" s="200"/>
      <c r="R140" s="200"/>
      <c r="S140" s="200"/>
      <c r="T140" s="200"/>
      <c r="U140" s="200"/>
      <c r="V140" s="200"/>
      <c r="W140" s="200"/>
      <c r="X140" s="200"/>
      <c r="Y140" s="200"/>
      <c r="Z140" s="200"/>
      <c r="AA140" s="200"/>
      <c r="AB140" s="200"/>
      <c r="AC140" s="245"/>
      <c r="AD140" s="245">
        <v>1.71</v>
      </c>
      <c r="AE140" s="200"/>
      <c r="AF140" s="238"/>
      <c r="AG140" s="238"/>
      <c r="AH140" s="133" t="str">
        <f t="shared" si="5"/>
        <v>Falta torneiras!</v>
      </c>
    </row>
    <row r="141" spans="1:34">
      <c r="A141" s="238" t="s">
        <v>1140</v>
      </c>
      <c r="B141" s="238" t="s">
        <v>1141</v>
      </c>
      <c r="C141" s="200">
        <v>14</v>
      </c>
      <c r="D141" s="200">
        <v>14</v>
      </c>
      <c r="E141" s="200"/>
      <c r="F141" s="200"/>
      <c r="G141" s="200">
        <v>14</v>
      </c>
      <c r="H141" s="200">
        <v>14</v>
      </c>
      <c r="I141" s="238"/>
      <c r="J141" s="200">
        <v>14</v>
      </c>
      <c r="K141" s="200"/>
      <c r="L141" s="238">
        <v>14</v>
      </c>
      <c r="M141" s="238"/>
      <c r="N141" s="200">
        <v>14</v>
      </c>
      <c r="O141" s="200">
        <v>28</v>
      </c>
      <c r="P141" s="200"/>
      <c r="Q141" s="200">
        <v>14</v>
      </c>
      <c r="R141" s="200">
        <v>14</v>
      </c>
      <c r="S141" s="200">
        <v>14</v>
      </c>
      <c r="T141" s="200"/>
      <c r="U141" s="200"/>
      <c r="V141" s="200"/>
      <c r="W141" s="200">
        <v>14</v>
      </c>
      <c r="X141" s="200">
        <v>28</v>
      </c>
      <c r="Y141" s="200">
        <v>28</v>
      </c>
      <c r="Z141" s="200"/>
      <c r="AA141" s="200">
        <v>14</v>
      </c>
      <c r="AB141" s="200">
        <v>12.6</v>
      </c>
      <c r="AC141" s="245">
        <v>12.3</v>
      </c>
      <c r="AD141" s="245"/>
      <c r="AE141" s="200"/>
      <c r="AF141" s="238"/>
      <c r="AG141" s="238"/>
      <c r="AH141" s="133" t="str">
        <f t="shared" si="5"/>
        <v>OK!</v>
      </c>
    </row>
    <row r="142" spans="1:34">
      <c r="A142" s="238" t="s">
        <v>1142</v>
      </c>
      <c r="B142" s="238"/>
      <c r="C142" s="238"/>
      <c r="D142" s="238"/>
      <c r="E142" s="238"/>
      <c r="F142" s="238">
        <v>2</v>
      </c>
      <c r="G142" s="238"/>
      <c r="H142" s="200"/>
      <c r="I142" s="238"/>
      <c r="J142" s="238"/>
      <c r="K142" s="200"/>
      <c r="L142" s="238"/>
      <c r="M142" s="238"/>
      <c r="N142" s="200">
        <v>2</v>
      </c>
      <c r="O142" s="200"/>
      <c r="P142" s="200"/>
      <c r="Q142" s="238"/>
      <c r="R142" s="238"/>
      <c r="S142" s="238"/>
      <c r="T142" s="238"/>
      <c r="U142" s="238"/>
      <c r="V142" s="238"/>
      <c r="W142" s="238"/>
      <c r="X142" s="238"/>
      <c r="Y142" s="238"/>
      <c r="Z142" s="238"/>
      <c r="AA142" s="238"/>
      <c r="AB142" s="238"/>
      <c r="AC142" s="245"/>
      <c r="AD142" s="245">
        <v>4.74</v>
      </c>
      <c r="AE142" s="238"/>
      <c r="AF142" s="238"/>
      <c r="AG142" s="238"/>
      <c r="AH142" s="133" t="str">
        <f t="shared" si="5"/>
        <v>OK!</v>
      </c>
    </row>
    <row r="143" spans="1:34">
      <c r="A143" s="238" t="s">
        <v>1143</v>
      </c>
      <c r="B143" s="238" t="s">
        <v>428</v>
      </c>
      <c r="C143" s="200">
        <v>2</v>
      </c>
      <c r="D143" s="200">
        <v>2</v>
      </c>
      <c r="E143" s="200"/>
      <c r="F143" s="200"/>
      <c r="G143" s="200"/>
      <c r="H143" s="200">
        <v>3</v>
      </c>
      <c r="I143" s="200"/>
      <c r="J143" s="200"/>
      <c r="K143" s="200"/>
      <c r="L143" s="238"/>
      <c r="M143" s="238"/>
      <c r="N143" s="200"/>
      <c r="O143" s="200">
        <v>2</v>
      </c>
      <c r="P143" s="200"/>
      <c r="Q143" s="200">
        <v>2</v>
      </c>
      <c r="R143" s="200"/>
      <c r="S143" s="200"/>
      <c r="T143" s="200"/>
      <c r="U143" s="200"/>
      <c r="V143" s="200"/>
      <c r="W143" s="200">
        <v>2</v>
      </c>
      <c r="X143" s="200">
        <v>2</v>
      </c>
      <c r="Y143" s="200">
        <v>2</v>
      </c>
      <c r="Z143" s="200"/>
      <c r="AA143" s="200">
        <v>2</v>
      </c>
      <c r="AB143" s="200">
        <v>1.8</v>
      </c>
      <c r="AC143" s="245">
        <v>1.08</v>
      </c>
      <c r="AD143" s="245"/>
      <c r="AE143" s="200"/>
      <c r="AF143" s="238"/>
      <c r="AG143" s="238"/>
      <c r="AH143" s="133" t="str">
        <f t="shared" si="5"/>
        <v>Falta torneiras!</v>
      </c>
    </row>
    <row r="144" spans="1:34">
      <c r="A144" s="238" t="s">
        <v>1144</v>
      </c>
      <c r="B144" s="238"/>
      <c r="C144" s="200">
        <v>2</v>
      </c>
      <c r="D144" s="200">
        <v>2</v>
      </c>
      <c r="E144" s="200">
        <v>3</v>
      </c>
      <c r="F144" s="200"/>
      <c r="G144" s="200"/>
      <c r="H144" s="200">
        <v>4</v>
      </c>
      <c r="I144" s="200"/>
      <c r="J144" s="200"/>
      <c r="K144" s="200"/>
      <c r="L144" s="238"/>
      <c r="M144" s="238"/>
      <c r="N144" s="200"/>
      <c r="O144" s="200">
        <v>4</v>
      </c>
      <c r="P144" s="200"/>
      <c r="Q144" s="200">
        <v>2</v>
      </c>
      <c r="R144" s="200"/>
      <c r="S144" s="200"/>
      <c r="T144" s="200"/>
      <c r="U144" s="200"/>
      <c r="V144" s="200"/>
      <c r="W144" s="200">
        <v>2</v>
      </c>
      <c r="X144" s="200">
        <v>3</v>
      </c>
      <c r="Y144" s="200">
        <v>2</v>
      </c>
      <c r="Z144" s="200">
        <v>2</v>
      </c>
      <c r="AA144" s="200"/>
      <c r="AB144" s="200">
        <v>3.85</v>
      </c>
      <c r="AC144" s="245">
        <v>2.3199999999999998</v>
      </c>
      <c r="AD144" s="245"/>
      <c r="AE144" s="200">
        <v>17.600000000000001</v>
      </c>
      <c r="AF144" s="238"/>
      <c r="AG144" s="238"/>
      <c r="AH144" s="133" t="str">
        <f t="shared" si="5"/>
        <v>OK!</v>
      </c>
    </row>
    <row r="145" spans="1:34">
      <c r="A145" s="238" t="s">
        <v>1145</v>
      </c>
      <c r="B145" s="238"/>
      <c r="C145" s="200">
        <v>4</v>
      </c>
      <c r="D145" s="200">
        <v>4</v>
      </c>
      <c r="E145" s="200"/>
      <c r="F145" s="200"/>
      <c r="G145" s="200"/>
      <c r="H145" s="200">
        <v>4</v>
      </c>
      <c r="I145" s="200"/>
      <c r="J145" s="200"/>
      <c r="K145" s="200"/>
      <c r="L145" s="238"/>
      <c r="M145" s="238"/>
      <c r="N145" s="200"/>
      <c r="O145" s="200">
        <v>4</v>
      </c>
      <c r="P145" s="200"/>
      <c r="Q145" s="200">
        <v>2</v>
      </c>
      <c r="R145" s="200"/>
      <c r="S145" s="200"/>
      <c r="T145" s="200"/>
      <c r="U145" s="200"/>
      <c r="V145" s="200"/>
      <c r="W145" s="200">
        <v>2</v>
      </c>
      <c r="X145" s="200">
        <v>2</v>
      </c>
      <c r="Y145" s="200">
        <v>2</v>
      </c>
      <c r="Z145" s="200">
        <v>4</v>
      </c>
      <c r="AA145" s="200"/>
      <c r="AB145" s="200">
        <v>3.85</v>
      </c>
      <c r="AC145" s="245">
        <v>2.3199999999999998</v>
      </c>
      <c r="AD145" s="245"/>
      <c r="AE145" s="200">
        <v>21.98</v>
      </c>
      <c r="AF145" s="238"/>
      <c r="AG145" s="238"/>
      <c r="AH145" s="133" t="str">
        <f t="shared" si="5"/>
        <v>OK!</v>
      </c>
    </row>
    <row r="146" spans="1:34">
      <c r="A146" s="238" t="s">
        <v>1082</v>
      </c>
      <c r="B146" s="238"/>
      <c r="C146" s="200">
        <v>1</v>
      </c>
      <c r="D146" s="200">
        <v>1</v>
      </c>
      <c r="E146" s="200"/>
      <c r="F146" s="200"/>
      <c r="G146" s="200"/>
      <c r="H146" s="200"/>
      <c r="I146" s="200">
        <v>1</v>
      </c>
      <c r="J146" s="200"/>
      <c r="K146" s="200"/>
      <c r="L146" s="238"/>
      <c r="M146" s="238"/>
      <c r="N146" s="200"/>
      <c r="O146" s="200">
        <v>1</v>
      </c>
      <c r="P146" s="200"/>
      <c r="Q146" s="200"/>
      <c r="R146" s="200">
        <v>2</v>
      </c>
      <c r="S146" s="200"/>
      <c r="T146" s="200"/>
      <c r="U146" s="200"/>
      <c r="V146" s="200"/>
      <c r="W146" s="200"/>
      <c r="X146" s="200">
        <v>1</v>
      </c>
      <c r="Y146" s="200">
        <v>1</v>
      </c>
      <c r="Z146" s="200"/>
      <c r="AA146" s="200">
        <v>1</v>
      </c>
      <c r="AB146" s="200">
        <v>1.2</v>
      </c>
      <c r="AC146" s="245">
        <v>0.72</v>
      </c>
      <c r="AD146" s="245"/>
      <c r="AE146" s="200"/>
      <c r="AF146" s="238"/>
      <c r="AG146" s="238"/>
      <c r="AH146" s="133" t="str">
        <f t="shared" si="5"/>
        <v>OK!</v>
      </c>
    </row>
    <row r="147" spans="1:34" s="134" customFormat="1">
      <c r="A147" s="238" t="s">
        <v>1083</v>
      </c>
      <c r="B147" s="238"/>
      <c r="C147" s="200">
        <v>1</v>
      </c>
      <c r="D147" s="200">
        <v>1</v>
      </c>
      <c r="E147" s="200"/>
      <c r="F147" s="200"/>
      <c r="G147" s="200"/>
      <c r="H147" s="200"/>
      <c r="I147" s="200">
        <v>1</v>
      </c>
      <c r="J147" s="200"/>
      <c r="K147" s="200"/>
      <c r="L147" s="241"/>
      <c r="M147" s="241"/>
      <c r="N147" s="200"/>
      <c r="O147" s="200">
        <v>1</v>
      </c>
      <c r="P147" s="200"/>
      <c r="Q147" s="200"/>
      <c r="R147" s="200">
        <v>2</v>
      </c>
      <c r="S147" s="200"/>
      <c r="T147" s="200"/>
      <c r="U147" s="200"/>
      <c r="V147" s="200"/>
      <c r="W147" s="200"/>
      <c r="X147" s="200">
        <v>1</v>
      </c>
      <c r="Y147" s="200">
        <v>1</v>
      </c>
      <c r="Z147" s="200"/>
      <c r="AA147" s="200">
        <v>1</v>
      </c>
      <c r="AB147" s="200">
        <v>1.2</v>
      </c>
      <c r="AC147" s="245">
        <v>0.72</v>
      </c>
      <c r="AD147" s="245"/>
      <c r="AE147" s="200"/>
      <c r="AF147" s="241"/>
      <c r="AG147" s="241"/>
      <c r="AH147" s="133" t="str">
        <f t="shared" si="5"/>
        <v>OK!</v>
      </c>
    </row>
    <row r="148" spans="1:34" ht="14.25" customHeight="1">
      <c r="A148" s="238" t="s">
        <v>1146</v>
      </c>
      <c r="B148" s="238" t="s">
        <v>428</v>
      </c>
      <c r="C148" s="200">
        <v>1</v>
      </c>
      <c r="D148" s="200">
        <v>1</v>
      </c>
      <c r="E148" s="200"/>
      <c r="F148" s="200"/>
      <c r="G148" s="200">
        <v>1</v>
      </c>
      <c r="H148" s="200">
        <v>1</v>
      </c>
      <c r="I148" s="200"/>
      <c r="J148" s="200">
        <v>1</v>
      </c>
      <c r="K148" s="200"/>
      <c r="L148" s="238">
        <v>1</v>
      </c>
      <c r="M148" s="238"/>
      <c r="N148" s="200">
        <v>1</v>
      </c>
      <c r="O148" s="200">
        <v>2</v>
      </c>
      <c r="P148" s="200"/>
      <c r="Q148" s="200">
        <v>1</v>
      </c>
      <c r="R148" s="200">
        <v>1</v>
      </c>
      <c r="S148" s="200">
        <v>1</v>
      </c>
      <c r="T148" s="200"/>
      <c r="U148" s="200"/>
      <c r="V148" s="200"/>
      <c r="W148" s="200">
        <v>1</v>
      </c>
      <c r="X148" s="200">
        <v>2</v>
      </c>
      <c r="Y148" s="200">
        <v>2</v>
      </c>
      <c r="Z148" s="200"/>
      <c r="AA148" s="200">
        <v>1</v>
      </c>
      <c r="AB148" s="200">
        <v>0.9</v>
      </c>
      <c r="AC148" s="245">
        <v>1.38</v>
      </c>
      <c r="AD148" s="245"/>
      <c r="AE148" s="200"/>
      <c r="AF148" s="238"/>
      <c r="AG148" s="238"/>
      <c r="AH148" s="133" t="str">
        <f t="shared" si="5"/>
        <v>OK!</v>
      </c>
    </row>
    <row r="149" spans="1:34" ht="14.25" customHeight="1">
      <c r="A149" s="238"/>
      <c r="B149" s="238"/>
      <c r="C149" s="200"/>
      <c r="D149" s="200"/>
      <c r="E149" s="200"/>
      <c r="F149" s="200"/>
      <c r="G149" s="200"/>
      <c r="H149" s="200"/>
      <c r="I149" s="200"/>
      <c r="J149" s="200"/>
      <c r="K149" s="200"/>
      <c r="L149" s="238"/>
      <c r="M149" s="238"/>
      <c r="N149" s="200"/>
      <c r="O149" s="200"/>
      <c r="P149" s="200"/>
      <c r="Q149" s="200"/>
      <c r="R149" s="200"/>
      <c r="S149" s="200"/>
      <c r="T149" s="200"/>
      <c r="U149" s="200"/>
      <c r="V149" s="200"/>
      <c r="W149" s="200"/>
      <c r="X149" s="200"/>
      <c r="Y149" s="200"/>
      <c r="Z149" s="200"/>
      <c r="AA149" s="200"/>
      <c r="AB149" s="200"/>
      <c r="AC149" s="245"/>
      <c r="AD149" s="245"/>
      <c r="AE149" s="200"/>
      <c r="AF149" s="238"/>
      <c r="AG149" s="238"/>
    </row>
    <row r="150" spans="1:34" ht="14.25" customHeight="1">
      <c r="A150" s="1101" t="s">
        <v>2498</v>
      </c>
      <c r="B150" s="1102"/>
      <c r="C150" s="1102"/>
      <c r="D150" s="1102"/>
      <c r="E150" s="1102"/>
      <c r="F150" s="1102"/>
      <c r="G150" s="1102"/>
      <c r="H150" s="1102"/>
      <c r="I150" s="1102"/>
      <c r="J150" s="1102"/>
      <c r="K150" s="1102"/>
      <c r="L150" s="1102"/>
      <c r="M150" s="1102"/>
      <c r="N150" s="1102"/>
      <c r="O150" s="1102"/>
      <c r="P150" s="1102"/>
      <c r="Q150" s="1102"/>
      <c r="R150" s="1102"/>
      <c r="S150" s="1102"/>
      <c r="T150" s="1102"/>
      <c r="U150" s="1102"/>
      <c r="V150" s="1102"/>
      <c r="W150" s="1102"/>
      <c r="X150" s="1102"/>
      <c r="Y150" s="1102"/>
      <c r="Z150" s="1102"/>
      <c r="AA150" s="1102"/>
      <c r="AB150" s="1102"/>
      <c r="AC150" s="1102"/>
      <c r="AD150" s="1102"/>
      <c r="AE150" s="1102"/>
      <c r="AF150" s="1102"/>
      <c r="AG150" s="1103"/>
    </row>
    <row r="151" spans="1:34" ht="14.25" customHeight="1">
      <c r="A151" s="1099" t="s">
        <v>408</v>
      </c>
      <c r="B151" s="239" t="s">
        <v>1121</v>
      </c>
      <c r="C151" s="200">
        <v>1</v>
      </c>
      <c r="D151" s="200">
        <v>1</v>
      </c>
      <c r="E151" s="200"/>
      <c r="F151" s="200"/>
      <c r="G151" s="200"/>
      <c r="H151" s="200"/>
      <c r="I151" s="200">
        <v>1</v>
      </c>
      <c r="J151" s="200"/>
      <c r="K151" s="200"/>
      <c r="L151" s="238"/>
      <c r="M151" s="238"/>
      <c r="N151" s="200"/>
      <c r="O151" s="200">
        <v>1</v>
      </c>
      <c r="P151" s="200"/>
      <c r="Q151" s="200"/>
      <c r="R151" s="200">
        <v>2</v>
      </c>
      <c r="S151" s="200"/>
      <c r="T151" s="200"/>
      <c r="U151" s="200"/>
      <c r="V151" s="200"/>
      <c r="W151" s="200"/>
      <c r="X151" s="200">
        <v>1</v>
      </c>
      <c r="Y151" s="200">
        <v>1</v>
      </c>
      <c r="Z151" s="200"/>
      <c r="AA151" s="200">
        <v>1</v>
      </c>
      <c r="AB151" s="200">
        <v>1.6</v>
      </c>
      <c r="AC151" s="245">
        <v>0.96</v>
      </c>
      <c r="AD151" s="245"/>
      <c r="AE151" s="200"/>
      <c r="AF151" s="200">
        <v>5.98</v>
      </c>
      <c r="AG151" s="200"/>
    </row>
    <row r="152" spans="1:34" ht="14.25" customHeight="1">
      <c r="A152" s="1100"/>
      <c r="B152" s="239" t="s">
        <v>1120</v>
      </c>
      <c r="C152" s="200">
        <v>1</v>
      </c>
      <c r="D152" s="200">
        <v>1</v>
      </c>
      <c r="E152" s="200"/>
      <c r="F152" s="200"/>
      <c r="G152" s="200"/>
      <c r="H152" s="200"/>
      <c r="I152" s="200">
        <v>1</v>
      </c>
      <c r="J152" s="200"/>
      <c r="K152" s="200"/>
      <c r="L152" s="238"/>
      <c r="M152" s="238"/>
      <c r="N152" s="200"/>
      <c r="O152" s="200">
        <v>1</v>
      </c>
      <c r="P152" s="200"/>
      <c r="Q152" s="200"/>
      <c r="R152" s="200">
        <v>2</v>
      </c>
      <c r="S152" s="200"/>
      <c r="T152" s="200"/>
      <c r="U152" s="200"/>
      <c r="V152" s="200"/>
      <c r="W152" s="200"/>
      <c r="X152" s="200">
        <v>1</v>
      </c>
      <c r="Y152" s="200">
        <v>1</v>
      </c>
      <c r="Z152" s="200"/>
      <c r="AA152" s="200">
        <v>1</v>
      </c>
      <c r="AB152" s="200">
        <v>1.6</v>
      </c>
      <c r="AC152" s="245">
        <v>0.96</v>
      </c>
      <c r="AD152" s="245"/>
      <c r="AE152" s="200"/>
      <c r="AF152" s="238"/>
      <c r="AG152" s="238"/>
    </row>
    <row r="153" spans="1:34" ht="14.25" customHeight="1">
      <c r="A153" s="238" t="s">
        <v>529</v>
      </c>
      <c r="B153" s="238"/>
      <c r="C153" s="200"/>
      <c r="D153" s="200"/>
      <c r="E153" s="200"/>
      <c r="F153" s="200">
        <v>1</v>
      </c>
      <c r="G153" s="200"/>
      <c r="H153" s="200"/>
      <c r="I153" s="200"/>
      <c r="J153" s="200"/>
      <c r="K153" s="200"/>
      <c r="L153" s="238">
        <v>1</v>
      </c>
      <c r="M153" s="238"/>
      <c r="N153" s="200">
        <v>1</v>
      </c>
      <c r="O153" s="200"/>
      <c r="P153" s="200"/>
      <c r="Q153" s="200"/>
      <c r="R153" s="200"/>
      <c r="S153" s="200"/>
      <c r="T153" s="200"/>
      <c r="U153" s="200"/>
      <c r="V153" s="200"/>
      <c r="W153" s="200"/>
      <c r="X153" s="200"/>
      <c r="Y153" s="200"/>
      <c r="Z153" s="200"/>
      <c r="AA153" s="200"/>
      <c r="AB153" s="200"/>
      <c r="AC153" s="245"/>
      <c r="AD153" s="245">
        <v>1.71</v>
      </c>
      <c r="AE153" s="200"/>
      <c r="AF153" s="238"/>
      <c r="AG153" s="238"/>
    </row>
    <row r="154" spans="1:34" ht="14.25" customHeight="1">
      <c r="A154" s="238" t="s">
        <v>1140</v>
      </c>
      <c r="B154" s="238" t="s">
        <v>1141</v>
      </c>
      <c r="C154" s="200">
        <v>14</v>
      </c>
      <c r="D154" s="200">
        <v>14</v>
      </c>
      <c r="E154" s="200"/>
      <c r="F154" s="200"/>
      <c r="G154" s="200">
        <v>14</v>
      </c>
      <c r="H154" s="200">
        <v>14</v>
      </c>
      <c r="I154" s="238"/>
      <c r="J154" s="200">
        <v>14</v>
      </c>
      <c r="K154" s="200"/>
      <c r="L154" s="238">
        <v>14</v>
      </c>
      <c r="M154" s="238"/>
      <c r="N154" s="200">
        <v>14</v>
      </c>
      <c r="O154" s="200">
        <v>28</v>
      </c>
      <c r="P154" s="200"/>
      <c r="Q154" s="200">
        <v>14</v>
      </c>
      <c r="R154" s="200">
        <v>14</v>
      </c>
      <c r="S154" s="200">
        <v>14</v>
      </c>
      <c r="T154" s="200"/>
      <c r="U154" s="200"/>
      <c r="V154" s="200"/>
      <c r="W154" s="200">
        <v>14</v>
      </c>
      <c r="X154" s="200">
        <v>28</v>
      </c>
      <c r="Y154" s="200">
        <v>28</v>
      </c>
      <c r="Z154" s="200"/>
      <c r="AA154" s="200">
        <v>14</v>
      </c>
      <c r="AB154" s="200">
        <v>12.6</v>
      </c>
      <c r="AC154" s="245">
        <v>12.3</v>
      </c>
      <c r="AD154" s="245"/>
      <c r="AE154" s="200"/>
      <c r="AF154" s="238"/>
      <c r="AG154" s="238"/>
    </row>
    <row r="155" spans="1:34" ht="14.25" customHeight="1">
      <c r="A155" s="238" t="s">
        <v>1142</v>
      </c>
      <c r="B155" s="238"/>
      <c r="C155" s="238"/>
      <c r="D155" s="238"/>
      <c r="E155" s="238"/>
      <c r="F155" s="238">
        <v>2</v>
      </c>
      <c r="G155" s="238"/>
      <c r="H155" s="200"/>
      <c r="I155" s="238"/>
      <c r="J155" s="238"/>
      <c r="K155" s="200"/>
      <c r="L155" s="238"/>
      <c r="M155" s="238"/>
      <c r="N155" s="200">
        <v>2</v>
      </c>
      <c r="O155" s="200"/>
      <c r="P155" s="200"/>
      <c r="Q155" s="238"/>
      <c r="R155" s="238"/>
      <c r="S155" s="238"/>
      <c r="T155" s="238"/>
      <c r="U155" s="238"/>
      <c r="V155" s="238"/>
      <c r="W155" s="238"/>
      <c r="X155" s="238"/>
      <c r="Y155" s="238"/>
      <c r="Z155" s="238"/>
      <c r="AA155" s="238"/>
      <c r="AB155" s="238"/>
      <c r="AC155" s="245"/>
      <c r="AD155" s="245">
        <v>4.74</v>
      </c>
      <c r="AE155" s="238"/>
      <c r="AF155" s="238"/>
      <c r="AG155" s="238"/>
    </row>
    <row r="156" spans="1:34" ht="14.25" customHeight="1">
      <c r="A156" s="238" t="s">
        <v>1143</v>
      </c>
      <c r="B156" s="238" t="s">
        <v>428</v>
      </c>
      <c r="C156" s="200">
        <v>2</v>
      </c>
      <c r="D156" s="200">
        <v>2</v>
      </c>
      <c r="E156" s="200"/>
      <c r="F156" s="200"/>
      <c r="G156" s="200"/>
      <c r="H156" s="200">
        <v>3</v>
      </c>
      <c r="I156" s="200"/>
      <c r="J156" s="200"/>
      <c r="K156" s="200"/>
      <c r="L156" s="238"/>
      <c r="M156" s="238"/>
      <c r="N156" s="200"/>
      <c r="O156" s="200">
        <v>2</v>
      </c>
      <c r="P156" s="200"/>
      <c r="Q156" s="200">
        <v>2</v>
      </c>
      <c r="R156" s="200"/>
      <c r="S156" s="200"/>
      <c r="T156" s="200"/>
      <c r="U156" s="200"/>
      <c r="V156" s="200"/>
      <c r="W156" s="200">
        <v>2</v>
      </c>
      <c r="X156" s="200">
        <v>2</v>
      </c>
      <c r="Y156" s="200">
        <v>2</v>
      </c>
      <c r="Z156" s="200"/>
      <c r="AA156" s="200">
        <v>2</v>
      </c>
      <c r="AB156" s="200">
        <v>1.8</v>
      </c>
      <c r="AC156" s="245">
        <v>1.08</v>
      </c>
      <c r="AD156" s="245"/>
      <c r="AE156" s="200"/>
      <c r="AF156" s="238"/>
      <c r="AG156" s="238"/>
    </row>
    <row r="157" spans="1:34" ht="14.25" customHeight="1">
      <c r="A157" s="238" t="s">
        <v>1144</v>
      </c>
      <c r="B157" s="238"/>
      <c r="C157" s="200">
        <v>2</v>
      </c>
      <c r="D157" s="200">
        <v>2</v>
      </c>
      <c r="E157" s="200">
        <v>3</v>
      </c>
      <c r="F157" s="200"/>
      <c r="G157" s="200"/>
      <c r="H157" s="200">
        <v>4</v>
      </c>
      <c r="I157" s="200"/>
      <c r="J157" s="200"/>
      <c r="K157" s="200"/>
      <c r="L157" s="238"/>
      <c r="M157" s="238"/>
      <c r="N157" s="200"/>
      <c r="O157" s="200">
        <v>4</v>
      </c>
      <c r="P157" s="200"/>
      <c r="Q157" s="200">
        <v>2</v>
      </c>
      <c r="R157" s="200"/>
      <c r="S157" s="200"/>
      <c r="T157" s="200"/>
      <c r="U157" s="200"/>
      <c r="V157" s="200"/>
      <c r="W157" s="200">
        <v>2</v>
      </c>
      <c r="X157" s="200">
        <v>3</v>
      </c>
      <c r="Y157" s="200">
        <v>2</v>
      </c>
      <c r="Z157" s="200">
        <v>2</v>
      </c>
      <c r="AA157" s="200"/>
      <c r="AB157" s="200">
        <v>3.85</v>
      </c>
      <c r="AC157" s="245">
        <v>2.3199999999999998</v>
      </c>
      <c r="AD157" s="245"/>
      <c r="AE157" s="200">
        <v>17.600000000000001</v>
      </c>
      <c r="AF157" s="238"/>
      <c r="AG157" s="238"/>
    </row>
    <row r="158" spans="1:34" ht="14.25" customHeight="1">
      <c r="A158" s="238" t="s">
        <v>1145</v>
      </c>
      <c r="B158" s="238"/>
      <c r="C158" s="200">
        <v>4</v>
      </c>
      <c r="D158" s="200">
        <v>4</v>
      </c>
      <c r="E158" s="200"/>
      <c r="F158" s="200"/>
      <c r="G158" s="200"/>
      <c r="H158" s="200">
        <v>4</v>
      </c>
      <c r="I158" s="200"/>
      <c r="J158" s="200"/>
      <c r="K158" s="200"/>
      <c r="L158" s="238"/>
      <c r="M158" s="238"/>
      <c r="N158" s="200"/>
      <c r="O158" s="200">
        <v>4</v>
      </c>
      <c r="P158" s="200"/>
      <c r="Q158" s="200">
        <v>2</v>
      </c>
      <c r="R158" s="200"/>
      <c r="S158" s="200"/>
      <c r="T158" s="200"/>
      <c r="U158" s="200"/>
      <c r="V158" s="200"/>
      <c r="W158" s="200">
        <v>2</v>
      </c>
      <c r="X158" s="200">
        <v>2</v>
      </c>
      <c r="Y158" s="200">
        <v>2</v>
      </c>
      <c r="Z158" s="200">
        <v>4</v>
      </c>
      <c r="AA158" s="200"/>
      <c r="AB158" s="200">
        <v>3.85</v>
      </c>
      <c r="AC158" s="245">
        <v>2.3199999999999998</v>
      </c>
      <c r="AD158" s="245"/>
      <c r="AE158" s="200">
        <v>21.98</v>
      </c>
      <c r="AF158" s="238"/>
      <c r="AG158" s="238"/>
    </row>
    <row r="159" spans="1:34" ht="14.25" customHeight="1">
      <c r="A159" s="238" t="s">
        <v>1082</v>
      </c>
      <c r="B159" s="238"/>
      <c r="C159" s="200">
        <v>1</v>
      </c>
      <c r="D159" s="200">
        <v>1</v>
      </c>
      <c r="E159" s="200"/>
      <c r="F159" s="200"/>
      <c r="G159" s="200"/>
      <c r="H159" s="200"/>
      <c r="I159" s="200">
        <v>1</v>
      </c>
      <c r="J159" s="200"/>
      <c r="K159" s="200"/>
      <c r="L159" s="238"/>
      <c r="M159" s="238"/>
      <c r="N159" s="200"/>
      <c r="O159" s="200">
        <v>1</v>
      </c>
      <c r="P159" s="200"/>
      <c r="Q159" s="200"/>
      <c r="R159" s="200">
        <v>2</v>
      </c>
      <c r="S159" s="200"/>
      <c r="T159" s="200"/>
      <c r="U159" s="200"/>
      <c r="V159" s="200"/>
      <c r="W159" s="200"/>
      <c r="X159" s="200">
        <v>1</v>
      </c>
      <c r="Y159" s="200">
        <v>1</v>
      </c>
      <c r="Z159" s="200"/>
      <c r="AA159" s="200">
        <v>1</v>
      </c>
      <c r="AB159" s="200">
        <v>1.2</v>
      </c>
      <c r="AC159" s="245">
        <v>0.72</v>
      </c>
      <c r="AD159" s="245"/>
      <c r="AE159" s="200"/>
      <c r="AF159" s="238"/>
      <c r="AG159" s="238"/>
    </row>
    <row r="160" spans="1:34" ht="14.25" customHeight="1">
      <c r="A160" s="238" t="s">
        <v>1083</v>
      </c>
      <c r="B160" s="238"/>
      <c r="C160" s="200">
        <v>1</v>
      </c>
      <c r="D160" s="200">
        <v>1</v>
      </c>
      <c r="E160" s="200"/>
      <c r="F160" s="200"/>
      <c r="G160" s="200"/>
      <c r="H160" s="200"/>
      <c r="I160" s="200">
        <v>1</v>
      </c>
      <c r="J160" s="200"/>
      <c r="K160" s="200"/>
      <c r="L160" s="241"/>
      <c r="M160" s="241"/>
      <c r="N160" s="200"/>
      <c r="O160" s="200">
        <v>1</v>
      </c>
      <c r="P160" s="200"/>
      <c r="Q160" s="200"/>
      <c r="R160" s="200">
        <v>2</v>
      </c>
      <c r="S160" s="200"/>
      <c r="T160" s="200"/>
      <c r="U160" s="200"/>
      <c r="V160" s="200"/>
      <c r="W160" s="200"/>
      <c r="X160" s="200">
        <v>1</v>
      </c>
      <c r="Y160" s="200">
        <v>1</v>
      </c>
      <c r="Z160" s="200"/>
      <c r="AA160" s="200">
        <v>1</v>
      </c>
      <c r="AB160" s="200">
        <v>1.2</v>
      </c>
      <c r="AC160" s="245">
        <v>0.72</v>
      </c>
      <c r="AD160" s="245"/>
      <c r="AE160" s="200"/>
      <c r="AF160" s="241"/>
      <c r="AG160" s="241"/>
    </row>
    <row r="161" spans="1:33" ht="14.25" customHeight="1">
      <c r="A161" s="238" t="s">
        <v>1146</v>
      </c>
      <c r="B161" s="238" t="s">
        <v>428</v>
      </c>
      <c r="C161" s="200">
        <v>1</v>
      </c>
      <c r="D161" s="200">
        <v>1</v>
      </c>
      <c r="E161" s="200"/>
      <c r="F161" s="200"/>
      <c r="G161" s="200">
        <v>1</v>
      </c>
      <c r="H161" s="200">
        <v>1</v>
      </c>
      <c r="I161" s="200"/>
      <c r="J161" s="200">
        <v>1</v>
      </c>
      <c r="K161" s="200"/>
      <c r="L161" s="238">
        <v>1</v>
      </c>
      <c r="M161" s="238"/>
      <c r="N161" s="200">
        <v>1</v>
      </c>
      <c r="O161" s="200">
        <v>2</v>
      </c>
      <c r="P161" s="200"/>
      <c r="Q161" s="200">
        <v>1</v>
      </c>
      <c r="R161" s="200">
        <v>1</v>
      </c>
      <c r="S161" s="200">
        <v>1</v>
      </c>
      <c r="T161" s="200"/>
      <c r="U161" s="200"/>
      <c r="V161" s="200"/>
      <c r="W161" s="200">
        <v>1</v>
      </c>
      <c r="X161" s="200">
        <v>2</v>
      </c>
      <c r="Y161" s="200">
        <v>2</v>
      </c>
      <c r="Z161" s="200"/>
      <c r="AA161" s="200">
        <v>1</v>
      </c>
      <c r="AB161" s="200">
        <v>0.9</v>
      </c>
      <c r="AC161" s="245">
        <v>1.38</v>
      </c>
      <c r="AD161" s="245"/>
      <c r="AE161" s="200"/>
      <c r="AF161" s="238"/>
      <c r="AG161" s="238"/>
    </row>
    <row r="162" spans="1:33" ht="14.25" customHeight="1">
      <c r="A162" s="238"/>
      <c r="B162" s="238"/>
      <c r="C162" s="200"/>
      <c r="D162" s="200"/>
      <c r="E162" s="200"/>
      <c r="F162" s="200"/>
      <c r="G162" s="200"/>
      <c r="H162" s="200"/>
      <c r="I162" s="200"/>
      <c r="J162" s="200"/>
      <c r="K162" s="200"/>
      <c r="L162" s="238"/>
      <c r="M162" s="238"/>
      <c r="N162" s="200"/>
      <c r="O162" s="200"/>
      <c r="P162" s="200"/>
      <c r="Q162" s="200"/>
      <c r="R162" s="200"/>
      <c r="S162" s="200"/>
      <c r="T162" s="200"/>
      <c r="U162" s="200"/>
      <c r="V162" s="200"/>
      <c r="W162" s="200"/>
      <c r="X162" s="200"/>
      <c r="Y162" s="200"/>
      <c r="Z162" s="200"/>
      <c r="AA162" s="200"/>
      <c r="AB162" s="200"/>
      <c r="AC162" s="245"/>
      <c r="AD162" s="245"/>
      <c r="AE162" s="200"/>
      <c r="AF162" s="238"/>
      <c r="AG162" s="238"/>
    </row>
    <row r="163" spans="1:33" ht="14.25" customHeight="1">
      <c r="A163" s="1101" t="s">
        <v>2497</v>
      </c>
      <c r="B163" s="1102"/>
      <c r="C163" s="1102"/>
      <c r="D163" s="1102"/>
      <c r="E163" s="1102"/>
      <c r="F163" s="1102"/>
      <c r="G163" s="1102"/>
      <c r="H163" s="1102"/>
      <c r="I163" s="1102"/>
      <c r="J163" s="1102"/>
      <c r="K163" s="1102"/>
      <c r="L163" s="1102"/>
      <c r="M163" s="1102"/>
      <c r="N163" s="1102"/>
      <c r="O163" s="1102"/>
      <c r="P163" s="1102"/>
      <c r="Q163" s="1102"/>
      <c r="R163" s="1102"/>
      <c r="S163" s="1102"/>
      <c r="T163" s="1102"/>
      <c r="U163" s="1102"/>
      <c r="V163" s="1102"/>
      <c r="W163" s="1102"/>
      <c r="X163" s="1102"/>
      <c r="Y163" s="1102"/>
      <c r="Z163" s="1102"/>
      <c r="AA163" s="1102"/>
      <c r="AB163" s="1102"/>
      <c r="AC163" s="1102"/>
      <c r="AD163" s="1102"/>
      <c r="AE163" s="1102"/>
      <c r="AF163" s="1102"/>
      <c r="AG163" s="1103"/>
    </row>
    <row r="164" spans="1:33" ht="14.25" customHeight="1">
      <c r="A164" s="1099" t="s">
        <v>408</v>
      </c>
      <c r="B164" s="239" t="s">
        <v>1121</v>
      </c>
      <c r="C164" s="200">
        <v>1</v>
      </c>
      <c r="D164" s="200">
        <v>1</v>
      </c>
      <c r="E164" s="200"/>
      <c r="F164" s="200"/>
      <c r="G164" s="200"/>
      <c r="H164" s="200"/>
      <c r="I164" s="200">
        <v>1</v>
      </c>
      <c r="J164" s="200"/>
      <c r="K164" s="200"/>
      <c r="L164" s="238"/>
      <c r="M164" s="238"/>
      <c r="N164" s="200"/>
      <c r="O164" s="200">
        <v>1</v>
      </c>
      <c r="P164" s="200"/>
      <c r="Q164" s="200"/>
      <c r="R164" s="200">
        <v>2</v>
      </c>
      <c r="S164" s="200"/>
      <c r="T164" s="200"/>
      <c r="U164" s="200"/>
      <c r="V164" s="200"/>
      <c r="W164" s="200"/>
      <c r="X164" s="200">
        <v>1</v>
      </c>
      <c r="Y164" s="200">
        <v>1</v>
      </c>
      <c r="Z164" s="200"/>
      <c r="AA164" s="200">
        <v>1</v>
      </c>
      <c r="AB164" s="200">
        <v>1.6</v>
      </c>
      <c r="AC164" s="245">
        <v>0.96</v>
      </c>
      <c r="AD164" s="245"/>
      <c r="AE164" s="200"/>
      <c r="AF164" s="200">
        <v>5.98</v>
      </c>
      <c r="AG164" s="200"/>
    </row>
    <row r="165" spans="1:33" ht="14.25" customHeight="1">
      <c r="A165" s="1100"/>
      <c r="B165" s="239" t="s">
        <v>1120</v>
      </c>
      <c r="C165" s="200">
        <v>1</v>
      </c>
      <c r="D165" s="200">
        <v>1</v>
      </c>
      <c r="E165" s="200"/>
      <c r="F165" s="200"/>
      <c r="G165" s="200"/>
      <c r="H165" s="200"/>
      <c r="I165" s="200">
        <v>1</v>
      </c>
      <c r="J165" s="200"/>
      <c r="K165" s="200"/>
      <c r="L165" s="238"/>
      <c r="M165" s="238"/>
      <c r="N165" s="200"/>
      <c r="O165" s="200">
        <v>1</v>
      </c>
      <c r="P165" s="200"/>
      <c r="Q165" s="200"/>
      <c r="R165" s="200">
        <v>2</v>
      </c>
      <c r="S165" s="200"/>
      <c r="T165" s="200"/>
      <c r="U165" s="200"/>
      <c r="V165" s="200"/>
      <c r="W165" s="200"/>
      <c r="X165" s="200">
        <v>1</v>
      </c>
      <c r="Y165" s="200">
        <v>1</v>
      </c>
      <c r="Z165" s="200"/>
      <c r="AA165" s="200">
        <v>1</v>
      </c>
      <c r="AB165" s="200">
        <v>1.6</v>
      </c>
      <c r="AC165" s="245">
        <v>0.96</v>
      </c>
      <c r="AD165" s="245"/>
      <c r="AE165" s="200"/>
      <c r="AF165" s="238"/>
      <c r="AG165" s="238"/>
    </row>
    <row r="166" spans="1:33" ht="14.25" customHeight="1">
      <c r="A166" s="238" t="s">
        <v>529</v>
      </c>
      <c r="B166" s="238"/>
      <c r="C166" s="200"/>
      <c r="D166" s="200"/>
      <c r="E166" s="200"/>
      <c r="F166" s="200">
        <v>1</v>
      </c>
      <c r="G166" s="200"/>
      <c r="H166" s="200"/>
      <c r="I166" s="200"/>
      <c r="J166" s="200"/>
      <c r="K166" s="200"/>
      <c r="L166" s="238">
        <v>1</v>
      </c>
      <c r="M166" s="238"/>
      <c r="N166" s="200">
        <v>1</v>
      </c>
      <c r="O166" s="200"/>
      <c r="P166" s="200"/>
      <c r="Q166" s="200"/>
      <c r="R166" s="200"/>
      <c r="S166" s="200"/>
      <c r="T166" s="200"/>
      <c r="U166" s="200"/>
      <c r="V166" s="200"/>
      <c r="W166" s="200"/>
      <c r="X166" s="200"/>
      <c r="Y166" s="200"/>
      <c r="Z166" s="200"/>
      <c r="AA166" s="200"/>
      <c r="AB166" s="200"/>
      <c r="AC166" s="245"/>
      <c r="AD166" s="245">
        <v>1.71</v>
      </c>
      <c r="AE166" s="200"/>
      <c r="AF166" s="238"/>
      <c r="AG166" s="238"/>
    </row>
    <row r="167" spans="1:33" ht="14.25" customHeight="1">
      <c r="A167" s="238" t="s">
        <v>1140</v>
      </c>
      <c r="B167" s="238" t="s">
        <v>1141</v>
      </c>
      <c r="C167" s="200">
        <v>14</v>
      </c>
      <c r="D167" s="200">
        <v>14</v>
      </c>
      <c r="E167" s="200"/>
      <c r="F167" s="200"/>
      <c r="G167" s="200">
        <v>14</v>
      </c>
      <c r="H167" s="200">
        <v>14</v>
      </c>
      <c r="I167" s="238"/>
      <c r="J167" s="200">
        <v>14</v>
      </c>
      <c r="K167" s="200"/>
      <c r="L167" s="238">
        <v>14</v>
      </c>
      <c r="M167" s="238"/>
      <c r="N167" s="200">
        <v>14</v>
      </c>
      <c r="O167" s="200">
        <v>28</v>
      </c>
      <c r="P167" s="200"/>
      <c r="Q167" s="200">
        <v>14</v>
      </c>
      <c r="R167" s="200">
        <v>14</v>
      </c>
      <c r="S167" s="200">
        <v>14</v>
      </c>
      <c r="T167" s="200"/>
      <c r="U167" s="200"/>
      <c r="V167" s="200"/>
      <c r="W167" s="200">
        <v>14</v>
      </c>
      <c r="X167" s="200">
        <v>28</v>
      </c>
      <c r="Y167" s="200">
        <v>28</v>
      </c>
      <c r="Z167" s="200"/>
      <c r="AA167" s="200">
        <v>14</v>
      </c>
      <c r="AB167" s="200">
        <v>12.6</v>
      </c>
      <c r="AC167" s="245">
        <v>12.3</v>
      </c>
      <c r="AD167" s="245"/>
      <c r="AE167" s="200"/>
      <c r="AF167" s="238"/>
      <c r="AG167" s="238"/>
    </row>
    <row r="168" spans="1:33" ht="14.25" customHeight="1">
      <c r="A168" s="238" t="s">
        <v>1142</v>
      </c>
      <c r="B168" s="238"/>
      <c r="C168" s="238"/>
      <c r="D168" s="238"/>
      <c r="E168" s="238"/>
      <c r="F168" s="238">
        <v>2</v>
      </c>
      <c r="G168" s="238"/>
      <c r="H168" s="200"/>
      <c r="I168" s="238"/>
      <c r="J168" s="238"/>
      <c r="K168" s="200"/>
      <c r="L168" s="238"/>
      <c r="M168" s="238"/>
      <c r="N168" s="200">
        <v>2</v>
      </c>
      <c r="O168" s="200"/>
      <c r="P168" s="200"/>
      <c r="Q168" s="238"/>
      <c r="R168" s="238"/>
      <c r="S168" s="238"/>
      <c r="T168" s="238"/>
      <c r="U168" s="238"/>
      <c r="V168" s="238"/>
      <c r="W168" s="238"/>
      <c r="X168" s="238"/>
      <c r="Y168" s="238"/>
      <c r="Z168" s="238"/>
      <c r="AA168" s="238"/>
      <c r="AB168" s="238"/>
      <c r="AC168" s="245"/>
      <c r="AD168" s="245">
        <v>4.74</v>
      </c>
      <c r="AE168" s="238"/>
      <c r="AF168" s="238"/>
      <c r="AG168" s="238"/>
    </row>
    <row r="169" spans="1:33" ht="14.25" customHeight="1">
      <c r="A169" s="238" t="s">
        <v>1143</v>
      </c>
      <c r="B169" s="238" t="s">
        <v>428</v>
      </c>
      <c r="C169" s="200">
        <v>2</v>
      </c>
      <c r="D169" s="200">
        <v>2</v>
      </c>
      <c r="E169" s="200"/>
      <c r="F169" s="200"/>
      <c r="G169" s="200"/>
      <c r="H169" s="200">
        <v>3</v>
      </c>
      <c r="I169" s="200"/>
      <c r="J169" s="200"/>
      <c r="K169" s="200"/>
      <c r="L169" s="238"/>
      <c r="M169" s="238"/>
      <c r="N169" s="200"/>
      <c r="O169" s="200">
        <v>2</v>
      </c>
      <c r="P169" s="200"/>
      <c r="Q169" s="200">
        <v>2</v>
      </c>
      <c r="R169" s="200"/>
      <c r="S169" s="200"/>
      <c r="T169" s="200"/>
      <c r="U169" s="200"/>
      <c r="V169" s="200"/>
      <c r="W169" s="200">
        <v>2</v>
      </c>
      <c r="X169" s="200">
        <v>2</v>
      </c>
      <c r="Y169" s="200">
        <v>2</v>
      </c>
      <c r="Z169" s="200"/>
      <c r="AA169" s="200">
        <v>2</v>
      </c>
      <c r="AB169" s="200">
        <v>1.8</v>
      </c>
      <c r="AC169" s="245">
        <v>1.08</v>
      </c>
      <c r="AD169" s="245"/>
      <c r="AE169" s="200"/>
      <c r="AF169" s="238"/>
      <c r="AG169" s="238"/>
    </row>
    <row r="170" spans="1:33" ht="14.25" customHeight="1">
      <c r="A170" s="238" t="s">
        <v>1144</v>
      </c>
      <c r="B170" s="238"/>
      <c r="C170" s="200">
        <v>2</v>
      </c>
      <c r="D170" s="200">
        <v>2</v>
      </c>
      <c r="E170" s="200">
        <v>3</v>
      </c>
      <c r="F170" s="200"/>
      <c r="G170" s="200"/>
      <c r="H170" s="200">
        <v>4</v>
      </c>
      <c r="I170" s="200"/>
      <c r="J170" s="200"/>
      <c r="K170" s="200"/>
      <c r="L170" s="238"/>
      <c r="M170" s="238"/>
      <c r="N170" s="200"/>
      <c r="O170" s="200">
        <v>4</v>
      </c>
      <c r="P170" s="200"/>
      <c r="Q170" s="200">
        <v>2</v>
      </c>
      <c r="R170" s="200"/>
      <c r="S170" s="200"/>
      <c r="T170" s="200"/>
      <c r="U170" s="200"/>
      <c r="V170" s="200"/>
      <c r="W170" s="200">
        <v>2</v>
      </c>
      <c r="X170" s="200">
        <v>3</v>
      </c>
      <c r="Y170" s="200">
        <v>2</v>
      </c>
      <c r="Z170" s="200">
        <v>2</v>
      </c>
      <c r="AA170" s="200"/>
      <c r="AB170" s="200">
        <v>3.85</v>
      </c>
      <c r="AC170" s="245">
        <v>2.3199999999999998</v>
      </c>
      <c r="AD170" s="245"/>
      <c r="AE170" s="200">
        <v>17.600000000000001</v>
      </c>
      <c r="AF170" s="238"/>
      <c r="AG170" s="238"/>
    </row>
    <row r="171" spans="1:33" ht="14.25" customHeight="1">
      <c r="A171" s="238" t="s">
        <v>1145</v>
      </c>
      <c r="B171" s="238"/>
      <c r="C171" s="200">
        <v>4</v>
      </c>
      <c r="D171" s="200">
        <v>4</v>
      </c>
      <c r="E171" s="200"/>
      <c r="F171" s="200"/>
      <c r="G171" s="200"/>
      <c r="H171" s="200">
        <v>4</v>
      </c>
      <c r="I171" s="200"/>
      <c r="J171" s="200"/>
      <c r="K171" s="200"/>
      <c r="L171" s="238"/>
      <c r="M171" s="238"/>
      <c r="N171" s="200"/>
      <c r="O171" s="200">
        <v>4</v>
      </c>
      <c r="P171" s="200"/>
      <c r="Q171" s="200">
        <v>2</v>
      </c>
      <c r="R171" s="200"/>
      <c r="S171" s="200"/>
      <c r="T171" s="200"/>
      <c r="U171" s="200"/>
      <c r="V171" s="200"/>
      <c r="W171" s="200">
        <v>2</v>
      </c>
      <c r="X171" s="200">
        <v>2</v>
      </c>
      <c r="Y171" s="200">
        <v>2</v>
      </c>
      <c r="Z171" s="200">
        <v>4</v>
      </c>
      <c r="AA171" s="200"/>
      <c r="AB171" s="200">
        <v>3.85</v>
      </c>
      <c r="AC171" s="245">
        <v>2.3199999999999998</v>
      </c>
      <c r="AD171" s="245"/>
      <c r="AE171" s="200">
        <v>21.98</v>
      </c>
      <c r="AF171" s="238"/>
      <c r="AG171" s="238"/>
    </row>
    <row r="172" spans="1:33" ht="14.25" customHeight="1">
      <c r="A172" s="238" t="s">
        <v>1082</v>
      </c>
      <c r="B172" s="238"/>
      <c r="C172" s="200">
        <v>1</v>
      </c>
      <c r="D172" s="200">
        <v>1</v>
      </c>
      <c r="E172" s="200"/>
      <c r="F172" s="200"/>
      <c r="G172" s="200"/>
      <c r="H172" s="200"/>
      <c r="I172" s="200">
        <v>1</v>
      </c>
      <c r="J172" s="200"/>
      <c r="K172" s="200"/>
      <c r="L172" s="238"/>
      <c r="M172" s="238"/>
      <c r="N172" s="200"/>
      <c r="O172" s="200">
        <v>1</v>
      </c>
      <c r="P172" s="200"/>
      <c r="Q172" s="200"/>
      <c r="R172" s="200">
        <v>2</v>
      </c>
      <c r="S172" s="200"/>
      <c r="T172" s="200"/>
      <c r="U172" s="200"/>
      <c r="V172" s="200"/>
      <c r="W172" s="200"/>
      <c r="X172" s="200">
        <v>1</v>
      </c>
      <c r="Y172" s="200">
        <v>1</v>
      </c>
      <c r="Z172" s="200"/>
      <c r="AA172" s="200">
        <v>1</v>
      </c>
      <c r="AB172" s="200">
        <v>1.2</v>
      </c>
      <c r="AC172" s="245">
        <v>0.72</v>
      </c>
      <c r="AD172" s="245"/>
      <c r="AE172" s="200"/>
      <c r="AF172" s="238"/>
      <c r="AG172" s="238"/>
    </row>
    <row r="173" spans="1:33" ht="14.25" customHeight="1">
      <c r="A173" s="238" t="s">
        <v>1083</v>
      </c>
      <c r="B173" s="238"/>
      <c r="C173" s="200">
        <v>1</v>
      </c>
      <c r="D173" s="200">
        <v>1</v>
      </c>
      <c r="E173" s="200"/>
      <c r="F173" s="200"/>
      <c r="G173" s="200"/>
      <c r="H173" s="200"/>
      <c r="I173" s="200">
        <v>1</v>
      </c>
      <c r="J173" s="200"/>
      <c r="K173" s="200"/>
      <c r="L173" s="241"/>
      <c r="M173" s="241"/>
      <c r="N173" s="200"/>
      <c r="O173" s="200">
        <v>1</v>
      </c>
      <c r="P173" s="200"/>
      <c r="Q173" s="200"/>
      <c r="R173" s="200">
        <v>2</v>
      </c>
      <c r="S173" s="200"/>
      <c r="T173" s="200"/>
      <c r="U173" s="200"/>
      <c r="V173" s="200"/>
      <c r="W173" s="200"/>
      <c r="X173" s="200">
        <v>1</v>
      </c>
      <c r="Y173" s="200">
        <v>1</v>
      </c>
      <c r="Z173" s="200"/>
      <c r="AA173" s="200">
        <v>1</v>
      </c>
      <c r="AB173" s="200">
        <v>1.2</v>
      </c>
      <c r="AC173" s="245">
        <v>0.72</v>
      </c>
      <c r="AD173" s="245"/>
      <c r="AE173" s="200"/>
      <c r="AF173" s="241"/>
      <c r="AG173" s="241"/>
    </row>
    <row r="174" spans="1:33" ht="14.25" customHeight="1">
      <c r="A174" s="238" t="s">
        <v>1146</v>
      </c>
      <c r="B174" s="238" t="s">
        <v>428</v>
      </c>
      <c r="C174" s="200">
        <v>1</v>
      </c>
      <c r="D174" s="200">
        <v>1</v>
      </c>
      <c r="E174" s="200"/>
      <c r="F174" s="200"/>
      <c r="G174" s="200">
        <v>1</v>
      </c>
      <c r="H174" s="200">
        <v>1</v>
      </c>
      <c r="I174" s="200"/>
      <c r="J174" s="200">
        <v>1</v>
      </c>
      <c r="K174" s="200"/>
      <c r="L174" s="238">
        <v>1</v>
      </c>
      <c r="M174" s="238"/>
      <c r="N174" s="200">
        <v>1</v>
      </c>
      <c r="O174" s="200">
        <v>2</v>
      </c>
      <c r="P174" s="200"/>
      <c r="Q174" s="200">
        <v>1</v>
      </c>
      <c r="R174" s="200">
        <v>1</v>
      </c>
      <c r="S174" s="200">
        <v>1</v>
      </c>
      <c r="T174" s="200"/>
      <c r="U174" s="200"/>
      <c r="V174" s="200"/>
      <c r="W174" s="200">
        <v>1</v>
      </c>
      <c r="X174" s="200">
        <v>2</v>
      </c>
      <c r="Y174" s="200">
        <v>2</v>
      </c>
      <c r="Z174" s="200"/>
      <c r="AA174" s="200">
        <v>1</v>
      </c>
      <c r="AB174" s="200">
        <v>0.9</v>
      </c>
      <c r="AC174" s="245">
        <v>1.38</v>
      </c>
      <c r="AD174" s="245"/>
      <c r="AE174" s="200"/>
      <c r="AF174" s="238"/>
      <c r="AG174" s="238"/>
    </row>
    <row r="175" spans="1:33" ht="14.25" customHeight="1">
      <c r="A175" s="238"/>
      <c r="B175" s="238"/>
      <c r="C175" s="200"/>
      <c r="D175" s="200"/>
      <c r="E175" s="200"/>
      <c r="F175" s="200"/>
      <c r="G175" s="200"/>
      <c r="H175" s="200"/>
      <c r="I175" s="200"/>
      <c r="J175" s="200"/>
      <c r="K175" s="200"/>
      <c r="L175" s="238"/>
      <c r="M175" s="238"/>
      <c r="N175" s="200"/>
      <c r="O175" s="200"/>
      <c r="P175" s="200"/>
      <c r="Q175" s="200"/>
      <c r="R175" s="200"/>
      <c r="S175" s="200"/>
      <c r="T175" s="200"/>
      <c r="U175" s="200"/>
      <c r="V175" s="200"/>
      <c r="W175" s="200"/>
      <c r="X175" s="200"/>
      <c r="Y175" s="200"/>
      <c r="Z175" s="200"/>
      <c r="AA175" s="200"/>
      <c r="AB175" s="200"/>
      <c r="AC175" s="245"/>
      <c r="AD175" s="245"/>
      <c r="AE175" s="200"/>
      <c r="AF175" s="238"/>
      <c r="AG175" s="238"/>
    </row>
    <row r="176" spans="1:33" ht="14.25" customHeight="1">
      <c r="A176" s="238"/>
      <c r="B176" s="238"/>
      <c r="C176" s="200"/>
      <c r="D176" s="200"/>
      <c r="E176" s="200"/>
      <c r="F176" s="200"/>
      <c r="G176" s="200"/>
      <c r="H176" s="200"/>
      <c r="I176" s="200"/>
      <c r="J176" s="200"/>
      <c r="K176" s="200"/>
      <c r="L176" s="238"/>
      <c r="M176" s="238"/>
      <c r="N176" s="200"/>
      <c r="O176" s="200"/>
      <c r="P176" s="200"/>
      <c r="Q176" s="200"/>
      <c r="R176" s="200"/>
      <c r="S176" s="200"/>
      <c r="T176" s="200"/>
      <c r="U176" s="200"/>
      <c r="V176" s="200"/>
      <c r="W176" s="200"/>
      <c r="X176" s="200"/>
      <c r="Y176" s="200"/>
      <c r="Z176" s="200"/>
      <c r="AA176" s="200"/>
      <c r="AB176" s="200"/>
      <c r="AC176" s="245"/>
      <c r="AD176" s="245"/>
      <c r="AE176" s="200"/>
      <c r="AF176" s="238"/>
      <c r="AG176" s="238"/>
    </row>
    <row r="177" spans="1:34" ht="14.25" customHeight="1">
      <c r="A177" s="238"/>
      <c r="B177" s="238"/>
      <c r="C177" s="200"/>
      <c r="D177" s="200"/>
      <c r="E177" s="200"/>
      <c r="F177" s="200"/>
      <c r="G177" s="200"/>
      <c r="H177" s="200"/>
      <c r="I177" s="200"/>
      <c r="J177" s="200"/>
      <c r="K177" s="200"/>
      <c r="L177" s="238"/>
      <c r="M177" s="238"/>
      <c r="N177" s="200"/>
      <c r="O177" s="200"/>
      <c r="P177" s="200"/>
      <c r="Q177" s="200"/>
      <c r="R177" s="200"/>
      <c r="S177" s="200"/>
      <c r="T177" s="200"/>
      <c r="U177" s="200"/>
      <c r="V177" s="200"/>
      <c r="W177" s="200"/>
      <c r="X177" s="200"/>
      <c r="Y177" s="200"/>
      <c r="Z177" s="200"/>
      <c r="AA177" s="200"/>
      <c r="AB177" s="200"/>
      <c r="AC177" s="245"/>
      <c r="AD177" s="245"/>
      <c r="AE177" s="200"/>
      <c r="AF177" s="238"/>
      <c r="AG177" s="238"/>
    </row>
    <row r="178" spans="1:34" ht="14.25" customHeight="1">
      <c r="A178" s="238"/>
      <c r="B178" s="238"/>
      <c r="C178" s="200"/>
      <c r="D178" s="200"/>
      <c r="E178" s="200"/>
      <c r="F178" s="200"/>
      <c r="G178" s="200"/>
      <c r="H178" s="200"/>
      <c r="I178" s="200"/>
      <c r="J178" s="200"/>
      <c r="K178" s="200"/>
      <c r="L178" s="238"/>
      <c r="M178" s="238"/>
      <c r="N178" s="200"/>
      <c r="O178" s="200"/>
      <c r="P178" s="200"/>
      <c r="Q178" s="200"/>
      <c r="R178" s="200"/>
      <c r="S178" s="200"/>
      <c r="T178" s="200"/>
      <c r="U178" s="200"/>
      <c r="V178" s="200"/>
      <c r="W178" s="200"/>
      <c r="X178" s="200"/>
      <c r="Y178" s="200"/>
      <c r="Z178" s="200"/>
      <c r="AA178" s="200"/>
      <c r="AB178" s="200"/>
      <c r="AC178" s="245"/>
      <c r="AD178" s="245"/>
      <c r="AE178" s="200"/>
      <c r="AF178" s="238"/>
      <c r="AG178" s="238"/>
    </row>
    <row r="179" spans="1:34">
      <c r="A179" s="238"/>
      <c r="B179" s="238"/>
      <c r="C179" s="238"/>
      <c r="D179" s="238"/>
      <c r="E179" s="238"/>
      <c r="F179" s="238"/>
      <c r="G179" s="238"/>
      <c r="H179" s="238"/>
      <c r="I179" s="238"/>
      <c r="J179" s="238"/>
      <c r="K179" s="238"/>
      <c r="L179" s="238"/>
      <c r="M179" s="238"/>
      <c r="N179" s="238"/>
      <c r="O179" s="238"/>
      <c r="P179" s="238"/>
      <c r="Q179" s="238"/>
      <c r="R179" s="238"/>
      <c r="S179" s="238"/>
      <c r="T179" s="238"/>
      <c r="U179" s="238"/>
      <c r="V179" s="238"/>
      <c r="W179" s="238"/>
      <c r="X179" s="238"/>
      <c r="Y179" s="238"/>
      <c r="Z179" s="238"/>
      <c r="AA179" s="238"/>
      <c r="AB179" s="238"/>
      <c r="AC179" s="246"/>
      <c r="AD179" s="246"/>
      <c r="AE179" s="238"/>
      <c r="AF179" s="238"/>
      <c r="AG179" s="238"/>
      <c r="AH179" s="133" t="str">
        <f t="shared" si="5"/>
        <v>OK!</v>
      </c>
    </row>
    <row r="180" spans="1:34" s="131" customFormat="1">
      <c r="A180" s="1101" t="s">
        <v>1147</v>
      </c>
      <c r="B180" s="1102"/>
      <c r="C180" s="1102"/>
      <c r="D180" s="1102"/>
      <c r="E180" s="1102"/>
      <c r="F180" s="1102"/>
      <c r="G180" s="1102"/>
      <c r="H180" s="1102"/>
      <c r="I180" s="1102"/>
      <c r="J180" s="1102"/>
      <c r="K180" s="1102"/>
      <c r="L180" s="1102"/>
      <c r="M180" s="1102"/>
      <c r="N180" s="1102"/>
      <c r="O180" s="1102"/>
      <c r="P180" s="1102"/>
      <c r="Q180" s="1102"/>
      <c r="R180" s="1102"/>
      <c r="S180" s="1102"/>
      <c r="T180" s="1102"/>
      <c r="U180" s="1102"/>
      <c r="V180" s="1102"/>
      <c r="W180" s="1102"/>
      <c r="X180" s="1102"/>
      <c r="Y180" s="1102"/>
      <c r="Z180" s="1102"/>
      <c r="AA180" s="1102"/>
      <c r="AB180" s="1102"/>
      <c r="AC180" s="1102"/>
      <c r="AD180" s="1102"/>
      <c r="AE180" s="1102"/>
      <c r="AF180" s="1102"/>
      <c r="AG180" s="1103"/>
      <c r="AH180" s="133" t="str">
        <f t="shared" si="5"/>
        <v>OK!</v>
      </c>
    </row>
    <row r="181" spans="1:34" ht="41.4">
      <c r="A181" s="238" t="s">
        <v>408</v>
      </c>
      <c r="B181" s="239" t="s">
        <v>1121</v>
      </c>
      <c r="C181" s="200">
        <v>1</v>
      </c>
      <c r="D181" s="200">
        <v>1</v>
      </c>
      <c r="E181" s="200"/>
      <c r="F181" s="200"/>
      <c r="G181" s="200"/>
      <c r="H181" s="200"/>
      <c r="I181" s="200">
        <v>1</v>
      </c>
      <c r="J181" s="200"/>
      <c r="K181" s="200"/>
      <c r="L181" s="238"/>
      <c r="M181" s="238"/>
      <c r="N181" s="200"/>
      <c r="O181" s="200">
        <v>1</v>
      </c>
      <c r="P181" s="200"/>
      <c r="Q181" s="200"/>
      <c r="R181" s="200">
        <v>2</v>
      </c>
      <c r="S181" s="200"/>
      <c r="T181" s="200"/>
      <c r="U181" s="200"/>
      <c r="V181" s="200"/>
      <c r="W181" s="200">
        <v>1</v>
      </c>
      <c r="X181" s="200">
        <v>1</v>
      </c>
      <c r="Y181" s="200">
        <v>1</v>
      </c>
      <c r="Z181" s="200"/>
      <c r="AA181" s="200">
        <v>1</v>
      </c>
      <c r="AB181" s="200">
        <v>1.6</v>
      </c>
      <c r="AC181" s="245">
        <f>0.6*1.6</f>
        <v>0.96</v>
      </c>
      <c r="AD181" s="245"/>
      <c r="AE181" s="200"/>
      <c r="AF181" s="200">
        <v>17.963999999999999</v>
      </c>
      <c r="AG181" s="200"/>
      <c r="AH181" s="133" t="str">
        <f t="shared" si="5"/>
        <v>OK!</v>
      </c>
    </row>
    <row r="182" spans="1:34" ht="41.4">
      <c r="A182" s="238"/>
      <c r="B182" s="239" t="s">
        <v>1120</v>
      </c>
      <c r="C182" s="200">
        <v>1</v>
      </c>
      <c r="D182" s="200">
        <v>1</v>
      </c>
      <c r="E182" s="200"/>
      <c r="F182" s="200"/>
      <c r="G182" s="200"/>
      <c r="H182" s="200"/>
      <c r="I182" s="200">
        <v>1</v>
      </c>
      <c r="J182" s="200"/>
      <c r="K182" s="200"/>
      <c r="L182" s="238"/>
      <c r="M182" s="238"/>
      <c r="N182" s="200"/>
      <c r="O182" s="200">
        <v>1</v>
      </c>
      <c r="P182" s="200"/>
      <c r="Q182" s="200"/>
      <c r="R182" s="200">
        <v>2</v>
      </c>
      <c r="S182" s="200"/>
      <c r="T182" s="200"/>
      <c r="U182" s="200"/>
      <c r="V182" s="200"/>
      <c r="W182" s="200">
        <v>1</v>
      </c>
      <c r="X182" s="200">
        <v>1</v>
      </c>
      <c r="Y182" s="200">
        <v>1</v>
      </c>
      <c r="Z182" s="200"/>
      <c r="AA182" s="200">
        <v>1</v>
      </c>
      <c r="AB182" s="200">
        <v>1.6</v>
      </c>
      <c r="AC182" s="245">
        <f>0.6*1.6</f>
        <v>0.96</v>
      </c>
      <c r="AD182" s="245"/>
      <c r="AE182" s="200"/>
      <c r="AF182" s="238"/>
      <c r="AG182" s="238"/>
      <c r="AH182" s="133" t="str">
        <f t="shared" si="5"/>
        <v>OK!</v>
      </c>
    </row>
    <row r="183" spans="1:34">
      <c r="A183" s="238" t="s">
        <v>1148</v>
      </c>
      <c r="B183" s="238" t="s">
        <v>428</v>
      </c>
      <c r="C183" s="200">
        <v>1</v>
      </c>
      <c r="D183" s="200">
        <v>1</v>
      </c>
      <c r="E183" s="200"/>
      <c r="F183" s="200"/>
      <c r="G183" s="200"/>
      <c r="H183" s="200">
        <v>1</v>
      </c>
      <c r="I183" s="200"/>
      <c r="J183" s="200"/>
      <c r="K183" s="200"/>
      <c r="L183" s="238"/>
      <c r="M183" s="238"/>
      <c r="N183" s="200"/>
      <c r="O183" s="200">
        <v>1</v>
      </c>
      <c r="P183" s="200"/>
      <c r="Q183" s="200"/>
      <c r="R183" s="200"/>
      <c r="S183" s="200"/>
      <c r="T183" s="200"/>
      <c r="U183" s="200"/>
      <c r="V183" s="200"/>
      <c r="W183" s="200"/>
      <c r="X183" s="200">
        <v>1</v>
      </c>
      <c r="Y183" s="200">
        <v>1</v>
      </c>
      <c r="Z183" s="200"/>
      <c r="AA183" s="200">
        <v>1</v>
      </c>
      <c r="AB183" s="200">
        <v>1.5</v>
      </c>
      <c r="AC183" s="245">
        <f>0.6*1.5</f>
        <v>0.89999999999999991</v>
      </c>
      <c r="AD183" s="245"/>
      <c r="AE183" s="200"/>
      <c r="AF183" s="238"/>
      <c r="AG183" s="238"/>
      <c r="AH183" s="133" t="str">
        <f t="shared" si="5"/>
        <v>OK!</v>
      </c>
    </row>
    <row r="184" spans="1:34">
      <c r="A184" s="238" t="s">
        <v>396</v>
      </c>
      <c r="B184" s="238"/>
      <c r="C184" s="238"/>
      <c r="D184" s="238"/>
      <c r="E184" s="238"/>
      <c r="F184" s="238">
        <v>1</v>
      </c>
      <c r="G184" s="238"/>
      <c r="H184" s="200"/>
      <c r="I184" s="200"/>
      <c r="J184" s="200"/>
      <c r="K184" s="200"/>
      <c r="L184" s="238"/>
      <c r="M184" s="238"/>
      <c r="N184" s="200">
        <v>1</v>
      </c>
      <c r="O184" s="200"/>
      <c r="P184" s="200"/>
      <c r="Q184" s="200"/>
      <c r="R184" s="200"/>
      <c r="S184" s="200"/>
      <c r="T184" s="200"/>
      <c r="U184" s="200"/>
      <c r="V184" s="200"/>
      <c r="W184" s="200"/>
      <c r="X184" s="200"/>
      <c r="Y184" s="200"/>
      <c r="Z184" s="200"/>
      <c r="AA184" s="200"/>
      <c r="AB184" s="200"/>
      <c r="AC184" s="245">
        <f>0.6*1.82</f>
        <v>1.0920000000000001</v>
      </c>
      <c r="AD184" s="245"/>
      <c r="AE184" s="238"/>
      <c r="AF184" s="238"/>
      <c r="AG184" s="238"/>
      <c r="AH184" s="133" t="str">
        <f t="shared" si="5"/>
        <v>OK!</v>
      </c>
    </row>
    <row r="185" spans="1:34">
      <c r="A185" s="238" t="s">
        <v>1144</v>
      </c>
      <c r="B185" s="238"/>
      <c r="C185" s="200">
        <v>2</v>
      </c>
      <c r="D185" s="200">
        <v>2</v>
      </c>
      <c r="E185" s="200">
        <v>3</v>
      </c>
      <c r="F185" s="200"/>
      <c r="G185" s="200"/>
      <c r="H185" s="200">
        <v>4</v>
      </c>
      <c r="I185" s="200"/>
      <c r="J185" s="200"/>
      <c r="K185" s="200"/>
      <c r="L185" s="238"/>
      <c r="M185" s="238"/>
      <c r="N185" s="200"/>
      <c r="O185" s="200">
        <v>4</v>
      </c>
      <c r="P185" s="200"/>
      <c r="Q185" s="200">
        <v>2</v>
      </c>
      <c r="R185" s="200"/>
      <c r="S185" s="200"/>
      <c r="T185" s="200"/>
      <c r="U185" s="200"/>
      <c r="V185" s="200"/>
      <c r="W185" s="200">
        <v>2</v>
      </c>
      <c r="X185" s="200">
        <v>3</v>
      </c>
      <c r="Y185" s="200">
        <v>2</v>
      </c>
      <c r="Z185" s="200">
        <v>2</v>
      </c>
      <c r="AA185" s="200"/>
      <c r="AB185" s="200">
        <v>3.85</v>
      </c>
      <c r="AC185" s="245">
        <f>0.6*3.86</f>
        <v>2.3159999999999998</v>
      </c>
      <c r="AD185" s="245"/>
      <c r="AE185" s="200">
        <f>1.45*2*4+0.4*1.6*2+0.54*2*4+0.05*2*4</f>
        <v>17.599999999999998</v>
      </c>
      <c r="AF185" s="238"/>
      <c r="AG185" s="238"/>
      <c r="AH185" s="133" t="str">
        <f t="shared" si="5"/>
        <v>OK!</v>
      </c>
    </row>
    <row r="186" spans="1:34">
      <c r="A186" s="238" t="s">
        <v>1145</v>
      </c>
      <c r="B186" s="238"/>
      <c r="C186" s="200">
        <v>4</v>
      </c>
      <c r="D186" s="200">
        <v>4</v>
      </c>
      <c r="E186" s="200"/>
      <c r="F186" s="200"/>
      <c r="G186" s="200"/>
      <c r="H186" s="200">
        <v>4</v>
      </c>
      <c r="I186" s="200"/>
      <c r="J186" s="200"/>
      <c r="K186" s="200"/>
      <c r="L186" s="238"/>
      <c r="M186" s="238"/>
      <c r="N186" s="200"/>
      <c r="O186" s="200">
        <v>4</v>
      </c>
      <c r="P186" s="200"/>
      <c r="Q186" s="200">
        <v>2</v>
      </c>
      <c r="R186" s="200"/>
      <c r="S186" s="200"/>
      <c r="T186" s="200"/>
      <c r="U186" s="200"/>
      <c r="V186" s="200"/>
      <c r="W186" s="200">
        <v>2</v>
      </c>
      <c r="X186" s="200">
        <v>3</v>
      </c>
      <c r="Y186" s="200">
        <v>2</v>
      </c>
      <c r="Z186" s="200">
        <v>4</v>
      </c>
      <c r="AA186" s="200"/>
      <c r="AB186" s="200">
        <v>3.85</v>
      </c>
      <c r="AC186" s="245">
        <f>0.6*3.86</f>
        <v>2.3159999999999998</v>
      </c>
      <c r="AD186" s="245"/>
      <c r="AE186" s="200">
        <f>1.4*2*5+0.49*2*6+0.25*2+0.05*5*2</f>
        <v>20.88</v>
      </c>
      <c r="AF186" s="238"/>
      <c r="AG186" s="238"/>
      <c r="AH186" s="133" t="str">
        <f t="shared" si="5"/>
        <v>OK!</v>
      </c>
    </row>
    <row r="187" spans="1:34">
      <c r="A187" s="238" t="s">
        <v>1082</v>
      </c>
      <c r="B187" s="238"/>
      <c r="C187" s="200">
        <v>1</v>
      </c>
      <c r="D187" s="200">
        <v>1</v>
      </c>
      <c r="E187" s="200"/>
      <c r="F187" s="200"/>
      <c r="G187" s="200"/>
      <c r="H187" s="200"/>
      <c r="I187" s="200">
        <v>1</v>
      </c>
      <c r="J187" s="200"/>
      <c r="K187" s="200"/>
      <c r="L187" s="238"/>
      <c r="M187" s="238"/>
      <c r="N187" s="200"/>
      <c r="O187" s="200">
        <v>1</v>
      </c>
      <c r="P187" s="200"/>
      <c r="Q187" s="200"/>
      <c r="R187" s="200">
        <v>2</v>
      </c>
      <c r="S187" s="200"/>
      <c r="T187" s="200"/>
      <c r="U187" s="200"/>
      <c r="V187" s="200"/>
      <c r="W187" s="200"/>
      <c r="X187" s="200">
        <v>2</v>
      </c>
      <c r="Y187" s="200">
        <v>2</v>
      </c>
      <c r="Z187" s="200"/>
      <c r="AA187" s="200">
        <v>2</v>
      </c>
      <c r="AB187" s="200">
        <v>1.2</v>
      </c>
      <c r="AC187" s="245">
        <f>1.2*0.6</f>
        <v>0.72</v>
      </c>
      <c r="AD187" s="245"/>
      <c r="AE187" s="200"/>
      <c r="AF187" s="238"/>
      <c r="AG187" s="238"/>
      <c r="AH187" s="133" t="str">
        <f t="shared" si="5"/>
        <v>OK!</v>
      </c>
    </row>
    <row r="188" spans="1:34">
      <c r="A188" s="238" t="s">
        <v>1083</v>
      </c>
      <c r="B188" s="238"/>
      <c r="C188" s="200">
        <v>1</v>
      </c>
      <c r="D188" s="200">
        <v>1</v>
      </c>
      <c r="E188" s="200"/>
      <c r="F188" s="200"/>
      <c r="G188" s="200"/>
      <c r="H188" s="200"/>
      <c r="I188" s="200">
        <v>1</v>
      </c>
      <c r="J188" s="200"/>
      <c r="K188" s="200"/>
      <c r="L188" s="238"/>
      <c r="M188" s="238"/>
      <c r="N188" s="200"/>
      <c r="O188" s="200">
        <v>1</v>
      </c>
      <c r="P188" s="200"/>
      <c r="Q188" s="200"/>
      <c r="R188" s="200">
        <v>2</v>
      </c>
      <c r="S188" s="200"/>
      <c r="T188" s="200"/>
      <c r="U188" s="200"/>
      <c r="V188" s="200"/>
      <c r="W188" s="200"/>
      <c r="X188" s="200">
        <v>2</v>
      </c>
      <c r="Y188" s="200">
        <v>2</v>
      </c>
      <c r="Z188" s="200"/>
      <c r="AA188" s="200">
        <v>2</v>
      </c>
      <c r="AB188" s="200">
        <v>1.2</v>
      </c>
      <c r="AC188" s="245">
        <f>1.2*0.6</f>
        <v>0.72</v>
      </c>
      <c r="AD188" s="245"/>
      <c r="AE188" s="200"/>
      <c r="AF188" s="238"/>
      <c r="AG188" s="238"/>
      <c r="AH188" s="133" t="str">
        <f t="shared" si="5"/>
        <v>OK!</v>
      </c>
    </row>
    <row r="189" spans="1:34">
      <c r="A189" s="238"/>
      <c r="B189" s="238"/>
      <c r="C189" s="238"/>
      <c r="D189" s="238"/>
      <c r="E189" s="238"/>
      <c r="F189" s="238"/>
      <c r="G189" s="238"/>
      <c r="H189" s="238"/>
      <c r="I189" s="238"/>
      <c r="J189" s="238"/>
      <c r="K189" s="238"/>
      <c r="L189" s="238"/>
      <c r="M189" s="238"/>
      <c r="N189" s="238"/>
      <c r="O189" s="238"/>
      <c r="P189" s="238"/>
      <c r="Q189" s="238"/>
      <c r="R189" s="238"/>
      <c r="S189" s="238"/>
      <c r="T189" s="238"/>
      <c r="U189" s="238"/>
      <c r="V189" s="238"/>
      <c r="W189" s="238"/>
      <c r="X189" s="238"/>
      <c r="Y189" s="238"/>
      <c r="Z189" s="238"/>
      <c r="AA189" s="238"/>
      <c r="AB189" s="238"/>
      <c r="AC189" s="246"/>
      <c r="AD189" s="246"/>
      <c r="AE189" s="238"/>
      <c r="AF189" s="238"/>
      <c r="AG189" s="238"/>
      <c r="AH189" s="133" t="str">
        <f t="shared" si="5"/>
        <v>OK!</v>
      </c>
    </row>
    <row r="190" spans="1:34" s="131" customFormat="1">
      <c r="A190" s="1101" t="s">
        <v>1149</v>
      </c>
      <c r="B190" s="1102"/>
      <c r="C190" s="1102"/>
      <c r="D190" s="1102"/>
      <c r="E190" s="1102"/>
      <c r="F190" s="1102"/>
      <c r="G190" s="1102"/>
      <c r="H190" s="1102"/>
      <c r="I190" s="1102"/>
      <c r="J190" s="1102"/>
      <c r="K190" s="1102"/>
      <c r="L190" s="1102"/>
      <c r="M190" s="1102"/>
      <c r="N190" s="1102"/>
      <c r="O190" s="1102"/>
      <c r="P190" s="1102"/>
      <c r="Q190" s="1102"/>
      <c r="R190" s="1102"/>
      <c r="S190" s="1102"/>
      <c r="T190" s="1102"/>
      <c r="U190" s="1102"/>
      <c r="V190" s="1102"/>
      <c r="W190" s="1102"/>
      <c r="X190" s="1102"/>
      <c r="Y190" s="1102"/>
      <c r="Z190" s="1102"/>
      <c r="AA190" s="1102"/>
      <c r="AB190" s="1102"/>
      <c r="AC190" s="1102"/>
      <c r="AD190" s="1102"/>
      <c r="AE190" s="1102"/>
      <c r="AF190" s="1102"/>
      <c r="AG190" s="1103"/>
      <c r="AH190" s="133" t="str">
        <f t="shared" si="5"/>
        <v>OK!</v>
      </c>
    </row>
    <row r="191" spans="1:34" s="134" customFormat="1">
      <c r="A191" s="238" t="s">
        <v>308</v>
      </c>
      <c r="B191" s="238"/>
      <c r="C191" s="241"/>
      <c r="D191" s="238"/>
      <c r="E191" s="238"/>
      <c r="F191" s="238"/>
      <c r="G191" s="238"/>
      <c r="H191" s="200"/>
      <c r="I191" s="200"/>
      <c r="J191" s="200"/>
      <c r="K191" s="200"/>
      <c r="L191" s="200"/>
      <c r="M191" s="200">
        <v>1</v>
      </c>
      <c r="N191" s="200"/>
      <c r="O191" s="200"/>
      <c r="P191" s="200"/>
      <c r="Q191" s="200"/>
      <c r="R191" s="200"/>
      <c r="S191" s="200"/>
      <c r="T191" s="200"/>
      <c r="U191" s="200"/>
      <c r="V191" s="200"/>
      <c r="W191" s="200"/>
      <c r="X191" s="200"/>
      <c r="Y191" s="200"/>
      <c r="Z191" s="200"/>
      <c r="AA191" s="200"/>
      <c r="AB191" s="200"/>
      <c r="AC191" s="245">
        <f>1.19*0.6+0.6*1.4</f>
        <v>1.5539999999999998</v>
      </c>
      <c r="AD191" s="245"/>
      <c r="AE191" s="238"/>
      <c r="AF191" s="200"/>
      <c r="AG191" s="200"/>
      <c r="AH191" s="133" t="str">
        <f t="shared" si="5"/>
        <v>Falta torneiras!</v>
      </c>
    </row>
    <row r="192" spans="1:34" s="134" customFormat="1">
      <c r="A192" s="241" t="s">
        <v>1119</v>
      </c>
      <c r="B192" s="241"/>
      <c r="C192" s="241"/>
      <c r="D192" s="241"/>
      <c r="E192" s="241"/>
      <c r="F192" s="241">
        <v>1</v>
      </c>
      <c r="G192" s="241"/>
      <c r="H192" s="242"/>
      <c r="I192" s="242"/>
      <c r="J192" s="200"/>
      <c r="K192" s="200"/>
      <c r="L192" s="200"/>
      <c r="M192" s="242"/>
      <c r="N192" s="200">
        <v>1</v>
      </c>
      <c r="O192" s="200"/>
      <c r="P192" s="200"/>
      <c r="Q192" s="242"/>
      <c r="R192" s="242"/>
      <c r="S192" s="242"/>
      <c r="T192" s="242"/>
      <c r="U192" s="242"/>
      <c r="V192" s="242"/>
      <c r="W192" s="242"/>
      <c r="X192" s="242"/>
      <c r="Y192" s="242"/>
      <c r="Z192" s="242"/>
      <c r="AA192" s="242"/>
      <c r="AB192" s="242"/>
      <c r="AC192" s="247">
        <f>0.6*2.2</f>
        <v>1.32</v>
      </c>
      <c r="AD192" s="247"/>
      <c r="AE192" s="241"/>
      <c r="AF192" s="242"/>
      <c r="AG192" s="242"/>
      <c r="AH192" s="133" t="str">
        <f t="shared" si="5"/>
        <v>OK!</v>
      </c>
    </row>
    <row r="193" spans="1:34" s="134" customFormat="1" ht="41.4">
      <c r="A193" s="238" t="s">
        <v>1150</v>
      </c>
      <c r="B193" s="239" t="s">
        <v>1121</v>
      </c>
      <c r="C193" s="200">
        <v>1</v>
      </c>
      <c r="D193" s="200">
        <v>1</v>
      </c>
      <c r="E193" s="200"/>
      <c r="F193" s="200"/>
      <c r="G193" s="200"/>
      <c r="H193" s="200"/>
      <c r="I193" s="200">
        <v>1</v>
      </c>
      <c r="J193" s="200"/>
      <c r="K193" s="200"/>
      <c r="L193" s="241"/>
      <c r="M193" s="241"/>
      <c r="N193" s="200"/>
      <c r="O193" s="200">
        <v>1</v>
      </c>
      <c r="P193" s="200"/>
      <c r="Q193" s="200"/>
      <c r="R193" s="200">
        <v>2</v>
      </c>
      <c r="S193" s="200"/>
      <c r="T193" s="200"/>
      <c r="U193" s="200"/>
      <c r="V193" s="200"/>
      <c r="W193" s="200"/>
      <c r="X193" s="200">
        <v>1</v>
      </c>
      <c r="Y193" s="200">
        <v>1</v>
      </c>
      <c r="Z193" s="200"/>
      <c r="AA193" s="200">
        <v>1</v>
      </c>
      <c r="AB193" s="200">
        <v>1.2</v>
      </c>
      <c r="AC193" s="245">
        <f>0.6*1.2</f>
        <v>0.72</v>
      </c>
      <c r="AD193" s="245"/>
      <c r="AE193" s="200"/>
      <c r="AF193" s="241"/>
      <c r="AG193" s="241"/>
      <c r="AH193" s="133" t="str">
        <f t="shared" si="5"/>
        <v>OK!</v>
      </c>
    </row>
    <row r="194" spans="1:34" s="134" customFormat="1" ht="41.4">
      <c r="A194" s="241"/>
      <c r="B194" s="239" t="s">
        <v>1120</v>
      </c>
      <c r="C194" s="200">
        <v>1</v>
      </c>
      <c r="D194" s="200">
        <v>1</v>
      </c>
      <c r="E194" s="200"/>
      <c r="F194" s="200"/>
      <c r="G194" s="200"/>
      <c r="H194" s="200"/>
      <c r="I194" s="200">
        <v>1</v>
      </c>
      <c r="J194" s="200"/>
      <c r="K194" s="200"/>
      <c r="L194" s="241"/>
      <c r="M194" s="241"/>
      <c r="N194" s="200"/>
      <c r="O194" s="200">
        <v>1</v>
      </c>
      <c r="P194" s="200"/>
      <c r="Q194" s="200"/>
      <c r="R194" s="200">
        <v>2</v>
      </c>
      <c r="S194" s="200"/>
      <c r="T194" s="200"/>
      <c r="U194" s="200"/>
      <c r="V194" s="200"/>
      <c r="W194" s="200"/>
      <c r="X194" s="200">
        <v>1</v>
      </c>
      <c r="Y194" s="200">
        <v>1</v>
      </c>
      <c r="Z194" s="200"/>
      <c r="AA194" s="200">
        <v>1</v>
      </c>
      <c r="AB194" s="200">
        <v>1.2</v>
      </c>
      <c r="AC194" s="245">
        <f>0.6*1.2</f>
        <v>0.72</v>
      </c>
      <c r="AD194" s="245"/>
      <c r="AE194" s="200"/>
      <c r="AF194" s="241"/>
      <c r="AG194" s="241"/>
      <c r="AH194" s="133" t="str">
        <f t="shared" si="5"/>
        <v>OK!</v>
      </c>
    </row>
    <row r="195" spans="1:34" s="134" customFormat="1">
      <c r="A195" s="241"/>
      <c r="B195" s="241"/>
      <c r="C195" s="241"/>
      <c r="D195" s="238"/>
      <c r="E195" s="238"/>
      <c r="F195" s="238"/>
      <c r="G195" s="238"/>
      <c r="H195" s="238"/>
      <c r="I195" s="238"/>
      <c r="J195" s="238"/>
      <c r="K195" s="238"/>
      <c r="L195" s="238"/>
      <c r="M195" s="238"/>
      <c r="N195" s="238"/>
      <c r="O195" s="238"/>
      <c r="P195" s="238"/>
      <c r="Q195" s="238"/>
      <c r="R195" s="238"/>
      <c r="S195" s="238"/>
      <c r="T195" s="238"/>
      <c r="U195" s="238"/>
      <c r="V195" s="238"/>
      <c r="W195" s="238"/>
      <c r="X195" s="238"/>
      <c r="Y195" s="238"/>
      <c r="Z195" s="238"/>
      <c r="AA195" s="238"/>
      <c r="AB195" s="238"/>
      <c r="AC195" s="246"/>
      <c r="AD195" s="246"/>
      <c r="AE195" s="238"/>
      <c r="AF195" s="238"/>
      <c r="AG195" s="238"/>
      <c r="AH195" s="133" t="str">
        <f t="shared" si="5"/>
        <v>OK!</v>
      </c>
    </row>
    <row r="196" spans="1:34" s="131" customFormat="1">
      <c r="A196" s="1101" t="s">
        <v>1151</v>
      </c>
      <c r="B196" s="1102"/>
      <c r="C196" s="1102"/>
      <c r="D196" s="1102"/>
      <c r="E196" s="1102"/>
      <c r="F196" s="1102"/>
      <c r="G196" s="1102"/>
      <c r="H196" s="1102"/>
      <c r="I196" s="1102"/>
      <c r="J196" s="1102"/>
      <c r="K196" s="1102"/>
      <c r="L196" s="1102"/>
      <c r="M196" s="1102"/>
      <c r="N196" s="1102"/>
      <c r="O196" s="1102"/>
      <c r="P196" s="1102"/>
      <c r="Q196" s="1102"/>
      <c r="R196" s="1102"/>
      <c r="S196" s="1102"/>
      <c r="T196" s="1102"/>
      <c r="U196" s="1102"/>
      <c r="V196" s="1102"/>
      <c r="W196" s="1102"/>
      <c r="X196" s="1102"/>
      <c r="Y196" s="1102"/>
      <c r="Z196" s="1102"/>
      <c r="AA196" s="1102"/>
      <c r="AB196" s="1102"/>
      <c r="AC196" s="1102"/>
      <c r="AD196" s="1102"/>
      <c r="AE196" s="1102"/>
      <c r="AF196" s="1102"/>
      <c r="AG196" s="1103"/>
      <c r="AH196" s="133" t="str">
        <f t="shared" si="5"/>
        <v>OK!</v>
      </c>
    </row>
    <row r="197" spans="1:34" s="134" customFormat="1">
      <c r="A197" s="241" t="s">
        <v>308</v>
      </c>
      <c r="B197" s="241"/>
      <c r="C197" s="241"/>
      <c r="D197" s="238"/>
      <c r="E197" s="238"/>
      <c r="F197" s="238"/>
      <c r="G197" s="238"/>
      <c r="H197" s="238"/>
      <c r="I197" s="238"/>
      <c r="J197" s="238"/>
      <c r="K197" s="238"/>
      <c r="L197" s="238"/>
      <c r="M197" s="200">
        <v>1</v>
      </c>
      <c r="N197" s="238"/>
      <c r="O197" s="238"/>
      <c r="P197" s="238"/>
      <c r="Q197" s="238"/>
      <c r="R197" s="238"/>
      <c r="S197" s="238"/>
      <c r="T197" s="238"/>
      <c r="U197" s="238"/>
      <c r="V197" s="238"/>
      <c r="W197" s="238"/>
      <c r="X197" s="238"/>
      <c r="Y197" s="238"/>
      <c r="Z197" s="238"/>
      <c r="AA197" s="238"/>
      <c r="AB197" s="238"/>
      <c r="AC197" s="246"/>
      <c r="AD197" s="246"/>
      <c r="AE197" s="238"/>
      <c r="AF197" s="200"/>
      <c r="AG197" s="200"/>
      <c r="AH197" s="133" t="str">
        <f t="shared" si="5"/>
        <v>Falta torneiras!</v>
      </c>
    </row>
    <row r="198" spans="1:34" s="134" customFormat="1">
      <c r="A198" s="238" t="s">
        <v>371</v>
      </c>
      <c r="B198" s="238"/>
      <c r="C198" s="200"/>
      <c r="D198" s="200"/>
      <c r="E198" s="200"/>
      <c r="F198" s="200"/>
      <c r="G198" s="200"/>
      <c r="H198" s="200"/>
      <c r="I198" s="200"/>
      <c r="J198" s="200"/>
      <c r="K198" s="200"/>
      <c r="L198" s="200">
        <v>1</v>
      </c>
      <c r="M198" s="238"/>
      <c r="N198" s="200">
        <v>1</v>
      </c>
      <c r="O198" s="200"/>
      <c r="P198" s="200"/>
      <c r="Q198" s="200"/>
      <c r="R198" s="200"/>
      <c r="S198" s="200"/>
      <c r="T198" s="200"/>
      <c r="U198" s="200"/>
      <c r="V198" s="200"/>
      <c r="W198" s="200"/>
      <c r="X198" s="200">
        <v>1</v>
      </c>
      <c r="Y198" s="200">
        <v>1</v>
      </c>
      <c r="Z198" s="200"/>
      <c r="AA198" s="200"/>
      <c r="AB198" s="200"/>
      <c r="AC198" s="245">
        <f>3.4*0.6</f>
        <v>2.04</v>
      </c>
      <c r="AD198" s="245"/>
      <c r="AE198" s="200"/>
      <c r="AF198" s="238"/>
      <c r="AG198" s="238"/>
      <c r="AH198" s="133" t="str">
        <f t="shared" si="5"/>
        <v>OK!</v>
      </c>
    </row>
    <row r="199" spans="1:34" s="134" customFormat="1">
      <c r="A199" s="238" t="s">
        <v>1152</v>
      </c>
      <c r="B199" s="238"/>
      <c r="C199" s="200">
        <v>2</v>
      </c>
      <c r="D199" s="200">
        <v>2</v>
      </c>
      <c r="E199" s="200"/>
      <c r="F199" s="200"/>
      <c r="G199" s="200"/>
      <c r="H199" s="200"/>
      <c r="I199" s="200"/>
      <c r="J199" s="200">
        <v>2</v>
      </c>
      <c r="K199" s="238"/>
      <c r="L199" s="238"/>
      <c r="M199" s="238"/>
      <c r="N199" s="238"/>
      <c r="O199" s="238">
        <v>2</v>
      </c>
      <c r="P199" s="238"/>
      <c r="Q199" s="200">
        <v>2</v>
      </c>
      <c r="R199" s="200"/>
      <c r="S199" s="200"/>
      <c r="T199" s="200"/>
      <c r="U199" s="200"/>
      <c r="V199" s="200"/>
      <c r="W199" s="200">
        <v>2</v>
      </c>
      <c r="X199" s="200">
        <v>2</v>
      </c>
      <c r="Y199" s="200">
        <v>2</v>
      </c>
      <c r="Z199" s="200"/>
      <c r="AA199" s="200">
        <v>2</v>
      </c>
      <c r="AB199" s="200">
        <v>1.8</v>
      </c>
      <c r="AC199" s="245"/>
      <c r="AD199" s="245"/>
      <c r="AE199" s="200"/>
      <c r="AF199" s="238"/>
      <c r="AG199" s="238"/>
      <c r="AH199" s="133" t="str">
        <f t="shared" si="5"/>
        <v>OK!</v>
      </c>
    </row>
    <row r="200" spans="1:34" s="134" customFormat="1">
      <c r="A200" s="241" t="s">
        <v>379</v>
      </c>
      <c r="B200" s="241"/>
      <c r="C200" s="241">
        <v>1</v>
      </c>
      <c r="D200" s="238">
        <v>1</v>
      </c>
      <c r="E200" s="238"/>
      <c r="F200" s="238"/>
      <c r="G200" s="238"/>
      <c r="H200" s="238"/>
      <c r="I200" s="238"/>
      <c r="J200" s="200">
        <v>1</v>
      </c>
      <c r="K200" s="200"/>
      <c r="L200" s="238"/>
      <c r="M200" s="238"/>
      <c r="N200" s="200"/>
      <c r="O200" s="200">
        <v>1</v>
      </c>
      <c r="P200" s="200"/>
      <c r="Q200" s="200">
        <v>1</v>
      </c>
      <c r="R200" s="200">
        <v>3</v>
      </c>
      <c r="S200" s="200">
        <v>1</v>
      </c>
      <c r="T200" s="200">
        <v>1</v>
      </c>
      <c r="U200" s="200">
        <v>1</v>
      </c>
      <c r="V200" s="200">
        <v>1</v>
      </c>
      <c r="W200" s="200">
        <v>1</v>
      </c>
      <c r="X200" s="200">
        <v>1</v>
      </c>
      <c r="Y200" s="200">
        <v>1</v>
      </c>
      <c r="Z200" s="200"/>
      <c r="AA200" s="200">
        <v>1</v>
      </c>
      <c r="AB200" s="200">
        <v>0.9</v>
      </c>
      <c r="AC200" s="245"/>
      <c r="AD200" s="245"/>
      <c r="AE200" s="238"/>
      <c r="AF200" s="238"/>
      <c r="AG200" s="238"/>
      <c r="AH200" s="133" t="str">
        <f t="shared" si="5"/>
        <v>OK!</v>
      </c>
    </row>
    <row r="201" spans="1:34" s="134" customFormat="1">
      <c r="A201" s="241" t="s">
        <v>380</v>
      </c>
      <c r="B201" s="241"/>
      <c r="C201" s="241">
        <v>1</v>
      </c>
      <c r="D201" s="241">
        <v>1</v>
      </c>
      <c r="E201" s="241"/>
      <c r="F201" s="241"/>
      <c r="G201" s="241"/>
      <c r="H201" s="241"/>
      <c r="I201" s="241"/>
      <c r="J201" s="200">
        <v>1</v>
      </c>
      <c r="K201" s="200"/>
      <c r="L201" s="241"/>
      <c r="M201" s="241"/>
      <c r="N201" s="200"/>
      <c r="O201" s="200">
        <v>1</v>
      </c>
      <c r="P201" s="200"/>
      <c r="Q201" s="200">
        <v>1</v>
      </c>
      <c r="R201" s="200">
        <v>3</v>
      </c>
      <c r="S201" s="200">
        <v>1</v>
      </c>
      <c r="T201" s="200">
        <v>1</v>
      </c>
      <c r="U201" s="200">
        <v>1</v>
      </c>
      <c r="V201" s="200">
        <v>1</v>
      </c>
      <c r="W201" s="200">
        <v>1</v>
      </c>
      <c r="X201" s="200">
        <v>1</v>
      </c>
      <c r="Y201" s="200">
        <v>1</v>
      </c>
      <c r="Z201" s="200"/>
      <c r="AA201" s="200">
        <v>1</v>
      </c>
      <c r="AB201" s="200">
        <v>0.9</v>
      </c>
      <c r="AC201" s="245"/>
      <c r="AD201" s="245"/>
      <c r="AE201" s="241"/>
      <c r="AF201" s="241"/>
      <c r="AG201" s="241"/>
      <c r="AH201" s="133" t="str">
        <f t="shared" si="5"/>
        <v>OK!</v>
      </c>
    </row>
    <row r="202" spans="1:34" s="134" customFormat="1">
      <c r="A202" s="241" t="s">
        <v>382</v>
      </c>
      <c r="B202" s="241"/>
      <c r="C202" s="241">
        <v>1</v>
      </c>
      <c r="D202" s="241">
        <v>1</v>
      </c>
      <c r="E202" s="241"/>
      <c r="F202" s="241"/>
      <c r="G202" s="241"/>
      <c r="H202" s="241"/>
      <c r="I202" s="241"/>
      <c r="J202" s="200">
        <v>1</v>
      </c>
      <c r="K202" s="200"/>
      <c r="L202" s="241"/>
      <c r="M202" s="241"/>
      <c r="N202" s="200"/>
      <c r="O202" s="200">
        <v>1</v>
      </c>
      <c r="P202" s="200"/>
      <c r="Q202" s="200">
        <v>1</v>
      </c>
      <c r="R202" s="200">
        <v>3</v>
      </c>
      <c r="S202" s="200">
        <v>1</v>
      </c>
      <c r="T202" s="200">
        <v>1</v>
      </c>
      <c r="U202" s="200">
        <v>1</v>
      </c>
      <c r="V202" s="200">
        <v>1</v>
      </c>
      <c r="W202" s="200">
        <v>1</v>
      </c>
      <c r="X202" s="200">
        <v>1</v>
      </c>
      <c r="Y202" s="200">
        <v>1</v>
      </c>
      <c r="Z202" s="200"/>
      <c r="AA202" s="200">
        <v>1</v>
      </c>
      <c r="AB202" s="200">
        <v>0.9</v>
      </c>
      <c r="AC202" s="245"/>
      <c r="AD202" s="245"/>
      <c r="AE202" s="241"/>
      <c r="AF202" s="241"/>
      <c r="AG202" s="241"/>
      <c r="AH202" s="133" t="str">
        <f t="shared" si="5"/>
        <v>OK!</v>
      </c>
    </row>
    <row r="203" spans="1:34" s="134" customFormat="1">
      <c r="A203" s="241" t="s">
        <v>381</v>
      </c>
      <c r="B203" s="241"/>
      <c r="C203" s="241">
        <v>1</v>
      </c>
      <c r="D203" s="241">
        <v>1</v>
      </c>
      <c r="E203" s="241"/>
      <c r="F203" s="241"/>
      <c r="G203" s="241"/>
      <c r="H203" s="241"/>
      <c r="I203" s="241"/>
      <c r="J203" s="200">
        <v>1</v>
      </c>
      <c r="K203" s="200"/>
      <c r="L203" s="241"/>
      <c r="M203" s="241"/>
      <c r="N203" s="200"/>
      <c r="O203" s="200">
        <v>1</v>
      </c>
      <c r="P203" s="200"/>
      <c r="Q203" s="200">
        <v>1</v>
      </c>
      <c r="R203" s="200">
        <v>3</v>
      </c>
      <c r="S203" s="200">
        <v>1</v>
      </c>
      <c r="T203" s="200">
        <v>1</v>
      </c>
      <c r="U203" s="200">
        <v>1</v>
      </c>
      <c r="V203" s="200">
        <v>1</v>
      </c>
      <c r="W203" s="200">
        <v>1</v>
      </c>
      <c r="X203" s="200">
        <v>1</v>
      </c>
      <c r="Y203" s="200">
        <v>1</v>
      </c>
      <c r="Z203" s="200"/>
      <c r="AA203" s="200">
        <v>1</v>
      </c>
      <c r="AB203" s="200">
        <v>0.9</v>
      </c>
      <c r="AC203" s="245"/>
      <c r="AD203" s="245"/>
      <c r="AE203" s="241"/>
      <c r="AF203" s="241"/>
      <c r="AG203" s="241"/>
      <c r="AH203" s="133" t="str">
        <f t="shared" si="5"/>
        <v>OK!</v>
      </c>
    </row>
    <row r="204" spans="1:34" s="134" customFormat="1">
      <c r="A204" s="241" t="s">
        <v>392</v>
      </c>
      <c r="B204" s="241"/>
      <c r="C204" s="241">
        <v>1</v>
      </c>
      <c r="D204" s="241">
        <v>1</v>
      </c>
      <c r="E204" s="241"/>
      <c r="F204" s="241"/>
      <c r="G204" s="241"/>
      <c r="H204" s="242"/>
      <c r="I204" s="242"/>
      <c r="J204" s="200">
        <v>1</v>
      </c>
      <c r="K204" s="200"/>
      <c r="L204" s="241"/>
      <c r="M204" s="241"/>
      <c r="N204" s="200"/>
      <c r="O204" s="200">
        <v>1</v>
      </c>
      <c r="P204" s="200"/>
      <c r="Q204" s="200">
        <v>1</v>
      </c>
      <c r="R204" s="200">
        <v>3</v>
      </c>
      <c r="S204" s="200">
        <v>1</v>
      </c>
      <c r="T204" s="200">
        <v>1</v>
      </c>
      <c r="U204" s="200">
        <v>1</v>
      </c>
      <c r="V204" s="200">
        <v>1</v>
      </c>
      <c r="W204" s="200">
        <v>1</v>
      </c>
      <c r="X204" s="200">
        <v>1</v>
      </c>
      <c r="Y204" s="200">
        <v>1</v>
      </c>
      <c r="Z204" s="200"/>
      <c r="AA204" s="200">
        <v>1</v>
      </c>
      <c r="AB204" s="200">
        <v>0.9</v>
      </c>
      <c r="AC204" s="245"/>
      <c r="AD204" s="245"/>
      <c r="AE204" s="241"/>
      <c r="AF204" s="241"/>
      <c r="AG204" s="241"/>
      <c r="AH204" s="133" t="str">
        <f t="shared" si="5"/>
        <v>OK!</v>
      </c>
    </row>
    <row r="205" spans="1:34" s="134" customFormat="1">
      <c r="A205" s="241" t="s">
        <v>1153</v>
      </c>
      <c r="B205" s="241"/>
      <c r="C205" s="241"/>
      <c r="D205" s="241"/>
      <c r="E205" s="241"/>
      <c r="F205" s="241"/>
      <c r="G205" s="241"/>
      <c r="H205" s="241"/>
      <c r="I205" s="241"/>
      <c r="J205" s="242">
        <v>1</v>
      </c>
      <c r="K205" s="242"/>
      <c r="L205" s="241"/>
      <c r="M205" s="241"/>
      <c r="N205" s="242"/>
      <c r="O205" s="242">
        <v>1</v>
      </c>
      <c r="P205" s="242"/>
      <c r="Q205" s="241"/>
      <c r="R205" s="241"/>
      <c r="S205" s="241"/>
      <c r="T205" s="241"/>
      <c r="U205" s="241"/>
      <c r="V205" s="241"/>
      <c r="W205" s="241"/>
      <c r="X205" s="241"/>
      <c r="Y205" s="241"/>
      <c r="Z205" s="241"/>
      <c r="AA205" s="241"/>
      <c r="AB205" s="241"/>
      <c r="AC205" s="247">
        <f>0.6*2.3+0.6*2.05</f>
        <v>2.6099999999999994</v>
      </c>
      <c r="AD205" s="247"/>
      <c r="AE205" s="241"/>
      <c r="AF205" s="241"/>
      <c r="AG205" s="241"/>
      <c r="AH205" s="133" t="str">
        <f t="shared" si="5"/>
        <v>OK!</v>
      </c>
    </row>
    <row r="206" spans="1:34" s="134" customFormat="1">
      <c r="A206" s="241" t="s">
        <v>1154</v>
      </c>
      <c r="B206" s="241"/>
      <c r="C206" s="241">
        <v>1</v>
      </c>
      <c r="D206" s="241">
        <v>1</v>
      </c>
      <c r="E206" s="241"/>
      <c r="F206" s="241"/>
      <c r="G206" s="241"/>
      <c r="H206" s="242"/>
      <c r="I206" s="242"/>
      <c r="J206" s="242">
        <v>1</v>
      </c>
      <c r="K206" s="242"/>
      <c r="L206" s="241"/>
      <c r="M206" s="241"/>
      <c r="N206" s="242"/>
      <c r="O206" s="242">
        <v>1</v>
      </c>
      <c r="P206" s="242"/>
      <c r="Q206" s="242"/>
      <c r="R206" s="242"/>
      <c r="S206" s="242"/>
      <c r="T206" s="242"/>
      <c r="U206" s="242"/>
      <c r="V206" s="242"/>
      <c r="W206" s="242"/>
      <c r="X206" s="242">
        <v>1</v>
      </c>
      <c r="Y206" s="242">
        <v>1</v>
      </c>
      <c r="Z206" s="242"/>
      <c r="AA206" s="242">
        <v>1</v>
      </c>
      <c r="AB206" s="242">
        <v>0.9</v>
      </c>
      <c r="AC206" s="247"/>
      <c r="AD206" s="247"/>
      <c r="AE206" s="241"/>
      <c r="AF206" s="241"/>
      <c r="AG206" s="241"/>
      <c r="AH206" s="133" t="str">
        <f t="shared" si="5"/>
        <v>OK!</v>
      </c>
    </row>
    <row r="207" spans="1:34" s="134" customFormat="1">
      <c r="A207" s="241" t="s">
        <v>396</v>
      </c>
      <c r="B207" s="241"/>
      <c r="C207" s="241"/>
      <c r="D207" s="241"/>
      <c r="E207" s="241"/>
      <c r="F207" s="241">
        <v>1</v>
      </c>
      <c r="G207" s="241"/>
      <c r="H207" s="242"/>
      <c r="I207" s="242"/>
      <c r="J207" s="242"/>
      <c r="K207" s="242"/>
      <c r="L207" s="241"/>
      <c r="M207" s="241"/>
      <c r="N207" s="242">
        <v>1</v>
      </c>
      <c r="O207" s="242"/>
      <c r="P207" s="242"/>
      <c r="Q207" s="242"/>
      <c r="R207" s="242"/>
      <c r="S207" s="242"/>
      <c r="T207" s="242"/>
      <c r="U207" s="242"/>
      <c r="V207" s="242"/>
      <c r="W207" s="242"/>
      <c r="X207" s="242"/>
      <c r="Y207" s="242"/>
      <c r="Z207" s="242"/>
      <c r="AA207" s="242"/>
      <c r="AB207" s="242"/>
      <c r="AC207" s="247">
        <f>0.6*1.5</f>
        <v>0.89999999999999991</v>
      </c>
      <c r="AD207" s="247"/>
      <c r="AE207" s="241"/>
      <c r="AF207" s="241"/>
      <c r="AG207" s="241"/>
      <c r="AH207" s="133" t="str">
        <f t="shared" si="5"/>
        <v>OK!</v>
      </c>
    </row>
    <row r="208" spans="1:34" s="134" customFormat="1">
      <c r="A208" s="241"/>
      <c r="B208" s="241"/>
      <c r="C208" s="241"/>
      <c r="D208" s="241"/>
      <c r="E208" s="241"/>
      <c r="F208" s="241"/>
      <c r="G208" s="241"/>
      <c r="H208" s="241"/>
      <c r="I208" s="241"/>
      <c r="J208" s="241"/>
      <c r="K208" s="241"/>
      <c r="L208" s="241"/>
      <c r="M208" s="241"/>
      <c r="N208" s="241"/>
      <c r="O208" s="241"/>
      <c r="P208" s="241"/>
      <c r="Q208" s="241"/>
      <c r="R208" s="241"/>
      <c r="S208" s="241"/>
      <c r="T208" s="241"/>
      <c r="U208" s="241"/>
      <c r="V208" s="241"/>
      <c r="W208" s="241"/>
      <c r="X208" s="241"/>
      <c r="Y208" s="241"/>
      <c r="Z208" s="241"/>
      <c r="AA208" s="241"/>
      <c r="AB208" s="241"/>
      <c r="AC208" s="248"/>
      <c r="AD208" s="248"/>
      <c r="AE208" s="241"/>
      <c r="AF208" s="241"/>
      <c r="AG208" s="241"/>
      <c r="AH208" s="133" t="str">
        <f t="shared" si="5"/>
        <v>OK!</v>
      </c>
    </row>
    <row r="209" spans="1:34" s="131" customFormat="1">
      <c r="A209" s="1101" t="s">
        <v>1155</v>
      </c>
      <c r="B209" s="1102"/>
      <c r="C209" s="1102"/>
      <c r="D209" s="1102"/>
      <c r="E209" s="1102"/>
      <c r="F209" s="1102"/>
      <c r="G209" s="1102"/>
      <c r="H209" s="1102"/>
      <c r="I209" s="1102"/>
      <c r="J209" s="1102"/>
      <c r="K209" s="1102"/>
      <c r="L209" s="1102"/>
      <c r="M209" s="1102"/>
      <c r="N209" s="1102"/>
      <c r="O209" s="1102"/>
      <c r="P209" s="1102"/>
      <c r="Q209" s="1102"/>
      <c r="R209" s="1102"/>
      <c r="S209" s="1102"/>
      <c r="T209" s="1102"/>
      <c r="U209" s="1102"/>
      <c r="V209" s="1102"/>
      <c r="W209" s="1102"/>
      <c r="X209" s="1102"/>
      <c r="Y209" s="1102"/>
      <c r="Z209" s="1102"/>
      <c r="AA209" s="1102"/>
      <c r="AB209" s="1102"/>
      <c r="AC209" s="1102"/>
      <c r="AD209" s="1102"/>
      <c r="AE209" s="1102"/>
      <c r="AF209" s="1102"/>
      <c r="AG209" s="1103"/>
      <c r="AH209" s="133" t="str">
        <f t="shared" si="5"/>
        <v>OK!</v>
      </c>
    </row>
    <row r="210" spans="1:34" s="134" customFormat="1">
      <c r="A210" s="241" t="s">
        <v>308</v>
      </c>
      <c r="B210" s="241"/>
      <c r="C210" s="241"/>
      <c r="D210" s="238"/>
      <c r="E210" s="238"/>
      <c r="F210" s="238"/>
      <c r="G210" s="238"/>
      <c r="H210" s="238"/>
      <c r="I210" s="238"/>
      <c r="J210" s="238"/>
      <c r="K210" s="238"/>
      <c r="L210" s="238"/>
      <c r="M210" s="200">
        <v>1</v>
      </c>
      <c r="N210" s="238"/>
      <c r="O210" s="238"/>
      <c r="P210" s="238"/>
      <c r="Q210" s="238"/>
      <c r="R210" s="238"/>
      <c r="S210" s="238"/>
      <c r="T210" s="238"/>
      <c r="U210" s="238"/>
      <c r="V210" s="238"/>
      <c r="W210" s="238"/>
      <c r="X210" s="238"/>
      <c r="Y210" s="238"/>
      <c r="Z210" s="238"/>
      <c r="AA210" s="238"/>
      <c r="AB210" s="238"/>
      <c r="AC210" s="246"/>
      <c r="AD210" s="246"/>
      <c r="AE210" s="238"/>
      <c r="AF210" s="200"/>
      <c r="AG210" s="200"/>
      <c r="AH210" s="133" t="str">
        <f t="shared" si="5"/>
        <v>Falta torneiras!</v>
      </c>
    </row>
    <row r="211" spans="1:34" s="134" customFormat="1">
      <c r="A211" s="238" t="s">
        <v>302</v>
      </c>
      <c r="B211" s="238" t="s">
        <v>428</v>
      </c>
      <c r="C211" s="200">
        <v>1</v>
      </c>
      <c r="D211" s="200">
        <v>1</v>
      </c>
      <c r="E211" s="200"/>
      <c r="F211" s="200"/>
      <c r="G211" s="200"/>
      <c r="H211" s="200">
        <v>1</v>
      </c>
      <c r="I211" s="200"/>
      <c r="J211" s="200"/>
      <c r="K211" s="200"/>
      <c r="L211" s="241"/>
      <c r="M211" s="241"/>
      <c r="N211" s="200"/>
      <c r="O211" s="200">
        <v>1</v>
      </c>
      <c r="P211" s="200"/>
      <c r="Q211" s="200"/>
      <c r="R211" s="200"/>
      <c r="S211" s="200"/>
      <c r="T211" s="200"/>
      <c r="U211" s="200"/>
      <c r="V211" s="200"/>
      <c r="W211" s="200"/>
      <c r="X211" s="200">
        <v>1</v>
      </c>
      <c r="Y211" s="200">
        <v>1</v>
      </c>
      <c r="Z211" s="200"/>
      <c r="AA211" s="200">
        <v>1</v>
      </c>
      <c r="AB211" s="200">
        <v>1.4</v>
      </c>
      <c r="AC211" s="245">
        <f>0.6*1.39</f>
        <v>0.83399999999999996</v>
      </c>
      <c r="AD211" s="245"/>
      <c r="AE211" s="200"/>
      <c r="AF211" s="241"/>
      <c r="AG211" s="241"/>
      <c r="AH211" s="133" t="str">
        <f t="shared" si="5"/>
        <v>OK!</v>
      </c>
    </row>
    <row r="212" spans="1:34" s="134" customFormat="1">
      <c r="A212" s="238" t="s">
        <v>403</v>
      </c>
      <c r="B212" s="238"/>
      <c r="C212" s="200"/>
      <c r="D212" s="200"/>
      <c r="E212" s="200"/>
      <c r="F212" s="200">
        <v>1</v>
      </c>
      <c r="G212" s="200"/>
      <c r="H212" s="200"/>
      <c r="I212" s="200"/>
      <c r="J212" s="238"/>
      <c r="K212" s="238"/>
      <c r="L212" s="241"/>
      <c r="M212" s="241"/>
      <c r="N212" s="238">
        <v>1</v>
      </c>
      <c r="O212" s="238"/>
      <c r="P212" s="238"/>
      <c r="Q212" s="200"/>
      <c r="R212" s="200"/>
      <c r="S212" s="200"/>
      <c r="T212" s="200"/>
      <c r="U212" s="200"/>
      <c r="V212" s="200"/>
      <c r="W212" s="200"/>
      <c r="X212" s="200"/>
      <c r="Y212" s="200"/>
      <c r="Z212" s="200"/>
      <c r="AA212" s="200"/>
      <c r="AB212" s="200"/>
      <c r="AC212" s="245">
        <f>0.6*1</f>
        <v>0.6</v>
      </c>
      <c r="AD212" s="245"/>
      <c r="AE212" s="200"/>
      <c r="AF212" s="241"/>
      <c r="AG212" s="241"/>
      <c r="AH212" s="133" t="str">
        <f t="shared" si="5"/>
        <v>OK!</v>
      </c>
    </row>
    <row r="213" spans="1:34" s="134" customFormat="1">
      <c r="A213" s="238" t="s">
        <v>404</v>
      </c>
      <c r="B213" s="238"/>
      <c r="C213" s="200"/>
      <c r="D213" s="200"/>
      <c r="E213" s="200"/>
      <c r="F213" s="200">
        <v>1</v>
      </c>
      <c r="G213" s="200"/>
      <c r="H213" s="200"/>
      <c r="I213" s="200"/>
      <c r="J213" s="200"/>
      <c r="K213" s="200"/>
      <c r="L213" s="241"/>
      <c r="M213" s="241"/>
      <c r="N213" s="200">
        <v>1</v>
      </c>
      <c r="O213" s="200"/>
      <c r="P213" s="200"/>
      <c r="Q213" s="200"/>
      <c r="R213" s="200"/>
      <c r="S213" s="200"/>
      <c r="T213" s="200"/>
      <c r="U213" s="200"/>
      <c r="V213" s="200"/>
      <c r="W213" s="200"/>
      <c r="X213" s="200">
        <v>1</v>
      </c>
      <c r="Y213" s="200">
        <v>1</v>
      </c>
      <c r="Z213" s="200"/>
      <c r="AA213" s="200"/>
      <c r="AB213" s="200"/>
      <c r="AC213" s="245">
        <f>0.6*4.85</f>
        <v>2.9099999999999997</v>
      </c>
      <c r="AD213" s="245"/>
      <c r="AE213" s="200"/>
      <c r="AF213" s="241"/>
      <c r="AG213" s="241"/>
      <c r="AH213" s="133" t="str">
        <f t="shared" si="5"/>
        <v>OK!</v>
      </c>
    </row>
    <row r="214" spans="1:34" s="134" customFormat="1">
      <c r="A214" s="238" t="s">
        <v>1118</v>
      </c>
      <c r="B214" s="238"/>
      <c r="C214" s="200"/>
      <c r="D214" s="200"/>
      <c r="E214" s="200"/>
      <c r="F214" s="200"/>
      <c r="G214" s="200"/>
      <c r="H214" s="200"/>
      <c r="I214" s="200"/>
      <c r="J214" s="200">
        <v>1</v>
      </c>
      <c r="K214" s="241"/>
      <c r="L214" s="241"/>
      <c r="M214" s="241"/>
      <c r="N214" s="241"/>
      <c r="O214" s="241">
        <v>1</v>
      </c>
      <c r="P214" s="241"/>
      <c r="Q214" s="200"/>
      <c r="R214" s="200"/>
      <c r="S214" s="200"/>
      <c r="T214" s="200"/>
      <c r="U214" s="200"/>
      <c r="V214" s="200"/>
      <c r="W214" s="200"/>
      <c r="X214" s="200">
        <v>1</v>
      </c>
      <c r="Y214" s="200">
        <v>1</v>
      </c>
      <c r="Z214" s="200"/>
      <c r="AA214" s="200"/>
      <c r="AB214" s="200"/>
      <c r="AC214" s="245"/>
      <c r="AD214" s="245"/>
      <c r="AE214" s="200"/>
      <c r="AF214" s="241"/>
      <c r="AG214" s="241"/>
      <c r="AH214" s="133" t="str">
        <f t="shared" si="5"/>
        <v>OK!</v>
      </c>
    </row>
    <row r="215" spans="1:34" s="134" customFormat="1" ht="27.6">
      <c r="A215" s="238" t="s">
        <v>408</v>
      </c>
      <c r="B215" s="239" t="s">
        <v>532</v>
      </c>
      <c r="C215" s="200">
        <v>1</v>
      </c>
      <c r="D215" s="200">
        <v>1</v>
      </c>
      <c r="E215" s="200"/>
      <c r="F215" s="200"/>
      <c r="G215" s="200"/>
      <c r="H215" s="200">
        <v>1</v>
      </c>
      <c r="I215" s="200"/>
      <c r="J215" s="200"/>
      <c r="K215" s="200"/>
      <c r="L215" s="241"/>
      <c r="M215" s="241"/>
      <c r="N215" s="200"/>
      <c r="O215" s="200">
        <v>1</v>
      </c>
      <c r="P215" s="200"/>
      <c r="Q215" s="200"/>
      <c r="R215" s="200">
        <v>2</v>
      </c>
      <c r="S215" s="200"/>
      <c r="T215" s="200"/>
      <c r="U215" s="200"/>
      <c r="V215" s="200"/>
      <c r="W215" s="200"/>
      <c r="X215" s="200">
        <v>1</v>
      </c>
      <c r="Y215" s="200">
        <v>1</v>
      </c>
      <c r="Z215" s="200"/>
      <c r="AA215" s="200"/>
      <c r="AB215" s="200">
        <v>1.8</v>
      </c>
      <c r="AC215" s="245">
        <f>0.6*0.9</f>
        <v>0.54</v>
      </c>
      <c r="AD215" s="245"/>
      <c r="AE215" s="200"/>
      <c r="AF215" s="241"/>
      <c r="AG215" s="241"/>
      <c r="AH215" s="133" t="str">
        <f t="shared" si="5"/>
        <v>OK!</v>
      </c>
    </row>
    <row r="216" spans="1:34" s="134" customFormat="1">
      <c r="A216" s="238" t="s">
        <v>407</v>
      </c>
      <c r="B216" s="239"/>
      <c r="C216" s="200"/>
      <c r="D216" s="200"/>
      <c r="E216" s="200"/>
      <c r="F216" s="200"/>
      <c r="G216" s="200"/>
      <c r="H216" s="200"/>
      <c r="I216" s="200"/>
      <c r="J216" s="200"/>
      <c r="K216" s="200"/>
      <c r="L216" s="241"/>
      <c r="M216" s="241"/>
      <c r="N216" s="200"/>
      <c r="O216" s="200"/>
      <c r="P216" s="200"/>
      <c r="Q216" s="200"/>
      <c r="R216" s="200"/>
      <c r="S216" s="200"/>
      <c r="T216" s="200"/>
      <c r="U216" s="200"/>
      <c r="V216" s="200"/>
      <c r="W216" s="200"/>
      <c r="X216" s="200"/>
      <c r="Y216" s="200"/>
      <c r="Z216" s="200"/>
      <c r="AA216" s="200"/>
      <c r="AB216" s="200"/>
      <c r="AC216" s="245">
        <f>0.6*2.18</f>
        <v>1.3080000000000001</v>
      </c>
      <c r="AD216" s="245"/>
      <c r="AE216" s="200"/>
      <c r="AF216" s="241"/>
      <c r="AG216" s="241"/>
      <c r="AH216" s="133" t="str">
        <f t="shared" si="5"/>
        <v>OK!</v>
      </c>
    </row>
    <row r="217" spans="1:34" s="134" customFormat="1">
      <c r="A217" s="238" t="s">
        <v>400</v>
      </c>
      <c r="B217" s="239"/>
      <c r="C217" s="200"/>
      <c r="D217" s="200"/>
      <c r="E217" s="200"/>
      <c r="F217" s="200">
        <v>4</v>
      </c>
      <c r="G217" s="200"/>
      <c r="H217" s="200"/>
      <c r="I217" s="200"/>
      <c r="J217" s="200"/>
      <c r="K217" s="200"/>
      <c r="L217" s="241"/>
      <c r="M217" s="241"/>
      <c r="N217" s="200">
        <v>4</v>
      </c>
      <c r="O217" s="200"/>
      <c r="P217" s="200"/>
      <c r="Q217" s="200"/>
      <c r="R217" s="200"/>
      <c r="S217" s="200"/>
      <c r="T217" s="200"/>
      <c r="U217" s="200"/>
      <c r="V217" s="200"/>
      <c r="W217" s="200"/>
      <c r="X217" s="200">
        <v>2</v>
      </c>
      <c r="Y217" s="200">
        <v>2</v>
      </c>
      <c r="Z217" s="200"/>
      <c r="AA217" s="200"/>
      <c r="AB217" s="200"/>
      <c r="AC217" s="245"/>
      <c r="AD217" s="245">
        <f>0.6*4.07+0.6*4.4+0.6*4.95+0.6*5.73+0.6*9.22+1.2*0.55*4</f>
        <v>19.662000000000003</v>
      </c>
      <c r="AE217" s="200"/>
      <c r="AF217" s="241"/>
      <c r="AG217" s="241"/>
      <c r="AH217" s="133" t="str">
        <f t="shared" si="5"/>
        <v>OK!</v>
      </c>
    </row>
    <row r="218" spans="1:34" s="134" customFormat="1">
      <c r="A218" s="250"/>
      <c r="B218" s="250"/>
      <c r="C218" s="250">
        <f>SUM(C5:C217)</f>
        <v>202</v>
      </c>
      <c r="D218" s="250">
        <f t="shared" ref="D218:AD218" si="6">SUM(D5:D215)</f>
        <v>202</v>
      </c>
      <c r="E218" s="250">
        <f t="shared" si="6"/>
        <v>20</v>
      </c>
      <c r="F218" s="250">
        <f t="shared" si="6"/>
        <v>54</v>
      </c>
      <c r="G218" s="250">
        <f t="shared" si="6"/>
        <v>53</v>
      </c>
      <c r="H218" s="250">
        <f t="shared" si="6"/>
        <v>169</v>
      </c>
      <c r="I218" s="250">
        <f t="shared" si="6"/>
        <v>33</v>
      </c>
      <c r="J218" s="250">
        <f>SUM(J5:J215)</f>
        <v>96</v>
      </c>
      <c r="K218" s="250">
        <f>SUM(K5:K217)</f>
        <v>22</v>
      </c>
      <c r="L218" s="250">
        <f>SUM(L5:L215)</f>
        <v>62</v>
      </c>
      <c r="M218" s="250">
        <f>SUM(M5:M215)</f>
        <v>12</v>
      </c>
      <c r="N218" s="250">
        <f>SUM(N5:N215)</f>
        <v>108</v>
      </c>
      <c r="O218" s="250">
        <f>SUM(O5:O215)</f>
        <v>295</v>
      </c>
      <c r="P218" s="250">
        <f>SUM(P5:P215)</f>
        <v>15</v>
      </c>
      <c r="Q218" s="250">
        <f t="shared" si="6"/>
        <v>136</v>
      </c>
      <c r="R218" s="250">
        <f>SUM(R5:R215)</f>
        <v>148</v>
      </c>
      <c r="S218" s="250">
        <f t="shared" si="6"/>
        <v>65</v>
      </c>
      <c r="T218" s="250">
        <f t="shared" si="6"/>
        <v>10</v>
      </c>
      <c r="U218" s="250">
        <f t="shared" si="6"/>
        <v>11</v>
      </c>
      <c r="V218" s="250">
        <f t="shared" si="6"/>
        <v>6</v>
      </c>
      <c r="W218" s="250">
        <f t="shared" si="6"/>
        <v>126</v>
      </c>
      <c r="X218" s="250">
        <f t="shared" si="6"/>
        <v>304</v>
      </c>
      <c r="Y218" s="250">
        <f t="shared" si="6"/>
        <v>293</v>
      </c>
      <c r="Z218" s="250">
        <f t="shared" si="6"/>
        <v>55</v>
      </c>
      <c r="AA218" s="250">
        <f t="shared" si="6"/>
        <v>146</v>
      </c>
      <c r="AB218" s="250">
        <f t="shared" si="6"/>
        <v>212.29999999999993</v>
      </c>
      <c r="AC218" s="251">
        <f t="shared" si="6"/>
        <v>217.66242</v>
      </c>
      <c r="AD218" s="251">
        <f t="shared" si="6"/>
        <v>156.51299999999998</v>
      </c>
      <c r="AE218" s="251">
        <f>SUM(AE5:AE217)</f>
        <v>334.91200000000003</v>
      </c>
      <c r="AF218" s="250">
        <f>SUM(AF5:AF217)</f>
        <v>89.796000000000006</v>
      </c>
      <c r="AG218" s="251">
        <f>SUM(AG5:AG217)</f>
        <v>193.84</v>
      </c>
    </row>
    <row r="219" spans="1:34" s="134" customFormat="1">
      <c r="A219" s="241"/>
      <c r="B219" s="241"/>
      <c r="C219" s="241"/>
      <c r="D219" s="241"/>
      <c r="E219" s="241"/>
      <c r="F219" s="241"/>
      <c r="G219" s="241"/>
      <c r="H219" s="241"/>
      <c r="I219" s="241"/>
      <c r="J219" s="241"/>
      <c r="K219" s="241"/>
      <c r="L219" s="241"/>
      <c r="M219" s="241"/>
      <c r="N219" s="241"/>
      <c r="O219" s="241"/>
      <c r="P219" s="241"/>
      <c r="Q219" s="241"/>
      <c r="R219" s="241"/>
      <c r="S219" s="241"/>
      <c r="T219" s="241"/>
      <c r="U219" s="241"/>
      <c r="V219" s="241"/>
      <c r="W219" s="241"/>
      <c r="X219" s="241"/>
      <c r="Y219" s="241"/>
      <c r="Z219" s="241"/>
      <c r="AA219" s="241"/>
      <c r="AB219" s="241"/>
      <c r="AC219" s="248"/>
      <c r="AD219" s="248"/>
      <c r="AE219" s="241"/>
      <c r="AF219" s="241"/>
      <c r="AG219" s="241"/>
    </row>
    <row r="220" spans="1:34" s="134" customFormat="1">
      <c r="A220" s="241" t="s">
        <v>1478</v>
      </c>
      <c r="B220" s="241"/>
      <c r="C220" s="241"/>
      <c r="D220" s="241"/>
      <c r="E220" s="241"/>
      <c r="F220" s="241"/>
      <c r="G220" s="241"/>
      <c r="H220" s="241"/>
      <c r="I220" s="241"/>
      <c r="J220" s="241"/>
      <c r="K220" s="241"/>
      <c r="L220" s="241"/>
      <c r="M220" s="241"/>
      <c r="N220" s="241"/>
      <c r="O220" s="241"/>
      <c r="P220" s="241"/>
      <c r="Q220" s="241"/>
      <c r="R220" s="241"/>
      <c r="S220" s="241"/>
      <c r="T220" s="241"/>
      <c r="U220" s="241"/>
      <c r="V220" s="241"/>
      <c r="W220" s="241"/>
      <c r="X220" s="241"/>
      <c r="Y220" s="241"/>
      <c r="Z220" s="241"/>
      <c r="AA220" s="241"/>
      <c r="AB220" s="241"/>
      <c r="AC220" s="248"/>
      <c r="AD220" s="248"/>
      <c r="AE220" s="241">
        <v>174.9</v>
      </c>
      <c r="AF220" s="241"/>
      <c r="AG220" s="241"/>
    </row>
    <row r="221" spans="1:34" s="134" customFormat="1">
      <c r="A221" s="241" t="s">
        <v>1479</v>
      </c>
      <c r="B221" s="241"/>
      <c r="C221" s="241"/>
      <c r="D221" s="241"/>
      <c r="E221" s="241"/>
      <c r="F221" s="241"/>
      <c r="G221" s="241"/>
      <c r="H221" s="241"/>
      <c r="I221" s="241"/>
      <c r="J221" s="241"/>
      <c r="K221" s="241"/>
      <c r="L221" s="241"/>
      <c r="M221" s="241"/>
      <c r="N221" s="241"/>
      <c r="O221" s="241"/>
      <c r="P221" s="241"/>
      <c r="Q221" s="241"/>
      <c r="R221" s="241"/>
      <c r="S221" s="241"/>
      <c r="T221" s="241"/>
      <c r="U221" s="241"/>
      <c r="V221" s="241"/>
      <c r="W221" s="241"/>
      <c r="X221" s="241"/>
      <c r="Y221" s="241"/>
      <c r="Z221" s="241"/>
      <c r="AA221" s="241"/>
      <c r="AB221" s="241"/>
      <c r="AC221" s="248"/>
      <c r="AD221" s="248"/>
      <c r="AE221" s="241">
        <v>174.9</v>
      </c>
      <c r="AF221" s="241"/>
      <c r="AG221" s="241"/>
    </row>
    <row r="222" spans="1:34" s="134" customFormat="1">
      <c r="A222" s="241"/>
      <c r="B222" s="241"/>
      <c r="C222" s="241"/>
      <c r="D222" s="241"/>
      <c r="E222" s="241"/>
      <c r="F222" s="241"/>
      <c r="G222" s="241"/>
      <c r="H222" s="241"/>
      <c r="I222" s="241"/>
      <c r="J222" s="241"/>
      <c r="K222" s="241"/>
      <c r="L222" s="241"/>
      <c r="M222" s="241"/>
      <c r="N222" s="241"/>
      <c r="O222" s="241"/>
      <c r="P222" s="241"/>
      <c r="Q222" s="241"/>
      <c r="R222" s="241"/>
      <c r="S222" s="241"/>
      <c r="T222" s="241"/>
      <c r="U222" s="241"/>
      <c r="V222" s="241"/>
      <c r="W222" s="241"/>
      <c r="X222" s="241"/>
      <c r="Y222" s="241"/>
      <c r="Z222" s="241"/>
      <c r="AA222" s="241"/>
      <c r="AB222" s="241"/>
      <c r="AC222" s="248"/>
      <c r="AD222" s="248"/>
      <c r="AE222" s="241">
        <f>SUM(AE218:AE221)</f>
        <v>684.71199999999999</v>
      </c>
      <c r="AF222" s="241"/>
      <c r="AG222" s="241"/>
    </row>
    <row r="223" spans="1:34">
      <c r="A223" s="243"/>
      <c r="B223" s="243"/>
      <c r="C223" s="243"/>
      <c r="D223" s="243"/>
      <c r="E223" s="243"/>
      <c r="F223" s="243"/>
      <c r="G223" s="243"/>
      <c r="H223" s="243"/>
      <c r="I223" s="243"/>
      <c r="J223" s="243"/>
      <c r="K223" s="243"/>
      <c r="L223" s="243"/>
      <c r="M223" s="243"/>
      <c r="N223" s="243"/>
      <c r="O223" s="243"/>
      <c r="P223" s="243"/>
      <c r="Q223" s="258" t="s">
        <v>1490</v>
      </c>
      <c r="R223" s="243">
        <v>1.42</v>
      </c>
      <c r="S223" s="243"/>
      <c r="T223" s="243"/>
      <c r="U223" s="243"/>
      <c r="V223" s="243"/>
      <c r="W223" s="243"/>
      <c r="X223" s="243"/>
      <c r="Y223" s="243"/>
      <c r="Z223" s="243"/>
      <c r="AA223" s="243"/>
      <c r="AB223" s="243"/>
      <c r="AC223" s="259">
        <f>AC218*R223</f>
        <v>309.0806364</v>
      </c>
      <c r="AD223" s="259"/>
      <c r="AE223" s="243"/>
      <c r="AF223" s="243"/>
      <c r="AG223" s="243"/>
    </row>
    <row r="224" spans="1:34">
      <c r="A224" s="243"/>
      <c r="B224" s="243"/>
      <c r="C224" s="243"/>
      <c r="D224" s="243"/>
      <c r="E224" s="243"/>
      <c r="F224" s="243"/>
      <c r="G224" s="243"/>
      <c r="H224" s="243"/>
      <c r="I224" s="243"/>
      <c r="J224" s="243"/>
      <c r="K224" s="243"/>
      <c r="L224" s="243"/>
      <c r="M224" s="243"/>
      <c r="N224" s="243"/>
      <c r="O224" s="243"/>
      <c r="P224" s="243"/>
      <c r="Q224" s="243"/>
      <c r="R224" s="243"/>
      <c r="S224" s="243"/>
      <c r="T224" s="243"/>
      <c r="U224" s="243"/>
      <c r="V224" s="243"/>
      <c r="W224" s="243"/>
      <c r="X224" s="243"/>
      <c r="Y224" s="243"/>
      <c r="Z224" s="243"/>
      <c r="AA224" s="243"/>
      <c r="AB224" s="243"/>
      <c r="AC224" s="249"/>
      <c r="AD224" s="249"/>
      <c r="AE224" s="243"/>
      <c r="AF224" s="243"/>
      <c r="AG224" s="243"/>
    </row>
    <row r="225" spans="1:33">
      <c r="A225" s="238" t="s">
        <v>1485</v>
      </c>
      <c r="B225" s="238">
        <f>+H218+I218</f>
        <v>202</v>
      </c>
      <c r="C225" s="243"/>
      <c r="D225" s="243"/>
      <c r="E225" s="243"/>
      <c r="F225" s="243"/>
      <c r="G225" s="243"/>
      <c r="H225" s="243"/>
      <c r="I225" s="243"/>
      <c r="J225" s="243"/>
      <c r="K225" s="243"/>
      <c r="L225" s="243"/>
      <c r="M225" s="243"/>
      <c r="N225" s="243"/>
      <c r="O225" s="243"/>
      <c r="P225" s="243"/>
      <c r="Q225" s="243"/>
      <c r="R225" s="243"/>
      <c r="S225" s="243"/>
      <c r="T225" s="243"/>
      <c r="U225" s="243"/>
      <c r="V225" s="243"/>
      <c r="W225" s="243"/>
      <c r="X225" s="243"/>
      <c r="Y225" s="243"/>
      <c r="Z225" s="243"/>
      <c r="AA225" s="243"/>
      <c r="AB225" s="243"/>
      <c r="AC225" s="249"/>
      <c r="AD225" s="249"/>
      <c r="AE225" s="243"/>
      <c r="AF225" s="243"/>
      <c r="AG225" s="243"/>
    </row>
    <row r="226" spans="1:33">
      <c r="A226" s="238" t="s">
        <v>1486</v>
      </c>
      <c r="B226" s="238">
        <f>B225</f>
        <v>202</v>
      </c>
      <c r="C226" s="243"/>
      <c r="D226" s="243"/>
      <c r="E226" s="243"/>
      <c r="F226" s="243"/>
      <c r="G226" s="243"/>
      <c r="H226" s="243"/>
      <c r="I226" s="243"/>
      <c r="J226" s="243"/>
      <c r="K226" s="243"/>
      <c r="L226" s="243"/>
      <c r="M226" s="243"/>
      <c r="N226" s="243"/>
      <c r="O226" s="243"/>
      <c r="P226" s="243"/>
      <c r="Q226" s="243"/>
      <c r="R226" s="243"/>
      <c r="S226" s="243"/>
      <c r="T226" s="243"/>
      <c r="U226" s="243"/>
      <c r="V226" s="243"/>
      <c r="W226" s="243"/>
      <c r="X226" s="243"/>
      <c r="Y226" s="243"/>
      <c r="Z226" s="243"/>
      <c r="AA226" s="243"/>
      <c r="AB226" s="243"/>
      <c r="AC226" s="249"/>
      <c r="AD226" s="249"/>
      <c r="AE226" s="243"/>
      <c r="AF226" s="243"/>
      <c r="AG226" s="243"/>
    </row>
    <row r="227" spans="1:33">
      <c r="A227" s="238" t="s">
        <v>1487</v>
      </c>
      <c r="B227" s="238">
        <f>B226</f>
        <v>202</v>
      </c>
      <c r="C227" s="243"/>
      <c r="D227" s="243"/>
      <c r="E227" s="243"/>
      <c r="F227" s="243"/>
      <c r="G227" s="243"/>
      <c r="H227" s="243"/>
      <c r="I227" s="243"/>
      <c r="J227" s="243"/>
      <c r="K227" s="243"/>
      <c r="L227" s="243"/>
      <c r="M227" s="243"/>
      <c r="N227" s="243"/>
      <c r="O227" s="243"/>
      <c r="P227" s="243"/>
      <c r="Q227" s="243"/>
      <c r="R227" s="243"/>
      <c r="S227" s="243"/>
      <c r="T227" s="243"/>
      <c r="U227" s="243"/>
      <c r="V227" s="243"/>
      <c r="W227" s="243"/>
      <c r="X227" s="243"/>
      <c r="Y227" s="243"/>
      <c r="Z227" s="243"/>
      <c r="AA227" s="243"/>
      <c r="AB227" s="243"/>
      <c r="AC227" s="249"/>
      <c r="AD227" s="249"/>
      <c r="AE227" s="243"/>
      <c r="AF227" s="243"/>
      <c r="AG227" s="243"/>
    </row>
    <row r="228" spans="1:33">
      <c r="A228" s="243" t="s">
        <v>2184</v>
      </c>
      <c r="B228" s="243">
        <f>+F218</f>
        <v>54</v>
      </c>
      <c r="C228" s="243"/>
      <c r="D228" s="243"/>
      <c r="E228" s="243"/>
      <c r="F228" s="243"/>
      <c r="G228" s="243"/>
      <c r="H228" s="243"/>
      <c r="I228" s="243"/>
      <c r="J228" s="243"/>
      <c r="K228" s="243"/>
      <c r="L228" s="243"/>
      <c r="M228" s="243"/>
      <c r="N228" s="243"/>
      <c r="O228" s="243"/>
      <c r="P228" s="243"/>
      <c r="Q228" s="243"/>
      <c r="R228" s="243"/>
      <c r="S228" s="243"/>
      <c r="T228" s="243"/>
      <c r="U228" s="243"/>
      <c r="V228" s="243"/>
      <c r="W228" s="243"/>
      <c r="X228" s="243"/>
      <c r="Y228" s="243"/>
      <c r="Z228" s="243"/>
      <c r="AA228" s="243"/>
      <c r="AB228" s="243"/>
      <c r="AC228" s="249"/>
      <c r="AD228" s="249"/>
      <c r="AE228" s="243"/>
      <c r="AF228" s="243"/>
      <c r="AG228" s="243"/>
    </row>
    <row r="229" spans="1:33">
      <c r="A229" s="243"/>
      <c r="B229" s="243"/>
      <c r="C229" s="243"/>
      <c r="D229" s="243"/>
      <c r="E229" s="243"/>
      <c r="F229" s="243"/>
      <c r="G229" s="243"/>
      <c r="H229" s="243"/>
      <c r="I229" s="243"/>
      <c r="J229" s="243"/>
      <c r="K229" s="243"/>
      <c r="L229" s="243"/>
      <c r="M229" s="243"/>
      <c r="N229" s="243"/>
      <c r="O229" s="243"/>
      <c r="P229" s="243"/>
      <c r="Q229" s="243"/>
      <c r="R229" s="243"/>
      <c r="S229" s="243"/>
      <c r="T229" s="243"/>
      <c r="U229" s="243"/>
      <c r="V229" s="243"/>
      <c r="W229" s="243"/>
      <c r="X229" s="243"/>
      <c r="Y229" s="243"/>
      <c r="Z229" s="243"/>
      <c r="AA229" s="243"/>
      <c r="AB229" s="243"/>
      <c r="AC229" s="249"/>
      <c r="AD229" s="249"/>
      <c r="AE229" s="243"/>
      <c r="AF229" s="243"/>
      <c r="AG229" s="243"/>
    </row>
    <row r="230" spans="1:33">
      <c r="A230" s="243"/>
      <c r="B230" s="243"/>
      <c r="C230" s="243"/>
      <c r="D230" s="243"/>
      <c r="E230" s="243"/>
      <c r="F230" s="243"/>
      <c r="G230" s="243"/>
      <c r="H230" s="243"/>
      <c r="I230" s="243"/>
      <c r="J230" s="243"/>
      <c r="K230" s="243"/>
      <c r="L230" s="243"/>
      <c r="M230" s="243"/>
      <c r="N230" s="243"/>
      <c r="O230" s="243"/>
      <c r="P230" s="243"/>
      <c r="Q230" s="243"/>
      <c r="R230" s="243"/>
      <c r="S230" s="243"/>
      <c r="T230" s="243"/>
      <c r="U230" s="243"/>
      <c r="V230" s="243"/>
      <c r="W230" s="243"/>
      <c r="X230" s="243"/>
      <c r="Y230" s="243"/>
      <c r="Z230" s="243"/>
      <c r="AA230" s="243"/>
      <c r="AB230" s="243"/>
      <c r="AC230" s="249"/>
      <c r="AD230" s="249"/>
      <c r="AE230" s="243"/>
      <c r="AF230" s="243"/>
      <c r="AG230" s="243"/>
    </row>
    <row r="231" spans="1:33">
      <c r="A231" s="243"/>
      <c r="B231" s="243"/>
      <c r="C231" s="243"/>
      <c r="D231" s="243"/>
      <c r="E231" s="243"/>
      <c r="F231" s="243"/>
      <c r="G231" s="243"/>
      <c r="H231" s="243"/>
      <c r="I231" s="243"/>
      <c r="J231" s="243"/>
      <c r="K231" s="243"/>
      <c r="L231" s="243"/>
      <c r="M231" s="243"/>
      <c r="N231" s="243"/>
      <c r="O231" s="243"/>
      <c r="P231" s="243"/>
      <c r="Q231" s="243"/>
      <c r="R231" s="243"/>
      <c r="S231" s="243"/>
      <c r="T231" s="243"/>
      <c r="U231" s="243"/>
      <c r="V231" s="243"/>
      <c r="W231" s="243"/>
      <c r="X231" s="243"/>
      <c r="Y231" s="243"/>
      <c r="Z231" s="243"/>
      <c r="AA231" s="243"/>
      <c r="AB231" s="243"/>
      <c r="AC231" s="249"/>
      <c r="AD231" s="249"/>
      <c r="AE231" s="243"/>
      <c r="AF231" s="243"/>
      <c r="AG231" s="243"/>
    </row>
    <row r="232" spans="1:33">
      <c r="A232" s="243"/>
      <c r="B232" s="243"/>
      <c r="C232" s="243"/>
      <c r="D232" s="243"/>
      <c r="E232" s="243"/>
      <c r="F232" s="243"/>
      <c r="G232" s="243"/>
      <c r="H232" s="243"/>
      <c r="I232" s="243"/>
      <c r="J232" s="243"/>
      <c r="K232" s="243"/>
      <c r="L232" s="243"/>
      <c r="M232" s="243"/>
      <c r="N232" s="243"/>
      <c r="O232" s="243"/>
      <c r="P232" s="243"/>
      <c r="Q232" s="243"/>
      <c r="R232" s="243"/>
      <c r="S232" s="243"/>
      <c r="T232" s="243"/>
      <c r="U232" s="243"/>
      <c r="V232" s="243"/>
      <c r="W232" s="243"/>
      <c r="X232" s="243"/>
      <c r="Y232" s="243"/>
      <c r="Z232" s="243"/>
      <c r="AA232" s="243"/>
      <c r="AB232" s="243"/>
      <c r="AC232" s="249"/>
      <c r="AD232" s="249"/>
      <c r="AE232" s="243"/>
      <c r="AF232" s="243"/>
      <c r="AG232" s="243"/>
    </row>
    <row r="233" spans="1:33">
      <c r="A233" s="243"/>
      <c r="B233" s="243"/>
      <c r="C233" s="243"/>
      <c r="D233" s="243"/>
      <c r="E233" s="243"/>
      <c r="F233" s="243"/>
      <c r="G233" s="243"/>
      <c r="H233" s="243"/>
      <c r="I233" s="243"/>
      <c r="J233" s="243"/>
      <c r="K233" s="243"/>
      <c r="L233" s="243"/>
      <c r="M233" s="243"/>
      <c r="N233" s="243"/>
      <c r="O233" s="243"/>
      <c r="P233" s="243"/>
      <c r="Q233" s="243"/>
      <c r="R233" s="243"/>
      <c r="S233" s="243"/>
      <c r="T233" s="243"/>
      <c r="U233" s="243"/>
      <c r="V233" s="243"/>
      <c r="W233" s="243"/>
      <c r="X233" s="243"/>
      <c r="Y233" s="243"/>
      <c r="Z233" s="243"/>
      <c r="AA233" s="243"/>
      <c r="AB233" s="243"/>
      <c r="AC233" s="249"/>
      <c r="AD233" s="249"/>
      <c r="AE233" s="243"/>
      <c r="AF233" s="243"/>
      <c r="AG233" s="243"/>
    </row>
    <row r="234" spans="1:33">
      <c r="A234" s="243"/>
      <c r="B234" s="243"/>
      <c r="C234" s="243"/>
      <c r="D234" s="243"/>
      <c r="E234" s="243"/>
      <c r="F234" s="243"/>
      <c r="G234" s="243"/>
      <c r="H234" s="243"/>
      <c r="I234" s="243"/>
      <c r="J234" s="243"/>
      <c r="K234" s="243"/>
      <c r="L234" s="243"/>
      <c r="M234" s="243"/>
      <c r="N234" s="243"/>
      <c r="O234" s="243"/>
      <c r="P234" s="243"/>
      <c r="Q234" s="243"/>
      <c r="R234" s="243"/>
      <c r="S234" s="243"/>
      <c r="T234" s="243"/>
      <c r="U234" s="243"/>
      <c r="V234" s="243"/>
      <c r="W234" s="243"/>
      <c r="X234" s="243"/>
      <c r="Y234" s="243"/>
      <c r="Z234" s="243"/>
      <c r="AA234" s="243"/>
      <c r="AB234" s="243"/>
      <c r="AC234" s="249"/>
      <c r="AD234" s="249"/>
      <c r="AE234" s="243"/>
      <c r="AF234" s="243"/>
      <c r="AG234" s="243"/>
    </row>
    <row r="235" spans="1:33">
      <c r="A235" s="243"/>
      <c r="B235" s="243"/>
      <c r="C235" s="243"/>
      <c r="D235" s="243"/>
      <c r="E235" s="243"/>
      <c r="F235" s="243"/>
      <c r="G235" s="243"/>
      <c r="H235" s="243"/>
      <c r="I235" s="243"/>
      <c r="J235" s="243"/>
      <c r="K235" s="243"/>
      <c r="L235" s="243"/>
      <c r="M235" s="243"/>
      <c r="N235" s="243"/>
      <c r="O235" s="243"/>
      <c r="P235" s="243"/>
      <c r="Q235" s="243"/>
      <c r="R235" s="243"/>
      <c r="S235" s="243"/>
      <c r="T235" s="243"/>
      <c r="U235" s="243"/>
      <c r="V235" s="243"/>
      <c r="W235" s="243"/>
      <c r="X235" s="243"/>
      <c r="Y235" s="243"/>
      <c r="Z235" s="243"/>
      <c r="AA235" s="243"/>
      <c r="AB235" s="243"/>
      <c r="AC235" s="249"/>
      <c r="AD235" s="249"/>
      <c r="AE235" s="243"/>
      <c r="AF235" s="243"/>
      <c r="AG235" s="243"/>
    </row>
    <row r="236" spans="1:33">
      <c r="A236" s="243"/>
      <c r="B236" s="243"/>
      <c r="C236" s="243"/>
      <c r="D236" s="243"/>
      <c r="E236" s="243"/>
      <c r="F236" s="243"/>
      <c r="G236" s="243"/>
      <c r="H236" s="243"/>
      <c r="I236" s="243"/>
      <c r="J236" s="243"/>
      <c r="K236" s="243"/>
      <c r="L236" s="243"/>
      <c r="M236" s="243"/>
      <c r="N236" s="243"/>
      <c r="O236" s="243"/>
      <c r="P236" s="243"/>
      <c r="Q236" s="243"/>
      <c r="R236" s="243"/>
      <c r="S236" s="243"/>
      <c r="T236" s="243"/>
      <c r="U236" s="243"/>
      <c r="V236" s="243"/>
      <c r="W236" s="243"/>
      <c r="X236" s="243"/>
      <c r="Y236" s="243"/>
      <c r="Z236" s="243"/>
      <c r="AA236" s="243"/>
      <c r="AB236" s="243"/>
      <c r="AC236" s="249"/>
      <c r="AD236" s="249"/>
      <c r="AE236" s="243"/>
      <c r="AF236" s="243"/>
      <c r="AG236" s="243"/>
    </row>
    <row r="237" spans="1:33">
      <c r="A237" s="243"/>
      <c r="B237" s="243"/>
      <c r="C237" s="243"/>
      <c r="D237" s="243"/>
      <c r="E237" s="243"/>
      <c r="F237" s="243"/>
      <c r="G237" s="243"/>
      <c r="H237" s="243"/>
      <c r="I237" s="243"/>
      <c r="J237" s="243"/>
      <c r="K237" s="243"/>
      <c r="L237" s="243"/>
      <c r="M237" s="243"/>
      <c r="N237" s="243"/>
      <c r="O237" s="243"/>
      <c r="P237" s="243"/>
      <c r="Q237" s="243"/>
      <c r="R237" s="243"/>
      <c r="S237" s="243"/>
      <c r="T237" s="243"/>
      <c r="U237" s="243"/>
      <c r="V237" s="243"/>
      <c r="W237" s="243"/>
      <c r="X237" s="243"/>
      <c r="Y237" s="243"/>
      <c r="Z237" s="243"/>
      <c r="AA237" s="243"/>
      <c r="AB237" s="243"/>
      <c r="AC237" s="249"/>
      <c r="AD237" s="249"/>
      <c r="AE237" s="243"/>
      <c r="AF237" s="243"/>
      <c r="AG237" s="243"/>
    </row>
    <row r="238" spans="1:33">
      <c r="A238" s="243"/>
      <c r="B238" s="243"/>
      <c r="C238" s="243"/>
      <c r="D238" s="243"/>
      <c r="E238" s="243"/>
      <c r="F238" s="243"/>
      <c r="G238" s="243"/>
      <c r="H238" s="243"/>
      <c r="I238" s="243"/>
      <c r="J238" s="243"/>
      <c r="K238" s="243"/>
      <c r="L238" s="243"/>
      <c r="M238" s="243"/>
      <c r="N238" s="243"/>
      <c r="O238" s="243"/>
      <c r="P238" s="243"/>
      <c r="Q238" s="243"/>
      <c r="R238" s="243"/>
      <c r="S238" s="243"/>
      <c r="T238" s="243"/>
      <c r="U238" s="243"/>
      <c r="V238" s="243"/>
      <c r="W238" s="243"/>
      <c r="X238" s="243"/>
      <c r="Y238" s="243"/>
      <c r="Z238" s="243"/>
      <c r="AA238" s="243"/>
      <c r="AB238" s="243"/>
      <c r="AC238" s="249"/>
      <c r="AD238" s="249"/>
      <c r="AE238" s="243"/>
      <c r="AF238" s="243"/>
      <c r="AG238" s="243"/>
    </row>
    <row r="239" spans="1:33">
      <c r="A239" s="243"/>
      <c r="B239" s="243"/>
      <c r="C239" s="243"/>
      <c r="D239" s="243"/>
      <c r="E239" s="243"/>
      <c r="F239" s="243"/>
      <c r="G239" s="243"/>
      <c r="H239" s="243"/>
      <c r="I239" s="243"/>
      <c r="J239" s="243"/>
      <c r="K239" s="243"/>
      <c r="L239" s="243"/>
      <c r="M239" s="243"/>
      <c r="N239" s="243"/>
      <c r="O239" s="243"/>
      <c r="P239" s="243"/>
      <c r="Q239" s="243"/>
      <c r="R239" s="243"/>
      <c r="S239" s="243"/>
      <c r="T239" s="243"/>
      <c r="U239" s="243"/>
      <c r="V239" s="243"/>
      <c r="W239" s="243"/>
      <c r="X239" s="243"/>
      <c r="Y239" s="243"/>
      <c r="Z239" s="243"/>
      <c r="AA239" s="243"/>
      <c r="AB239" s="243"/>
      <c r="AC239" s="249"/>
      <c r="AD239" s="249"/>
      <c r="AE239" s="243"/>
      <c r="AF239" s="243"/>
      <c r="AG239" s="243"/>
    </row>
    <row r="240" spans="1:33">
      <c r="A240" s="243"/>
      <c r="B240" s="243"/>
      <c r="C240" s="243"/>
      <c r="D240" s="243"/>
      <c r="E240" s="243"/>
      <c r="F240" s="243"/>
      <c r="G240" s="243"/>
      <c r="H240" s="243"/>
      <c r="I240" s="243"/>
      <c r="J240" s="243"/>
      <c r="K240" s="243"/>
      <c r="L240" s="243"/>
      <c r="M240" s="243"/>
      <c r="N240" s="243"/>
      <c r="O240" s="243"/>
      <c r="P240" s="243"/>
      <c r="Q240" s="243"/>
      <c r="R240" s="243"/>
      <c r="S240" s="243"/>
      <c r="T240" s="243"/>
      <c r="U240" s="243"/>
      <c r="V240" s="243"/>
      <c r="W240" s="243"/>
      <c r="X240" s="243"/>
      <c r="Y240" s="243"/>
      <c r="Z240" s="243"/>
      <c r="AA240" s="243"/>
      <c r="AB240" s="243"/>
      <c r="AC240" s="249"/>
      <c r="AD240" s="249"/>
      <c r="AE240" s="243"/>
      <c r="AF240" s="243"/>
      <c r="AG240" s="243"/>
    </row>
  </sheetData>
  <mergeCells count="17">
    <mergeCell ref="A4:AG4"/>
    <mergeCell ref="A190:AG190"/>
    <mergeCell ref="A196:AG196"/>
    <mergeCell ref="A180:AG180"/>
    <mergeCell ref="A150:AG150"/>
    <mergeCell ref="A137:AG137"/>
    <mergeCell ref="A107:AG107"/>
    <mergeCell ref="A90:AG90"/>
    <mergeCell ref="A108:A109"/>
    <mergeCell ref="A124:A125"/>
    <mergeCell ref="A138:A139"/>
    <mergeCell ref="A151:A152"/>
    <mergeCell ref="A164:A165"/>
    <mergeCell ref="A163:AG163"/>
    <mergeCell ref="A209:AG209"/>
    <mergeCell ref="A68:AG68"/>
    <mergeCell ref="A24:AG24"/>
  </mergeCells>
  <pageMargins left="0.51181102362204722" right="0.51181102362204722" top="0.78740157480314965" bottom="0.78740157480314965" header="0.31496062992125984" footer="0.31496062992125984"/>
  <pageSetup paperSize="9" scale="64" orientation="landscape" r:id="rId1"/>
</worksheet>
</file>

<file path=xl/worksheets/sheet14.xml><?xml version="1.0" encoding="utf-8"?>
<worksheet xmlns="http://schemas.openxmlformats.org/spreadsheetml/2006/main" xmlns:r="http://schemas.openxmlformats.org/officeDocument/2006/relationships">
  <dimension ref="A1:J93"/>
  <sheetViews>
    <sheetView workbookViewId="0"/>
  </sheetViews>
  <sheetFormatPr defaultColWidth="9" defaultRowHeight="15.6"/>
  <cols>
    <col min="1" max="1" width="3.3984375" style="1" customWidth="1"/>
    <col min="2" max="2" width="9" style="1"/>
    <col min="3" max="3" width="45.69921875" style="1" customWidth="1"/>
    <col min="4" max="8" width="12.59765625" style="1" customWidth="1"/>
    <col min="9" max="9" width="13.59765625" style="1" customWidth="1"/>
    <col min="10" max="16384" width="9" style="1"/>
  </cols>
  <sheetData>
    <row r="1" spans="1:10" ht="16.2" thickBot="1">
      <c r="A1" s="2" t="s">
        <v>0</v>
      </c>
      <c r="B1" s="3"/>
      <c r="C1" s="2"/>
      <c r="D1" s="2"/>
      <c r="E1" s="2"/>
      <c r="F1" s="2"/>
      <c r="G1" s="2"/>
      <c r="H1" s="2"/>
      <c r="I1" s="2"/>
      <c r="J1" s="2"/>
    </row>
    <row r="2" spans="1:10">
      <c r="A2" s="2"/>
      <c r="B2" s="37"/>
      <c r="C2" s="38"/>
      <c r="D2" s="38"/>
      <c r="E2" s="38"/>
      <c r="F2" s="38"/>
      <c r="G2" s="38"/>
      <c r="H2" s="38"/>
      <c r="I2" s="39"/>
      <c r="J2" s="2"/>
    </row>
    <row r="3" spans="1:10" ht="17.399999999999999">
      <c r="A3" s="2"/>
      <c r="B3" s="1006" t="s">
        <v>1413</v>
      </c>
      <c r="C3" s="1007"/>
      <c r="D3" s="1007"/>
      <c r="E3" s="1007"/>
      <c r="F3" s="1007"/>
      <c r="G3" s="1007"/>
      <c r="H3" s="1007"/>
      <c r="I3" s="1008"/>
      <c r="J3" s="2"/>
    </row>
    <row r="4" spans="1:10" ht="17.399999999999999">
      <c r="A4" s="2"/>
      <c r="B4" s="217"/>
      <c r="C4" s="218"/>
      <c r="D4" s="218"/>
      <c r="E4" s="218"/>
      <c r="F4" s="218"/>
      <c r="G4" s="218"/>
      <c r="H4" s="218"/>
      <c r="I4" s="219"/>
      <c r="J4" s="2"/>
    </row>
    <row r="5" spans="1:10" ht="17.399999999999999">
      <c r="A5" s="2"/>
      <c r="B5" s="217"/>
      <c r="C5" s="222" t="s">
        <v>1414</v>
      </c>
      <c r="D5" s="223" t="s">
        <v>1415</v>
      </c>
      <c r="E5" s="218"/>
      <c r="F5" s="218"/>
      <c r="G5" s="218"/>
      <c r="H5" s="49">
        <f>SUM(I9:I27)</f>
        <v>2248.9499999999998</v>
      </c>
      <c r="I5" s="50" t="s">
        <v>217</v>
      </c>
      <c r="J5" s="2"/>
    </row>
    <row r="6" spans="1:10" ht="16.2" thickBot="1">
      <c r="A6" s="2"/>
      <c r="B6" s="55"/>
      <c r="C6" s="56"/>
      <c r="D6" s="56"/>
      <c r="E6" s="56"/>
      <c r="F6" s="56"/>
      <c r="G6" s="56"/>
      <c r="H6" s="56"/>
      <c r="I6" s="57"/>
      <c r="J6" s="2"/>
    </row>
    <row r="7" spans="1:10">
      <c r="A7" s="2"/>
      <c r="B7" s="35"/>
      <c r="C7" s="36"/>
      <c r="D7" s="36"/>
      <c r="E7" s="36"/>
      <c r="F7" s="36"/>
      <c r="G7" s="36"/>
      <c r="H7" s="36"/>
      <c r="I7" s="36"/>
      <c r="J7" s="2"/>
    </row>
    <row r="8" spans="1:10">
      <c r="A8" s="2"/>
      <c r="B8" s="1009" t="s">
        <v>175</v>
      </c>
      <c r="C8" s="1010"/>
      <c r="D8" s="1010"/>
      <c r="E8" s="1010"/>
      <c r="F8" s="1010"/>
      <c r="G8" s="1010"/>
      <c r="H8" s="1011"/>
      <c r="I8" s="80" t="s">
        <v>1416</v>
      </c>
      <c r="J8" s="2"/>
    </row>
    <row r="9" spans="1:10">
      <c r="A9" s="2"/>
      <c r="B9" s="2"/>
      <c r="C9" s="2"/>
      <c r="D9" s="2"/>
      <c r="E9" s="2"/>
      <c r="F9" s="2"/>
      <c r="G9" s="2"/>
      <c r="H9" s="2"/>
      <c r="I9" s="21"/>
      <c r="J9" s="2"/>
    </row>
    <row r="10" spans="1:10">
      <c r="A10" s="2"/>
      <c r="B10" s="14" t="s">
        <v>86</v>
      </c>
      <c r="C10" s="78" t="str">
        <f>VLOOKUP(B10,$B$31:$I$93,2,FALSE)</f>
        <v>SUBSOLO - MATERNIDADE</v>
      </c>
      <c r="D10" s="71"/>
      <c r="E10" s="71"/>
      <c r="F10" s="79"/>
      <c r="G10" s="73"/>
      <c r="H10" s="71"/>
      <c r="I10" s="81">
        <f>VLOOKUP(B10,$B$31:$I$93,8,FALSE)</f>
        <v>99.6</v>
      </c>
      <c r="J10" s="2"/>
    </row>
    <row r="11" spans="1:10">
      <c r="A11" s="2"/>
      <c r="B11" s="30"/>
      <c r="C11" s="31"/>
      <c r="D11" s="32"/>
      <c r="E11" s="32"/>
      <c r="F11" s="13"/>
      <c r="G11" s="33"/>
      <c r="H11" s="32"/>
      <c r="I11" s="34"/>
      <c r="J11" s="2"/>
    </row>
    <row r="12" spans="1:10">
      <c r="A12" s="2"/>
      <c r="B12" s="14" t="s">
        <v>87</v>
      </c>
      <c r="C12" s="78" t="str">
        <f>VLOOKUP(B12,$B$31:$I$93,2,FALSE)</f>
        <v>PAVIMENTO TÉRREO - ANEXO IV - CPN</v>
      </c>
      <c r="D12" s="71"/>
      <c r="E12" s="71"/>
      <c r="F12" s="79"/>
      <c r="G12" s="73"/>
      <c r="H12" s="71"/>
      <c r="I12" s="81">
        <f>VLOOKUP(B12,$B$31:$I$93,8,FALSE)</f>
        <v>72.3</v>
      </c>
      <c r="J12" s="2"/>
    </row>
    <row r="13" spans="1:10">
      <c r="A13" s="2"/>
      <c r="B13" s="30"/>
      <c r="C13" s="31"/>
      <c r="D13" s="32"/>
      <c r="E13" s="32"/>
      <c r="F13" s="13"/>
      <c r="G13" s="33"/>
      <c r="H13" s="32"/>
      <c r="I13" s="34"/>
      <c r="J13" s="2"/>
    </row>
    <row r="14" spans="1:10">
      <c r="A14" s="2"/>
      <c r="B14" s="77" t="s">
        <v>127</v>
      </c>
      <c r="C14" s="78" t="str">
        <f>VLOOKUP(B14,$B$31:$I$93,2,FALSE)</f>
        <v>3º PAVIMENTO - MATERNIDADE</v>
      </c>
      <c r="D14" s="82"/>
      <c r="E14" s="82"/>
      <c r="F14" s="83"/>
      <c r="G14" s="84"/>
      <c r="H14" s="82"/>
      <c r="I14" s="81">
        <f>VLOOKUP(B14,$B$31:$I$93,8,FALSE)</f>
        <v>552.65000000000009</v>
      </c>
      <c r="J14" s="2"/>
    </row>
    <row r="15" spans="1:10">
      <c r="A15" s="2"/>
      <c r="B15" s="30"/>
      <c r="C15" s="31"/>
      <c r="D15" s="32"/>
      <c r="E15" s="32"/>
      <c r="F15" s="13"/>
      <c r="G15" s="33"/>
      <c r="H15" s="32"/>
      <c r="I15" s="34"/>
      <c r="J15" s="2"/>
    </row>
    <row r="16" spans="1:10">
      <c r="A16" s="2"/>
      <c r="B16" s="77" t="s">
        <v>129</v>
      </c>
      <c r="C16" s="78" t="str">
        <f>VLOOKUP(B16,$B$31:$I$93,2,FALSE)</f>
        <v>4º PAVIMENTO - MATERNIDADE</v>
      </c>
      <c r="D16" s="82"/>
      <c r="E16" s="82"/>
      <c r="F16" s="83"/>
      <c r="G16" s="84"/>
      <c r="H16" s="82"/>
      <c r="I16" s="81">
        <f>VLOOKUP(B16,$B$31:$I$93,8,FALSE)</f>
        <v>393.95</v>
      </c>
      <c r="J16" s="2"/>
    </row>
    <row r="17" spans="1:10">
      <c r="A17" s="2"/>
      <c r="B17" s="30"/>
      <c r="C17" s="31"/>
      <c r="D17" s="32"/>
      <c r="E17" s="32"/>
      <c r="F17" s="13"/>
      <c r="G17" s="33"/>
      <c r="H17" s="32"/>
      <c r="I17" s="34"/>
      <c r="J17" s="2"/>
    </row>
    <row r="18" spans="1:10">
      <c r="A18" s="2"/>
      <c r="B18" s="14" t="s">
        <v>149</v>
      </c>
      <c r="C18" s="78" t="str">
        <f>VLOOKUP(B18,$B$31:$I$93,2,FALSE)</f>
        <v>5º PAVIMENTO - MATERNIDADE</v>
      </c>
      <c r="D18" s="71"/>
      <c r="E18" s="71"/>
      <c r="F18" s="79"/>
      <c r="G18" s="73"/>
      <c r="H18" s="71"/>
      <c r="I18" s="81">
        <f>VLOOKUP(B18,$B$31:$I$93,8,FALSE)</f>
        <v>346.25</v>
      </c>
      <c r="J18" s="2"/>
    </row>
    <row r="19" spans="1:10">
      <c r="A19" s="2"/>
      <c r="B19" s="30"/>
      <c r="C19" s="31"/>
      <c r="D19" s="32"/>
      <c r="E19" s="32"/>
      <c r="F19" s="13"/>
      <c r="G19" s="33"/>
      <c r="H19" s="32"/>
      <c r="I19" s="34"/>
      <c r="J19" s="2"/>
    </row>
    <row r="20" spans="1:10">
      <c r="A20" s="2"/>
      <c r="B20" s="14" t="s">
        <v>152</v>
      </c>
      <c r="C20" s="78" t="str">
        <f>VLOOKUP(B20,$B$31:$I$93,2,FALSE)</f>
        <v>6º PAVIMENTO - MATERNIDADE</v>
      </c>
      <c r="D20" s="71"/>
      <c r="E20" s="71"/>
      <c r="F20" s="79"/>
      <c r="G20" s="73"/>
      <c r="H20" s="71"/>
      <c r="I20" s="81">
        <f>VLOOKUP(B20,$B$31:$I$93,8,FALSE)</f>
        <v>346.25</v>
      </c>
      <c r="J20" s="2"/>
    </row>
    <row r="21" spans="1:10">
      <c r="A21" s="2"/>
      <c r="B21" s="30"/>
      <c r="C21" s="31"/>
      <c r="D21" s="32"/>
      <c r="E21" s="32"/>
      <c r="F21" s="13"/>
      <c r="G21" s="33"/>
      <c r="H21" s="32"/>
      <c r="I21" s="34"/>
      <c r="J21" s="2"/>
    </row>
    <row r="22" spans="1:10">
      <c r="A22" s="2"/>
      <c r="B22" s="14" t="s">
        <v>154</v>
      </c>
      <c r="C22" s="78" t="str">
        <f>VLOOKUP(B22,$B$31:$I$93,2,FALSE)</f>
        <v>7º PAVIMENTO - MATERNIDADE</v>
      </c>
      <c r="D22" s="71"/>
      <c r="E22" s="71"/>
      <c r="F22" s="79"/>
      <c r="G22" s="73"/>
      <c r="H22" s="71"/>
      <c r="I22" s="81">
        <f>VLOOKUP(B22,$B$31:$I$93,8,FALSE)</f>
        <v>346.25</v>
      </c>
      <c r="J22" s="2"/>
    </row>
    <row r="23" spans="1:10">
      <c r="A23" s="2"/>
      <c r="B23" s="30"/>
      <c r="C23" s="31"/>
      <c r="D23" s="32"/>
      <c r="E23" s="32"/>
      <c r="F23" s="13"/>
      <c r="G23" s="33"/>
      <c r="H23" s="32"/>
      <c r="I23" s="34"/>
      <c r="J23" s="2"/>
    </row>
    <row r="24" spans="1:10">
      <c r="A24" s="2"/>
      <c r="B24" s="14" t="s">
        <v>156</v>
      </c>
      <c r="C24" s="78" t="str">
        <f>VLOOKUP(B24,$B$31:$I$93,2,FALSE)</f>
        <v>8º PAVIMENTO - MATERNIDADE</v>
      </c>
      <c r="D24" s="71"/>
      <c r="E24" s="71"/>
      <c r="F24" s="79"/>
      <c r="G24" s="73"/>
      <c r="H24" s="71"/>
      <c r="I24" s="81">
        <f>VLOOKUP(B24,$B$31:$I$93,8,FALSE)</f>
        <v>91.7</v>
      </c>
      <c r="J24" s="2"/>
    </row>
    <row r="25" spans="1:10">
      <c r="A25" s="2"/>
      <c r="B25" s="30"/>
      <c r="C25" s="31"/>
      <c r="D25" s="32"/>
      <c r="E25" s="32"/>
      <c r="F25" s="13"/>
      <c r="G25" s="33"/>
      <c r="H25" s="32"/>
      <c r="I25" s="34"/>
      <c r="J25" s="2"/>
    </row>
    <row r="26" spans="1:10">
      <c r="A26" s="2"/>
      <c r="B26" s="14" t="s">
        <v>158</v>
      </c>
      <c r="C26" s="78" t="str">
        <f>VLOOKUP(B26,$B$31:$I$93,2,FALSE)</f>
        <v>9º PAVIMENTO - HELIPORTO DA MATERNIDADE</v>
      </c>
      <c r="D26" s="71"/>
      <c r="E26" s="71"/>
      <c r="F26" s="79"/>
      <c r="G26" s="73"/>
      <c r="H26" s="71"/>
      <c r="I26" s="81">
        <f>VLOOKUP(B26,$B$31:$I$93,8,FALSE)</f>
        <v>0</v>
      </c>
      <c r="J26" s="2"/>
    </row>
    <row r="27" spans="1:10">
      <c r="A27" s="2"/>
      <c r="B27" s="30"/>
      <c r="C27" s="31"/>
      <c r="D27" s="32"/>
      <c r="E27" s="32"/>
      <c r="F27" s="13"/>
      <c r="G27" s="33"/>
      <c r="H27" s="32"/>
      <c r="I27" s="34"/>
      <c r="J27" s="2"/>
    </row>
    <row r="28" spans="1:10">
      <c r="A28" s="2"/>
      <c r="B28" s="30"/>
      <c r="C28" s="31"/>
      <c r="D28" s="32"/>
      <c r="E28" s="32"/>
      <c r="F28" s="13"/>
      <c r="G28" s="33"/>
      <c r="H28" s="32"/>
      <c r="I28" s="34"/>
      <c r="J28" s="2"/>
    </row>
    <row r="29" spans="1:10">
      <c r="A29" s="2"/>
      <c r="B29" s="10" t="s">
        <v>1</v>
      </c>
      <c r="C29" s="10" t="s">
        <v>2</v>
      </c>
      <c r="D29" s="1012" t="s">
        <v>1417</v>
      </c>
      <c r="E29" s="1013"/>
      <c r="F29" s="1013"/>
      <c r="G29" s="1014"/>
      <c r="H29" s="72" t="s">
        <v>8</v>
      </c>
      <c r="I29" s="80" t="s">
        <v>1418</v>
      </c>
      <c r="J29" s="2"/>
    </row>
    <row r="30" spans="1:10">
      <c r="A30" s="2"/>
      <c r="B30" s="21"/>
      <c r="C30" s="21"/>
      <c r="D30" s="21"/>
      <c r="E30" s="21"/>
      <c r="F30" s="21"/>
      <c r="G30" s="74"/>
      <c r="H30" s="21"/>
      <c r="I30" s="21"/>
      <c r="J30" s="2"/>
    </row>
    <row r="31" spans="1:10">
      <c r="A31" s="2"/>
      <c r="B31" s="14" t="s">
        <v>86</v>
      </c>
      <c r="C31" s="1015" t="s">
        <v>103</v>
      </c>
      <c r="D31" s="1015"/>
      <c r="E31" s="1015"/>
      <c r="F31" s="1015"/>
      <c r="G31" s="1015"/>
      <c r="H31" s="1015"/>
      <c r="I31" s="224">
        <f>SUM(I32:I33)</f>
        <v>99.6</v>
      </c>
      <c r="J31" s="2"/>
    </row>
    <row r="32" spans="1:10">
      <c r="A32" s="16"/>
      <c r="B32" s="221"/>
      <c r="C32" s="17" t="s">
        <v>295</v>
      </c>
      <c r="D32" s="1001">
        <f>77.75+68.75</f>
        <v>146.5</v>
      </c>
      <c r="E32" s="1001"/>
      <c r="F32" s="1001"/>
      <c r="G32" s="1001"/>
      <c r="H32" s="161">
        <v>0</v>
      </c>
      <c r="I32" s="225">
        <f>D32*H32</f>
        <v>0</v>
      </c>
      <c r="J32" s="16"/>
    </row>
    <row r="33" spans="1:10">
      <c r="A33" s="16"/>
      <c r="B33" s="14"/>
      <c r="C33" s="226" t="s">
        <v>1419</v>
      </c>
      <c r="D33" s="1001">
        <v>99.6</v>
      </c>
      <c r="E33" s="1001"/>
      <c r="F33" s="1001"/>
      <c r="G33" s="1001"/>
      <c r="H33" s="227">
        <v>1</v>
      </c>
      <c r="I33" s="225">
        <f>D33*H33</f>
        <v>99.6</v>
      </c>
      <c r="J33" s="16"/>
    </row>
    <row r="34" spans="1:10">
      <c r="A34" s="2"/>
      <c r="B34" s="21"/>
      <c r="C34" s="22"/>
      <c r="D34" s="13"/>
      <c r="E34" s="13"/>
      <c r="F34" s="13"/>
      <c r="G34" s="13"/>
      <c r="H34" s="13"/>
      <c r="I34" s="13"/>
      <c r="J34" s="2"/>
    </row>
    <row r="35" spans="1:10">
      <c r="B35" s="14" t="s">
        <v>87</v>
      </c>
      <c r="C35" s="1015" t="s">
        <v>105</v>
      </c>
      <c r="D35" s="1015" t="s">
        <v>0</v>
      </c>
      <c r="E35" s="1015" t="s">
        <v>0</v>
      </c>
      <c r="F35" s="1015" t="s">
        <v>0</v>
      </c>
      <c r="G35" s="1015" t="s">
        <v>0</v>
      </c>
      <c r="H35" s="1015" t="s">
        <v>0</v>
      </c>
      <c r="I35" s="224">
        <f>SUM(I36:I37)</f>
        <v>72.3</v>
      </c>
    </row>
    <row r="36" spans="1:10">
      <c r="B36" s="14"/>
      <c r="C36" s="17" t="s">
        <v>325</v>
      </c>
      <c r="D36" s="1016">
        <v>45.65</v>
      </c>
      <c r="E36" s="1016"/>
      <c r="F36" s="1016"/>
      <c r="G36" s="1016"/>
      <c r="H36" s="227">
        <v>1</v>
      </c>
      <c r="I36" s="228">
        <f>D36*H36</f>
        <v>45.65</v>
      </c>
    </row>
    <row r="37" spans="1:10">
      <c r="B37" s="14"/>
      <c r="C37" s="17" t="s">
        <v>394</v>
      </c>
      <c r="D37" s="1001">
        <v>26.65</v>
      </c>
      <c r="E37" s="1001"/>
      <c r="F37" s="1001"/>
      <c r="G37" s="1001"/>
      <c r="H37" s="227">
        <v>1</v>
      </c>
      <c r="I37" s="225">
        <f>D37*H37</f>
        <v>26.65</v>
      </c>
    </row>
    <row r="39" spans="1:10">
      <c r="B39" s="14" t="s">
        <v>98</v>
      </c>
      <c r="C39" s="1015" t="s">
        <v>119</v>
      </c>
      <c r="D39" s="1015" t="s">
        <v>0</v>
      </c>
      <c r="E39" s="1015" t="s">
        <v>0</v>
      </c>
      <c r="F39" s="1015" t="s">
        <v>0</v>
      </c>
      <c r="G39" s="1015" t="s">
        <v>0</v>
      </c>
      <c r="H39" s="1015" t="s">
        <v>0</v>
      </c>
      <c r="I39" s="224">
        <f>SUM(I40:I41)</f>
        <v>45.55</v>
      </c>
    </row>
    <row r="40" spans="1:10">
      <c r="B40" s="14"/>
      <c r="C40" s="226" t="s">
        <v>408</v>
      </c>
      <c r="D40" s="1016">
        <f>4.3+4.1</f>
        <v>8.3999999999999986</v>
      </c>
      <c r="E40" s="1016"/>
      <c r="F40" s="1016"/>
      <c r="G40" s="1016"/>
      <c r="H40" s="227">
        <v>1</v>
      </c>
      <c r="I40" s="228">
        <f>D40*H40</f>
        <v>8.3999999999999986</v>
      </c>
    </row>
    <row r="41" spans="1:10">
      <c r="B41" s="14"/>
      <c r="C41" s="17" t="s">
        <v>325</v>
      </c>
      <c r="D41" s="1001">
        <v>37.15</v>
      </c>
      <c r="E41" s="1001"/>
      <c r="F41" s="1001"/>
      <c r="G41" s="1001"/>
      <c r="H41" s="227">
        <v>1</v>
      </c>
      <c r="I41" s="225">
        <f>D41*H41</f>
        <v>37.15</v>
      </c>
    </row>
    <row r="43" spans="1:10">
      <c r="B43" s="14" t="s">
        <v>104</v>
      </c>
      <c r="C43" s="1005" t="s">
        <v>130</v>
      </c>
      <c r="D43" s="1005"/>
      <c r="E43" s="1005"/>
      <c r="F43" s="1005"/>
      <c r="G43" s="1005"/>
      <c r="H43" s="1005"/>
      <c r="I43" s="76">
        <f>SUM(I44:I49)</f>
        <v>355.65</v>
      </c>
    </row>
    <row r="44" spans="1:10">
      <c r="B44" s="14"/>
      <c r="C44" s="17" t="s">
        <v>295</v>
      </c>
      <c r="D44" s="1001">
        <f>77.75+68.75</f>
        <v>146.5</v>
      </c>
      <c r="E44" s="1001"/>
      <c r="F44" s="1001"/>
      <c r="G44" s="1001"/>
      <c r="H44" s="161">
        <v>0</v>
      </c>
      <c r="I44" s="225">
        <f t="shared" ref="I44:I49" si="0">D44*H44</f>
        <v>0</v>
      </c>
    </row>
    <row r="45" spans="1:10">
      <c r="B45" s="14"/>
      <c r="C45" s="226" t="s">
        <v>296</v>
      </c>
      <c r="D45" s="1001">
        <v>79.75</v>
      </c>
      <c r="E45" s="1001"/>
      <c r="F45" s="1001"/>
      <c r="G45" s="1001"/>
      <c r="H45" s="227">
        <v>1</v>
      </c>
      <c r="I45" s="225">
        <f t="shared" si="0"/>
        <v>79.75</v>
      </c>
    </row>
    <row r="46" spans="1:10">
      <c r="B46" s="14"/>
      <c r="C46" s="17" t="s">
        <v>1180</v>
      </c>
      <c r="D46" s="1001">
        <v>42.2</v>
      </c>
      <c r="E46" s="1001"/>
      <c r="F46" s="1001"/>
      <c r="G46" s="1001"/>
      <c r="H46" s="227">
        <v>1</v>
      </c>
      <c r="I46" s="225">
        <f t="shared" si="0"/>
        <v>42.2</v>
      </c>
    </row>
    <row r="47" spans="1:10">
      <c r="B47" s="14"/>
      <c r="C47" s="17" t="s">
        <v>1181</v>
      </c>
      <c r="D47" s="1001">
        <f>58.25+21.45</f>
        <v>79.7</v>
      </c>
      <c r="E47" s="1001"/>
      <c r="F47" s="1001"/>
      <c r="G47" s="1001"/>
      <c r="H47" s="227">
        <v>1</v>
      </c>
      <c r="I47" s="225">
        <f t="shared" si="0"/>
        <v>79.7</v>
      </c>
    </row>
    <row r="48" spans="1:10">
      <c r="B48" s="14"/>
      <c r="C48" s="17" t="s">
        <v>1420</v>
      </c>
      <c r="D48" s="1001">
        <v>18.95</v>
      </c>
      <c r="E48" s="1001"/>
      <c r="F48" s="1001"/>
      <c r="G48" s="1001"/>
      <c r="H48" s="227">
        <v>2</v>
      </c>
      <c r="I48" s="225">
        <f t="shared" si="0"/>
        <v>37.9</v>
      </c>
    </row>
    <row r="49" spans="2:9">
      <c r="B49" s="14"/>
      <c r="C49" s="17" t="s">
        <v>1421</v>
      </c>
      <c r="D49" s="1001">
        <f>85.1+31</f>
        <v>116.1</v>
      </c>
      <c r="E49" s="1001"/>
      <c r="F49" s="1001"/>
      <c r="G49" s="1001"/>
      <c r="H49" s="227">
        <v>1</v>
      </c>
      <c r="I49" s="225">
        <f t="shared" si="0"/>
        <v>116.1</v>
      </c>
    </row>
    <row r="51" spans="2:9">
      <c r="B51" s="14" t="s">
        <v>118</v>
      </c>
      <c r="C51" s="1004" t="s">
        <v>150</v>
      </c>
      <c r="D51" s="1004"/>
      <c r="E51" s="1004"/>
      <c r="F51" s="1004"/>
      <c r="G51" s="1004"/>
      <c r="H51" s="1004"/>
      <c r="I51" s="76">
        <f>SUM(I52:I57)</f>
        <v>467.84999999999997</v>
      </c>
    </row>
    <row r="52" spans="2:9">
      <c r="B52" s="14"/>
      <c r="C52" s="17" t="s">
        <v>295</v>
      </c>
      <c r="D52" s="1001">
        <f>77.75+68.75</f>
        <v>146.5</v>
      </c>
      <c r="E52" s="1001"/>
      <c r="F52" s="1001"/>
      <c r="G52" s="1001"/>
      <c r="H52" s="161">
        <v>0</v>
      </c>
      <c r="I52" s="225">
        <f t="shared" ref="I52:I57" si="1">D52*H52</f>
        <v>0</v>
      </c>
    </row>
    <row r="53" spans="2:9">
      <c r="B53" s="14"/>
      <c r="C53" s="17" t="s">
        <v>1422</v>
      </c>
      <c r="D53" s="1001">
        <v>91.7</v>
      </c>
      <c r="E53" s="1001"/>
      <c r="F53" s="1001"/>
      <c r="G53" s="1001"/>
      <c r="H53" s="227">
        <v>1</v>
      </c>
      <c r="I53" s="225">
        <f t="shared" si="1"/>
        <v>91.7</v>
      </c>
    </row>
    <row r="54" spans="2:9">
      <c r="B54" s="14"/>
      <c r="C54" s="17" t="s">
        <v>325</v>
      </c>
      <c r="D54" s="1001">
        <v>111.75</v>
      </c>
      <c r="E54" s="1001"/>
      <c r="F54" s="1001"/>
      <c r="G54" s="1001"/>
      <c r="H54" s="227">
        <v>1</v>
      </c>
      <c r="I54" s="225">
        <f t="shared" si="1"/>
        <v>111.75</v>
      </c>
    </row>
    <row r="55" spans="2:9">
      <c r="B55" s="14"/>
      <c r="C55" s="17" t="s">
        <v>1423</v>
      </c>
      <c r="D55" s="1001">
        <v>106.5</v>
      </c>
      <c r="E55" s="1001"/>
      <c r="F55" s="1001"/>
      <c r="G55" s="1001"/>
      <c r="H55" s="227">
        <v>1</v>
      </c>
      <c r="I55" s="225">
        <f t="shared" si="1"/>
        <v>106.5</v>
      </c>
    </row>
    <row r="56" spans="2:9">
      <c r="B56" s="14"/>
      <c r="C56" s="17" t="s">
        <v>1423</v>
      </c>
      <c r="D56" s="1001">
        <v>106.5</v>
      </c>
      <c r="E56" s="1001"/>
      <c r="F56" s="1001"/>
      <c r="G56" s="1001"/>
      <c r="H56" s="227">
        <v>1</v>
      </c>
      <c r="I56" s="225">
        <f t="shared" si="1"/>
        <v>106.5</v>
      </c>
    </row>
    <row r="57" spans="2:9">
      <c r="B57" s="14"/>
      <c r="C57" s="17" t="s">
        <v>1424</v>
      </c>
      <c r="D57" s="1001">
        <v>51.4</v>
      </c>
      <c r="E57" s="1001"/>
      <c r="F57" s="1001"/>
      <c r="G57" s="1001"/>
      <c r="H57" s="227">
        <v>1</v>
      </c>
      <c r="I57" s="225">
        <f t="shared" si="1"/>
        <v>51.4</v>
      </c>
    </row>
    <row r="59" spans="2:9">
      <c r="B59" s="14" t="s">
        <v>127</v>
      </c>
      <c r="C59" s="1004" t="s">
        <v>153</v>
      </c>
      <c r="D59" s="1004"/>
      <c r="E59" s="1004"/>
      <c r="F59" s="1004"/>
      <c r="G59" s="1004"/>
      <c r="H59" s="1004"/>
      <c r="I59" s="76">
        <f>SUM(I60:I67)</f>
        <v>552.65000000000009</v>
      </c>
    </row>
    <row r="60" spans="2:9">
      <c r="B60" s="14"/>
      <c r="C60" s="17" t="s">
        <v>295</v>
      </c>
      <c r="D60" s="1001">
        <f>77.75+68.75</f>
        <v>146.5</v>
      </c>
      <c r="E60" s="1001"/>
      <c r="F60" s="1001"/>
      <c r="G60" s="1001"/>
      <c r="H60" s="161">
        <v>0</v>
      </c>
      <c r="I60" s="225">
        <f>D60*H60</f>
        <v>0</v>
      </c>
    </row>
    <row r="61" spans="2:9">
      <c r="B61" s="14"/>
      <c r="C61" s="17" t="s">
        <v>1422</v>
      </c>
      <c r="D61" s="1001">
        <v>91.7</v>
      </c>
      <c r="E61" s="1001"/>
      <c r="F61" s="1001"/>
      <c r="G61" s="1001"/>
      <c r="H61" s="227">
        <v>1</v>
      </c>
      <c r="I61" s="225">
        <f t="shared" ref="I61:I67" si="2">D61*H61</f>
        <v>91.7</v>
      </c>
    </row>
    <row r="62" spans="2:9">
      <c r="B62" s="14"/>
      <c r="C62" s="17" t="s">
        <v>325</v>
      </c>
      <c r="D62" s="1001">
        <v>87.95</v>
      </c>
      <c r="E62" s="1001"/>
      <c r="F62" s="1001"/>
      <c r="G62" s="1001"/>
      <c r="H62" s="227">
        <v>1</v>
      </c>
      <c r="I62" s="225">
        <f t="shared" si="2"/>
        <v>87.95</v>
      </c>
    </row>
    <row r="63" spans="2:9">
      <c r="B63" s="14"/>
      <c r="C63" s="17" t="s">
        <v>1425</v>
      </c>
      <c r="D63" s="1001">
        <v>18</v>
      </c>
      <c r="E63" s="1001"/>
      <c r="F63" s="1001"/>
      <c r="G63" s="1001"/>
      <c r="H63" s="227">
        <v>1</v>
      </c>
      <c r="I63" s="225">
        <f t="shared" si="2"/>
        <v>18</v>
      </c>
    </row>
    <row r="64" spans="2:9">
      <c r="B64" s="14"/>
      <c r="C64" s="17" t="s">
        <v>1426</v>
      </c>
      <c r="D64" s="1001">
        <v>19.600000000000001</v>
      </c>
      <c r="E64" s="1001"/>
      <c r="F64" s="1001"/>
      <c r="G64" s="1001"/>
      <c r="H64" s="227">
        <v>1</v>
      </c>
      <c r="I64" s="225">
        <f t="shared" si="2"/>
        <v>19.600000000000001</v>
      </c>
    </row>
    <row r="65" spans="2:9">
      <c r="B65" s="14"/>
      <c r="C65" s="17" t="s">
        <v>1427</v>
      </c>
      <c r="D65" s="1001">
        <v>119</v>
      </c>
      <c r="E65" s="1001"/>
      <c r="F65" s="1001"/>
      <c r="G65" s="1001"/>
      <c r="H65" s="227">
        <v>1</v>
      </c>
      <c r="I65" s="225">
        <f t="shared" si="2"/>
        <v>119</v>
      </c>
    </row>
    <row r="66" spans="2:9">
      <c r="B66" s="14"/>
      <c r="C66" s="17" t="s">
        <v>1428</v>
      </c>
      <c r="D66" s="1001">
        <v>74.599999999999994</v>
      </c>
      <c r="E66" s="1001"/>
      <c r="F66" s="1001"/>
      <c r="G66" s="1001"/>
      <c r="H66" s="227">
        <v>1</v>
      </c>
      <c r="I66" s="225">
        <f t="shared" si="2"/>
        <v>74.599999999999994</v>
      </c>
    </row>
    <row r="67" spans="2:9">
      <c r="B67" s="14"/>
      <c r="C67" s="17" t="s">
        <v>1429</v>
      </c>
      <c r="D67" s="1001">
        <v>141.80000000000001</v>
      </c>
      <c r="E67" s="1001"/>
      <c r="F67" s="1001"/>
      <c r="G67" s="1001"/>
      <c r="H67" s="227">
        <v>1</v>
      </c>
      <c r="I67" s="225">
        <f t="shared" si="2"/>
        <v>141.80000000000001</v>
      </c>
    </row>
    <row r="69" spans="2:9">
      <c r="B69" s="14" t="s">
        <v>129</v>
      </c>
      <c r="C69" s="1004" t="s">
        <v>155</v>
      </c>
      <c r="D69" s="1004"/>
      <c r="E69" s="1004"/>
      <c r="F69" s="1004"/>
      <c r="G69" s="1004"/>
      <c r="H69" s="1004"/>
      <c r="I69" s="76">
        <f>SUM(I70:I76)</f>
        <v>393.95</v>
      </c>
    </row>
    <row r="70" spans="2:9">
      <c r="B70" s="14"/>
      <c r="C70" s="17" t="s">
        <v>295</v>
      </c>
      <c r="D70" s="1001">
        <f>77.75+68.75</f>
        <v>146.5</v>
      </c>
      <c r="E70" s="1001"/>
      <c r="F70" s="1001"/>
      <c r="G70" s="1001"/>
      <c r="H70" s="161">
        <v>0</v>
      </c>
      <c r="I70" s="225">
        <f>D70*H70</f>
        <v>0</v>
      </c>
    </row>
    <row r="71" spans="2:9">
      <c r="B71" s="14"/>
      <c r="C71" s="17" t="s">
        <v>1422</v>
      </c>
      <c r="D71" s="1001">
        <v>91.7</v>
      </c>
      <c r="E71" s="1001"/>
      <c r="F71" s="1001"/>
      <c r="G71" s="1001"/>
      <c r="H71" s="227">
        <v>1</v>
      </c>
      <c r="I71" s="225">
        <f t="shared" ref="I71:I76" si="3">D71*H71</f>
        <v>91.7</v>
      </c>
    </row>
    <row r="72" spans="2:9">
      <c r="B72" s="14"/>
      <c r="C72" s="17" t="s">
        <v>407</v>
      </c>
      <c r="D72" s="1001">
        <v>62.25</v>
      </c>
      <c r="E72" s="1001"/>
      <c r="F72" s="1001"/>
      <c r="G72" s="1001"/>
      <c r="H72" s="227">
        <v>1</v>
      </c>
      <c r="I72" s="225">
        <f t="shared" si="3"/>
        <v>62.25</v>
      </c>
    </row>
    <row r="73" spans="2:9">
      <c r="B73" s="14"/>
      <c r="C73" s="17" t="s">
        <v>418</v>
      </c>
      <c r="D73" s="1001">
        <v>99</v>
      </c>
      <c r="E73" s="1001"/>
      <c r="F73" s="1001"/>
      <c r="G73" s="1001"/>
      <c r="H73" s="227">
        <v>1</v>
      </c>
      <c r="I73" s="225">
        <f t="shared" si="3"/>
        <v>99</v>
      </c>
    </row>
    <row r="74" spans="2:9">
      <c r="B74" s="14"/>
      <c r="C74" s="17" t="s">
        <v>325</v>
      </c>
      <c r="D74" s="1001">
        <v>33.700000000000003</v>
      </c>
      <c r="E74" s="1001"/>
      <c r="F74" s="1001"/>
      <c r="G74" s="1001"/>
      <c r="H74" s="227">
        <v>1</v>
      </c>
      <c r="I74" s="225">
        <f t="shared" si="3"/>
        <v>33.700000000000003</v>
      </c>
    </row>
    <row r="75" spans="2:9">
      <c r="B75" s="14"/>
      <c r="C75" s="17" t="s">
        <v>500</v>
      </c>
      <c r="D75" s="1001">
        <v>21</v>
      </c>
      <c r="E75" s="1001"/>
      <c r="F75" s="1001"/>
      <c r="G75" s="1001"/>
      <c r="H75" s="227">
        <v>1</v>
      </c>
      <c r="I75" s="225">
        <f t="shared" si="3"/>
        <v>21</v>
      </c>
    </row>
    <row r="76" spans="2:9">
      <c r="B76" s="14"/>
      <c r="C76" s="17" t="s">
        <v>1430</v>
      </c>
      <c r="D76" s="1001">
        <v>86.3</v>
      </c>
      <c r="E76" s="1001"/>
      <c r="F76" s="1001"/>
      <c r="G76" s="1001"/>
      <c r="H76" s="227">
        <v>1</v>
      </c>
      <c r="I76" s="225">
        <f t="shared" si="3"/>
        <v>86.3</v>
      </c>
    </row>
    <row r="78" spans="2:9">
      <c r="B78" s="14" t="s">
        <v>149</v>
      </c>
      <c r="C78" s="1004" t="s">
        <v>157</v>
      </c>
      <c r="D78" s="1004"/>
      <c r="E78" s="1004"/>
      <c r="F78" s="1004"/>
      <c r="G78" s="1004"/>
      <c r="H78" s="1004"/>
      <c r="I78" s="76">
        <f>SUM(I79:I81)</f>
        <v>346.25</v>
      </c>
    </row>
    <row r="79" spans="2:9">
      <c r="B79" s="14"/>
      <c r="C79" s="17" t="s">
        <v>295</v>
      </c>
      <c r="D79" s="1001">
        <f>77.75+68.75</f>
        <v>146.5</v>
      </c>
      <c r="E79" s="1001"/>
      <c r="F79" s="1001"/>
      <c r="G79" s="1001"/>
      <c r="H79" s="161">
        <v>0</v>
      </c>
      <c r="I79" s="225">
        <f>D79*H79</f>
        <v>0</v>
      </c>
    </row>
    <row r="80" spans="2:9">
      <c r="B80" s="14"/>
      <c r="C80" s="17" t="s">
        <v>1422</v>
      </c>
      <c r="D80" s="1001">
        <v>91.7</v>
      </c>
      <c r="E80" s="1001"/>
      <c r="F80" s="1001"/>
      <c r="G80" s="1001"/>
      <c r="H80" s="227">
        <v>1</v>
      </c>
      <c r="I80" s="225">
        <f>D80*H80</f>
        <v>91.7</v>
      </c>
    </row>
    <row r="81" spans="2:9">
      <c r="B81" s="14"/>
      <c r="C81" s="17" t="s">
        <v>418</v>
      </c>
      <c r="D81" s="1001">
        <f>177.4+77.15</f>
        <v>254.55</v>
      </c>
      <c r="E81" s="1001"/>
      <c r="F81" s="1001"/>
      <c r="G81" s="1001"/>
      <c r="H81" s="227">
        <v>1</v>
      </c>
      <c r="I81" s="225">
        <f>D81*H81</f>
        <v>254.55</v>
      </c>
    </row>
    <row r="83" spans="2:9">
      <c r="B83" s="77" t="s">
        <v>152</v>
      </c>
      <c r="C83" s="1002" t="s">
        <v>159</v>
      </c>
      <c r="D83" s="1002"/>
      <c r="E83" s="1002"/>
      <c r="F83" s="1002"/>
      <c r="G83" s="1002"/>
      <c r="H83" s="1003"/>
      <c r="I83" s="76">
        <f>$I$78</f>
        <v>346.25</v>
      </c>
    </row>
    <row r="85" spans="2:9">
      <c r="B85" s="14" t="s">
        <v>154</v>
      </c>
      <c r="C85" s="1002" t="s">
        <v>161</v>
      </c>
      <c r="D85" s="1002"/>
      <c r="E85" s="1002"/>
      <c r="F85" s="1002"/>
      <c r="G85" s="1002"/>
      <c r="H85" s="1003"/>
      <c r="I85" s="76">
        <f>$I$78</f>
        <v>346.25</v>
      </c>
    </row>
    <row r="87" spans="2:9">
      <c r="B87" s="14" t="s">
        <v>156</v>
      </c>
      <c r="C87" s="1004" t="s">
        <v>163</v>
      </c>
      <c r="D87" s="1004"/>
      <c r="E87" s="1004"/>
      <c r="F87" s="1004"/>
      <c r="G87" s="1004"/>
      <c r="H87" s="1004"/>
      <c r="I87" s="76">
        <f>SUM(I88:I89)</f>
        <v>91.7</v>
      </c>
    </row>
    <row r="88" spans="2:9">
      <c r="B88" s="14"/>
      <c r="C88" s="17" t="s">
        <v>295</v>
      </c>
      <c r="D88" s="1001">
        <f>77.75+68.75</f>
        <v>146.5</v>
      </c>
      <c r="E88" s="1001"/>
      <c r="F88" s="1001"/>
      <c r="G88" s="1001"/>
      <c r="H88" s="161">
        <v>0</v>
      </c>
      <c r="I88" s="225">
        <f>D88*H88</f>
        <v>0</v>
      </c>
    </row>
    <row r="89" spans="2:9">
      <c r="B89" s="14"/>
      <c r="C89" s="17" t="s">
        <v>1422</v>
      </c>
      <c r="D89" s="1001">
        <v>91.7</v>
      </c>
      <c r="E89" s="1001"/>
      <c r="F89" s="1001"/>
      <c r="G89" s="1001"/>
      <c r="H89" s="227">
        <v>1</v>
      </c>
      <c r="I89" s="225">
        <f>D89*H89</f>
        <v>91.7</v>
      </c>
    </row>
    <row r="91" spans="2:9">
      <c r="B91" s="14" t="s">
        <v>158</v>
      </c>
      <c r="C91" s="1004" t="s">
        <v>165</v>
      </c>
      <c r="D91" s="1004"/>
      <c r="E91" s="1004"/>
      <c r="F91" s="1004"/>
      <c r="G91" s="1004"/>
      <c r="H91" s="1004"/>
      <c r="I91" s="76">
        <f>SUM(I92:I93)</f>
        <v>0</v>
      </c>
    </row>
    <row r="92" spans="2:9">
      <c r="B92" s="14"/>
      <c r="C92" s="17" t="s">
        <v>295</v>
      </c>
      <c r="D92" s="1001">
        <f>77.75+68.75</f>
        <v>146.5</v>
      </c>
      <c r="E92" s="1001"/>
      <c r="F92" s="1001"/>
      <c r="G92" s="1001"/>
      <c r="H92" s="161">
        <v>0</v>
      </c>
      <c r="I92" s="225">
        <f>D92*H92</f>
        <v>0</v>
      </c>
    </row>
    <row r="93" spans="2:9">
      <c r="B93" s="14"/>
      <c r="C93" s="17" t="s">
        <v>1422</v>
      </c>
      <c r="D93" s="1001">
        <v>91.7</v>
      </c>
      <c r="E93" s="1001"/>
      <c r="F93" s="1001"/>
      <c r="G93" s="1001"/>
      <c r="H93" s="227">
        <v>0</v>
      </c>
      <c r="I93" s="225">
        <f>D93*H93</f>
        <v>0</v>
      </c>
    </row>
  </sheetData>
  <sortState ref="C2:C123">
    <sortCondition ref="C2"/>
  </sortState>
  <mergeCells count="55">
    <mergeCell ref="D93:G93"/>
    <mergeCell ref="C85:H85"/>
    <mergeCell ref="C87:H87"/>
    <mergeCell ref="D88:G88"/>
    <mergeCell ref="D89:G89"/>
    <mergeCell ref="C91:H91"/>
    <mergeCell ref="D92:G92"/>
    <mergeCell ref="C83:H83"/>
    <mergeCell ref="D70:G70"/>
    <mergeCell ref="D71:G71"/>
    <mergeCell ref="D72:G72"/>
    <mergeCell ref="D73:G73"/>
    <mergeCell ref="D74:G74"/>
    <mergeCell ref="D75:G75"/>
    <mergeCell ref="D76:G76"/>
    <mergeCell ref="C78:H78"/>
    <mergeCell ref="D79:G79"/>
    <mergeCell ref="D80:G80"/>
    <mergeCell ref="D81:G81"/>
    <mergeCell ref="C69:H69"/>
    <mergeCell ref="D56:G56"/>
    <mergeCell ref="D57:G57"/>
    <mergeCell ref="C59:H59"/>
    <mergeCell ref="D60:G60"/>
    <mergeCell ref="D61:G61"/>
    <mergeCell ref="D62:G62"/>
    <mergeCell ref="D63:G63"/>
    <mergeCell ref="D64:G64"/>
    <mergeCell ref="D65:G65"/>
    <mergeCell ref="D66:G66"/>
    <mergeCell ref="D67:G67"/>
    <mergeCell ref="D55:G55"/>
    <mergeCell ref="C43:H43"/>
    <mergeCell ref="D44:G44"/>
    <mergeCell ref="D45:G45"/>
    <mergeCell ref="D46:G46"/>
    <mergeCell ref="D47:G47"/>
    <mergeCell ref="D48:G48"/>
    <mergeCell ref="D49:G49"/>
    <mergeCell ref="C51:H51"/>
    <mergeCell ref="D52:G52"/>
    <mergeCell ref="D53:G53"/>
    <mergeCell ref="D54:G54"/>
    <mergeCell ref="D41:G41"/>
    <mergeCell ref="B3:I3"/>
    <mergeCell ref="B8:H8"/>
    <mergeCell ref="D29:G29"/>
    <mergeCell ref="C31:H31"/>
    <mergeCell ref="D32:G32"/>
    <mergeCell ref="D33:G33"/>
    <mergeCell ref="C35:H35"/>
    <mergeCell ref="D36:G36"/>
    <mergeCell ref="D37:G37"/>
    <mergeCell ref="C39:H39"/>
    <mergeCell ref="D40:G40"/>
  </mergeCells>
  <pageMargins left="0.511811024" right="0.511811024" top="0.78740157499999996" bottom="0.78740157499999996" header="0.31496062000000002" footer="0.31496062000000002"/>
  <pageSetup paperSize="9" orientation="portrait" r:id="rId1"/>
</worksheet>
</file>

<file path=xl/worksheets/sheet15.xml><?xml version="1.0" encoding="utf-8"?>
<worksheet xmlns="http://schemas.openxmlformats.org/spreadsheetml/2006/main" xmlns:r="http://schemas.openxmlformats.org/officeDocument/2006/relationships">
  <sheetPr>
    <pageSetUpPr fitToPage="1"/>
  </sheetPr>
  <dimension ref="B2:V22"/>
  <sheetViews>
    <sheetView workbookViewId="0"/>
  </sheetViews>
  <sheetFormatPr defaultRowHeight="15.6"/>
  <cols>
    <col min="1" max="1" width="3.3984375" customWidth="1"/>
    <col min="2" max="2" width="19.09765625" bestFit="1" customWidth="1"/>
    <col min="3" max="3" width="6.8984375" customWidth="1"/>
    <col min="4" max="4" width="8.69921875" customWidth="1"/>
    <col min="5" max="5" width="4.69921875" customWidth="1"/>
    <col min="6" max="6" width="8.69921875" customWidth="1"/>
    <col min="7" max="7" width="3.8984375" customWidth="1"/>
    <col min="8" max="8" width="8.69921875" customWidth="1"/>
    <col min="9" max="9" width="2.59765625" bestFit="1" customWidth="1"/>
    <col min="10" max="10" width="14" customWidth="1"/>
    <col min="11" max="11" width="2.59765625" bestFit="1" customWidth="1"/>
    <col min="12" max="12" width="11.5" customWidth="1"/>
    <col min="13" max="13" width="2.59765625" bestFit="1" customWidth="1"/>
    <col min="15" max="15" width="2.59765625" customWidth="1"/>
    <col min="16" max="16" width="12.19921875" customWidth="1"/>
    <col min="17" max="17" width="2.59765625" bestFit="1" customWidth="1"/>
    <col min="18" max="18" width="13.5" customWidth="1"/>
    <col min="19" max="19" width="2.59765625" bestFit="1" customWidth="1"/>
    <col min="21" max="21" width="2.59765625" bestFit="1" customWidth="1"/>
  </cols>
  <sheetData>
    <row r="2" spans="2:22">
      <c r="I2" s="1106" t="s">
        <v>1446</v>
      </c>
      <c r="J2" s="1106"/>
      <c r="K2" s="1106"/>
      <c r="L2" s="1106"/>
      <c r="M2" s="1106"/>
      <c r="N2" s="1106"/>
      <c r="O2" s="1106"/>
      <c r="P2" s="1106"/>
      <c r="Q2" s="1106"/>
      <c r="R2" s="1106"/>
      <c r="S2" s="1106"/>
      <c r="T2" s="1106"/>
      <c r="U2" s="1106"/>
      <c r="V2" s="1106"/>
    </row>
    <row r="3" spans="2:22" ht="42.75" customHeight="1">
      <c r="B3" s="237" t="s">
        <v>1445</v>
      </c>
      <c r="C3" s="237" t="s">
        <v>624</v>
      </c>
      <c r="D3" s="237" t="s">
        <v>2688</v>
      </c>
      <c r="E3" s="1104" t="s">
        <v>2684</v>
      </c>
      <c r="F3" s="1105"/>
      <c r="G3" s="1104" t="s">
        <v>2685</v>
      </c>
      <c r="H3" s="1105"/>
      <c r="I3" s="1104" t="s">
        <v>2686</v>
      </c>
      <c r="J3" s="1105"/>
      <c r="K3" s="1104" t="s">
        <v>1447</v>
      </c>
      <c r="L3" s="1105"/>
      <c r="M3" s="1104" t="s">
        <v>1448</v>
      </c>
      <c r="N3" s="1105"/>
      <c r="O3" s="1104" t="s">
        <v>1449</v>
      </c>
      <c r="P3" s="1105"/>
      <c r="Q3" s="1104" t="s">
        <v>1452</v>
      </c>
      <c r="R3" s="1105"/>
      <c r="S3" s="1104" t="s">
        <v>1450</v>
      </c>
      <c r="T3" s="1105"/>
      <c r="U3" s="1104" t="s">
        <v>1451</v>
      </c>
      <c r="V3" s="1105"/>
    </row>
    <row r="4" spans="2:22">
      <c r="B4" s="231" t="s">
        <v>1443</v>
      </c>
      <c r="C4" s="231" t="s">
        <v>607</v>
      </c>
      <c r="D4" s="232">
        <v>2993.16</v>
      </c>
      <c r="E4" s="232" t="s">
        <v>957</v>
      </c>
      <c r="F4" s="207">
        <f>IF(E4="x",D4,"")</f>
        <v>2993.16</v>
      </c>
      <c r="G4" s="232" t="s">
        <v>952</v>
      </c>
      <c r="H4" s="207">
        <f>IF(G4="x",D4,"")</f>
        <v>2993.16</v>
      </c>
      <c r="I4" s="201"/>
      <c r="J4" s="207" t="str">
        <f>IF(I4="x",D4,"")</f>
        <v/>
      </c>
      <c r="K4" s="207"/>
      <c r="L4" s="207" t="str">
        <f>IF(K4="x",D4,"")</f>
        <v/>
      </c>
      <c r="M4" s="207" t="s">
        <v>952</v>
      </c>
      <c r="N4" s="207">
        <f>IF(M4="x",D4,"")</f>
        <v>2993.16</v>
      </c>
      <c r="O4" s="201" t="s">
        <v>957</v>
      </c>
      <c r="P4" s="207">
        <f>IF(O4="x",D4,"")</f>
        <v>2993.16</v>
      </c>
      <c r="Q4" s="201" t="s">
        <v>957</v>
      </c>
      <c r="R4" s="207">
        <f>IF(Q4="x",D4,"")</f>
        <v>2993.16</v>
      </c>
      <c r="S4" s="201"/>
      <c r="T4" s="207" t="str">
        <f>IF(S4="x",D4,"")</f>
        <v/>
      </c>
      <c r="U4" s="201"/>
      <c r="V4" s="207" t="str">
        <f>IF(U4="x",D4,"")</f>
        <v/>
      </c>
    </row>
    <row r="5" spans="2:22">
      <c r="B5" s="231" t="s">
        <v>1444</v>
      </c>
      <c r="C5" s="231" t="s">
        <v>607</v>
      </c>
      <c r="D5" s="232">
        <v>2169.6799999999998</v>
      </c>
      <c r="E5" s="232" t="s">
        <v>957</v>
      </c>
      <c r="F5" s="207">
        <f t="shared" ref="F5:F21" si="0">IF(E5="x",D5,"")</f>
        <v>2169.6799999999998</v>
      </c>
      <c r="G5" s="232" t="s">
        <v>952</v>
      </c>
      <c r="H5" s="207">
        <f t="shared" ref="H5:H21" si="1">IF(G5="x",D5,"")</f>
        <v>2169.6799999999998</v>
      </c>
      <c r="I5" s="201" t="s">
        <v>957</v>
      </c>
      <c r="J5" s="207">
        <f t="shared" ref="J5:J21" si="2">IF(I5="x",D5,"")</f>
        <v>2169.6799999999998</v>
      </c>
      <c r="K5" s="207" t="s">
        <v>957</v>
      </c>
      <c r="L5" s="207">
        <f t="shared" ref="L5:L21" si="3">IF(K5="x",D5,"")</f>
        <v>2169.6799999999998</v>
      </c>
      <c r="M5" s="207" t="s">
        <v>957</v>
      </c>
      <c r="N5" s="207">
        <f t="shared" ref="N5:N21" si="4">IF(M5="x",D5,"")</f>
        <v>2169.6799999999998</v>
      </c>
      <c r="O5" s="201" t="s">
        <v>957</v>
      </c>
      <c r="P5" s="207">
        <f t="shared" ref="P5:P21" si="5">IF(O5="x",D5,"")</f>
        <v>2169.6799999999998</v>
      </c>
      <c r="Q5" s="201" t="s">
        <v>957</v>
      </c>
      <c r="R5" s="207">
        <f t="shared" ref="R5:R21" si="6">IF(Q5="x",D5,"")</f>
        <v>2169.6799999999998</v>
      </c>
      <c r="S5" s="207"/>
      <c r="T5" s="207" t="str">
        <f t="shared" ref="T5:T21" si="7">IF(S5="x",D5,"")</f>
        <v/>
      </c>
      <c r="U5" s="207" t="s">
        <v>957</v>
      </c>
      <c r="V5" s="207">
        <f t="shared" ref="V5:V21" si="8">IF(U5="x",D5,"")</f>
        <v>2169.6799999999998</v>
      </c>
    </row>
    <row r="6" spans="2:22">
      <c r="B6" s="231" t="s">
        <v>975</v>
      </c>
      <c r="C6" s="231" t="s">
        <v>607</v>
      </c>
      <c r="D6" s="233">
        <v>44.67</v>
      </c>
      <c r="E6" s="233" t="s">
        <v>957</v>
      </c>
      <c r="F6" s="207">
        <f t="shared" si="0"/>
        <v>44.67</v>
      </c>
      <c r="G6" s="232" t="s">
        <v>952</v>
      </c>
      <c r="H6" s="207">
        <f t="shared" si="1"/>
        <v>44.67</v>
      </c>
      <c r="I6" s="201" t="s">
        <v>957</v>
      </c>
      <c r="J6" s="207">
        <f t="shared" si="2"/>
        <v>44.67</v>
      </c>
      <c r="K6" s="207" t="s">
        <v>957</v>
      </c>
      <c r="L6" s="207">
        <f t="shared" si="3"/>
        <v>44.67</v>
      </c>
      <c r="M6" s="207" t="s">
        <v>957</v>
      </c>
      <c r="N6" s="207">
        <f t="shared" si="4"/>
        <v>44.67</v>
      </c>
      <c r="O6" s="201" t="s">
        <v>957</v>
      </c>
      <c r="P6" s="207">
        <f t="shared" si="5"/>
        <v>44.67</v>
      </c>
      <c r="Q6" s="201" t="s">
        <v>957</v>
      </c>
      <c r="R6" s="207">
        <f t="shared" si="6"/>
        <v>44.67</v>
      </c>
      <c r="S6" s="207"/>
      <c r="T6" s="207" t="str">
        <f t="shared" si="7"/>
        <v/>
      </c>
      <c r="U6" s="207"/>
      <c r="V6" s="207" t="str">
        <f t="shared" si="8"/>
        <v/>
      </c>
    </row>
    <row r="7" spans="2:22">
      <c r="B7" s="231" t="s">
        <v>358</v>
      </c>
      <c r="C7" s="231" t="s">
        <v>607</v>
      </c>
      <c r="D7" s="233">
        <v>146.04</v>
      </c>
      <c r="E7" s="233" t="s">
        <v>957</v>
      </c>
      <c r="F7" s="207">
        <f t="shared" si="0"/>
        <v>146.04</v>
      </c>
      <c r="G7" s="232" t="s">
        <v>952</v>
      </c>
      <c r="H7" s="207">
        <f t="shared" si="1"/>
        <v>146.04</v>
      </c>
      <c r="I7" s="201" t="s">
        <v>957</v>
      </c>
      <c r="J7" s="207">
        <f t="shared" si="2"/>
        <v>146.04</v>
      </c>
      <c r="K7" s="207"/>
      <c r="L7" s="207" t="str">
        <f t="shared" si="3"/>
        <v/>
      </c>
      <c r="M7" s="207" t="s">
        <v>952</v>
      </c>
      <c r="N7" s="207">
        <f t="shared" si="4"/>
        <v>146.04</v>
      </c>
      <c r="O7" s="201" t="s">
        <v>957</v>
      </c>
      <c r="P7" s="207">
        <f t="shared" si="5"/>
        <v>146.04</v>
      </c>
      <c r="Q7" s="201" t="s">
        <v>957</v>
      </c>
      <c r="R7" s="207">
        <f t="shared" si="6"/>
        <v>146.04</v>
      </c>
      <c r="S7" s="207"/>
      <c r="T7" s="207" t="str">
        <f t="shared" si="7"/>
        <v/>
      </c>
      <c r="U7" s="207"/>
      <c r="V7" s="207" t="str">
        <f t="shared" si="8"/>
        <v/>
      </c>
    </row>
    <row r="8" spans="2:22">
      <c r="B8" s="231" t="s">
        <v>349</v>
      </c>
      <c r="C8" s="231" t="s">
        <v>607</v>
      </c>
      <c r="D8" s="233">
        <v>113.1</v>
      </c>
      <c r="E8" s="233" t="s">
        <v>957</v>
      </c>
      <c r="F8" s="207">
        <f t="shared" si="0"/>
        <v>113.1</v>
      </c>
      <c r="G8" s="232" t="s">
        <v>952</v>
      </c>
      <c r="H8" s="207">
        <f t="shared" si="1"/>
        <v>113.1</v>
      </c>
      <c r="I8" s="201" t="s">
        <v>957</v>
      </c>
      <c r="J8" s="207">
        <f t="shared" si="2"/>
        <v>113.1</v>
      </c>
      <c r="K8" s="207"/>
      <c r="L8" s="207" t="str">
        <f t="shared" si="3"/>
        <v/>
      </c>
      <c r="M8" s="207" t="s">
        <v>957</v>
      </c>
      <c r="N8" s="207">
        <f t="shared" si="4"/>
        <v>113.1</v>
      </c>
      <c r="O8" s="201" t="s">
        <v>957</v>
      </c>
      <c r="P8" s="207">
        <f t="shared" si="5"/>
        <v>113.1</v>
      </c>
      <c r="Q8" s="201" t="s">
        <v>957</v>
      </c>
      <c r="R8" s="207">
        <f t="shared" si="6"/>
        <v>113.1</v>
      </c>
      <c r="S8" s="207"/>
      <c r="T8" s="207" t="str">
        <f t="shared" si="7"/>
        <v/>
      </c>
      <c r="U8" s="207"/>
      <c r="V8" s="207" t="str">
        <f t="shared" si="8"/>
        <v/>
      </c>
    </row>
    <row r="9" spans="2:22">
      <c r="B9" s="231" t="s">
        <v>976</v>
      </c>
      <c r="C9" s="231" t="s">
        <v>607</v>
      </c>
      <c r="D9" s="233">
        <v>386.97</v>
      </c>
      <c r="E9" s="233" t="s">
        <v>957</v>
      </c>
      <c r="F9" s="207">
        <f t="shared" si="0"/>
        <v>386.97</v>
      </c>
      <c r="G9" s="232" t="s">
        <v>952</v>
      </c>
      <c r="H9" s="207">
        <f t="shared" si="1"/>
        <v>386.97</v>
      </c>
      <c r="I9" s="201" t="s">
        <v>957</v>
      </c>
      <c r="J9" s="207">
        <f t="shared" si="2"/>
        <v>386.97</v>
      </c>
      <c r="K9" s="207" t="s">
        <v>957</v>
      </c>
      <c r="L9" s="207">
        <f t="shared" si="3"/>
        <v>386.97</v>
      </c>
      <c r="M9" s="207" t="s">
        <v>957</v>
      </c>
      <c r="N9" s="207">
        <f t="shared" si="4"/>
        <v>386.97</v>
      </c>
      <c r="O9" s="201" t="s">
        <v>957</v>
      </c>
      <c r="P9" s="207">
        <f t="shared" si="5"/>
        <v>386.97</v>
      </c>
      <c r="Q9" s="201" t="s">
        <v>957</v>
      </c>
      <c r="R9" s="207">
        <f t="shared" si="6"/>
        <v>386.97</v>
      </c>
      <c r="S9" s="207" t="s">
        <v>957</v>
      </c>
      <c r="T9" s="207">
        <f t="shared" si="7"/>
        <v>386.97</v>
      </c>
      <c r="U9" s="207" t="s">
        <v>957</v>
      </c>
      <c r="V9" s="207">
        <f t="shared" si="8"/>
        <v>386.97</v>
      </c>
    </row>
    <row r="10" spans="2:22" ht="27.6">
      <c r="B10" s="231" t="s">
        <v>977</v>
      </c>
      <c r="C10" s="231" t="s">
        <v>607</v>
      </c>
      <c r="D10" s="233">
        <v>412.23</v>
      </c>
      <c r="E10" s="233" t="s">
        <v>957</v>
      </c>
      <c r="F10" s="207">
        <f t="shared" si="0"/>
        <v>412.23</v>
      </c>
      <c r="G10" s="232" t="s">
        <v>952</v>
      </c>
      <c r="H10" s="207">
        <f t="shared" si="1"/>
        <v>412.23</v>
      </c>
      <c r="I10" s="201" t="s">
        <v>957</v>
      </c>
      <c r="J10" s="207">
        <f t="shared" si="2"/>
        <v>412.23</v>
      </c>
      <c r="K10" s="207" t="s">
        <v>957</v>
      </c>
      <c r="L10" s="207">
        <f t="shared" si="3"/>
        <v>412.23</v>
      </c>
      <c r="M10" s="207" t="s">
        <v>957</v>
      </c>
      <c r="N10" s="207">
        <f t="shared" si="4"/>
        <v>412.23</v>
      </c>
      <c r="O10" s="201" t="s">
        <v>957</v>
      </c>
      <c r="P10" s="207">
        <f t="shared" si="5"/>
        <v>412.23</v>
      </c>
      <c r="Q10" s="201" t="s">
        <v>957</v>
      </c>
      <c r="R10" s="207">
        <f t="shared" si="6"/>
        <v>412.23</v>
      </c>
      <c r="S10" s="207"/>
      <c r="T10" s="207" t="str">
        <f t="shared" si="7"/>
        <v/>
      </c>
      <c r="U10" s="207" t="s">
        <v>957</v>
      </c>
      <c r="V10" s="207">
        <f t="shared" si="8"/>
        <v>412.23</v>
      </c>
    </row>
    <row r="11" spans="2:22">
      <c r="B11" s="231" t="s">
        <v>978</v>
      </c>
      <c r="C11" s="231" t="s">
        <v>607</v>
      </c>
      <c r="D11" s="233">
        <v>59.35</v>
      </c>
      <c r="E11" s="233" t="s">
        <v>957</v>
      </c>
      <c r="F11" s="207">
        <f t="shared" si="0"/>
        <v>59.35</v>
      </c>
      <c r="G11" s="232" t="s">
        <v>952</v>
      </c>
      <c r="H11" s="207">
        <f t="shared" si="1"/>
        <v>59.35</v>
      </c>
      <c r="I11" s="201" t="s">
        <v>957</v>
      </c>
      <c r="J11" s="207">
        <f t="shared" si="2"/>
        <v>59.35</v>
      </c>
      <c r="K11" s="207" t="s">
        <v>957</v>
      </c>
      <c r="L11" s="207">
        <f t="shared" si="3"/>
        <v>59.35</v>
      </c>
      <c r="M11" s="207" t="s">
        <v>957</v>
      </c>
      <c r="N11" s="207">
        <f t="shared" si="4"/>
        <v>59.35</v>
      </c>
      <c r="O11" s="201" t="s">
        <v>957</v>
      </c>
      <c r="P11" s="207">
        <f t="shared" si="5"/>
        <v>59.35</v>
      </c>
      <c r="Q11" s="201" t="s">
        <v>957</v>
      </c>
      <c r="R11" s="207">
        <f t="shared" si="6"/>
        <v>59.35</v>
      </c>
      <c r="S11" s="207"/>
      <c r="T11" s="207" t="str">
        <f t="shared" si="7"/>
        <v/>
      </c>
      <c r="U11" s="207"/>
      <c r="V11" s="207" t="str">
        <f t="shared" si="8"/>
        <v/>
      </c>
    </row>
    <row r="12" spans="2:22">
      <c r="B12" s="231" t="s">
        <v>2687</v>
      </c>
      <c r="C12" s="231" t="s">
        <v>607</v>
      </c>
      <c r="D12" s="233">
        <v>974.04</v>
      </c>
      <c r="E12" s="233" t="s">
        <v>957</v>
      </c>
      <c r="F12" s="207">
        <f t="shared" si="0"/>
        <v>974.04</v>
      </c>
      <c r="G12" s="232" t="s">
        <v>952</v>
      </c>
      <c r="H12" s="207">
        <f t="shared" si="1"/>
        <v>974.04</v>
      </c>
      <c r="I12" s="201" t="s">
        <v>957</v>
      </c>
      <c r="J12" s="207"/>
      <c r="K12" s="207" t="s">
        <v>952</v>
      </c>
      <c r="L12" s="207">
        <f t="shared" si="3"/>
        <v>974.04</v>
      </c>
      <c r="M12" s="207" t="s">
        <v>952</v>
      </c>
      <c r="N12" s="207">
        <f t="shared" si="4"/>
        <v>974.04</v>
      </c>
      <c r="O12" s="201"/>
      <c r="P12" s="207"/>
      <c r="Q12" s="201"/>
      <c r="R12" s="207"/>
      <c r="S12" s="207"/>
      <c r="T12" s="207" t="str">
        <f t="shared" si="7"/>
        <v/>
      </c>
      <c r="U12" s="207"/>
      <c r="V12" s="207" t="str">
        <f t="shared" si="8"/>
        <v/>
      </c>
    </row>
    <row r="13" spans="2:22">
      <c r="B13" s="231" t="s">
        <v>1042</v>
      </c>
      <c r="C13" s="231" t="s">
        <v>607</v>
      </c>
      <c r="D13" s="232">
        <v>1767.93</v>
      </c>
      <c r="E13" s="232" t="s">
        <v>957</v>
      </c>
      <c r="F13" s="207">
        <f t="shared" si="0"/>
        <v>1767.93</v>
      </c>
      <c r="G13" s="232" t="s">
        <v>952</v>
      </c>
      <c r="H13" s="207">
        <f t="shared" si="1"/>
        <v>1767.93</v>
      </c>
      <c r="I13" s="201" t="s">
        <v>957</v>
      </c>
      <c r="J13" s="207">
        <f t="shared" si="2"/>
        <v>1767.93</v>
      </c>
      <c r="K13" s="207" t="s">
        <v>957</v>
      </c>
      <c r="L13" s="207">
        <f t="shared" si="3"/>
        <v>1767.93</v>
      </c>
      <c r="M13" s="207" t="s">
        <v>957</v>
      </c>
      <c r="N13" s="207">
        <f t="shared" si="4"/>
        <v>1767.93</v>
      </c>
      <c r="O13" s="201" t="s">
        <v>957</v>
      </c>
      <c r="P13" s="207">
        <f t="shared" si="5"/>
        <v>1767.93</v>
      </c>
      <c r="Q13" s="201" t="s">
        <v>957</v>
      </c>
      <c r="R13" s="207">
        <f t="shared" si="6"/>
        <v>1767.93</v>
      </c>
      <c r="S13" s="207" t="s">
        <v>957</v>
      </c>
      <c r="T13" s="207">
        <f t="shared" si="7"/>
        <v>1767.93</v>
      </c>
      <c r="U13" s="207" t="s">
        <v>957</v>
      </c>
      <c r="V13" s="207">
        <f t="shared" si="8"/>
        <v>1767.93</v>
      </c>
    </row>
    <row r="14" spans="2:22">
      <c r="B14" s="231" t="s">
        <v>1043</v>
      </c>
      <c r="C14" s="231" t="s">
        <v>607</v>
      </c>
      <c r="D14" s="232">
        <v>1676.37</v>
      </c>
      <c r="E14" s="232" t="s">
        <v>957</v>
      </c>
      <c r="F14" s="207">
        <f t="shared" si="0"/>
        <v>1676.37</v>
      </c>
      <c r="G14" s="232" t="s">
        <v>952</v>
      </c>
      <c r="H14" s="207">
        <f t="shared" si="1"/>
        <v>1676.37</v>
      </c>
      <c r="I14" s="201" t="s">
        <v>957</v>
      </c>
      <c r="J14" s="207">
        <f t="shared" si="2"/>
        <v>1676.37</v>
      </c>
      <c r="K14" s="207" t="s">
        <v>957</v>
      </c>
      <c r="L14" s="207">
        <f t="shared" si="3"/>
        <v>1676.37</v>
      </c>
      <c r="M14" s="207" t="s">
        <v>957</v>
      </c>
      <c r="N14" s="207">
        <f t="shared" si="4"/>
        <v>1676.37</v>
      </c>
      <c r="O14" s="201" t="s">
        <v>957</v>
      </c>
      <c r="P14" s="207">
        <f t="shared" si="5"/>
        <v>1676.37</v>
      </c>
      <c r="Q14" s="201" t="s">
        <v>957</v>
      </c>
      <c r="R14" s="207">
        <f t="shared" si="6"/>
        <v>1676.37</v>
      </c>
      <c r="S14" s="207" t="s">
        <v>957</v>
      </c>
      <c r="T14" s="207">
        <f t="shared" si="7"/>
        <v>1676.37</v>
      </c>
      <c r="U14" s="207" t="s">
        <v>957</v>
      </c>
      <c r="V14" s="207">
        <f t="shared" si="8"/>
        <v>1676.37</v>
      </c>
    </row>
    <row r="15" spans="2:22">
      <c r="B15" s="231" t="s">
        <v>1044</v>
      </c>
      <c r="C15" s="231" t="s">
        <v>607</v>
      </c>
      <c r="D15" s="232">
        <v>1676.37</v>
      </c>
      <c r="E15" s="232" t="s">
        <v>957</v>
      </c>
      <c r="F15" s="207">
        <f t="shared" si="0"/>
        <v>1676.37</v>
      </c>
      <c r="G15" s="232" t="s">
        <v>952</v>
      </c>
      <c r="H15" s="207">
        <f t="shared" si="1"/>
        <v>1676.37</v>
      </c>
      <c r="I15" s="201" t="s">
        <v>957</v>
      </c>
      <c r="J15" s="207">
        <f t="shared" si="2"/>
        <v>1676.37</v>
      </c>
      <c r="K15" s="207" t="s">
        <v>957</v>
      </c>
      <c r="L15" s="207">
        <f t="shared" si="3"/>
        <v>1676.37</v>
      </c>
      <c r="M15" s="207" t="s">
        <v>957</v>
      </c>
      <c r="N15" s="207">
        <f t="shared" si="4"/>
        <v>1676.37</v>
      </c>
      <c r="O15" s="201" t="s">
        <v>957</v>
      </c>
      <c r="P15" s="207">
        <f t="shared" si="5"/>
        <v>1676.37</v>
      </c>
      <c r="Q15" s="201" t="s">
        <v>957</v>
      </c>
      <c r="R15" s="207">
        <f t="shared" si="6"/>
        <v>1676.37</v>
      </c>
      <c r="S15" s="207" t="s">
        <v>957</v>
      </c>
      <c r="T15" s="207">
        <f t="shared" si="7"/>
        <v>1676.37</v>
      </c>
      <c r="U15" s="207" t="s">
        <v>957</v>
      </c>
      <c r="V15" s="207">
        <f t="shared" si="8"/>
        <v>1676.37</v>
      </c>
    </row>
    <row r="16" spans="2:22">
      <c r="B16" s="231" t="s">
        <v>1045</v>
      </c>
      <c r="C16" s="231" t="s">
        <v>607</v>
      </c>
      <c r="D16" s="232">
        <v>1676.37</v>
      </c>
      <c r="E16" s="232" t="s">
        <v>957</v>
      </c>
      <c r="F16" s="207">
        <f t="shared" si="0"/>
        <v>1676.37</v>
      </c>
      <c r="G16" s="232" t="s">
        <v>952</v>
      </c>
      <c r="H16" s="207">
        <f t="shared" si="1"/>
        <v>1676.37</v>
      </c>
      <c r="I16" s="201" t="s">
        <v>957</v>
      </c>
      <c r="J16" s="207">
        <f t="shared" si="2"/>
        <v>1676.37</v>
      </c>
      <c r="K16" s="207" t="s">
        <v>957</v>
      </c>
      <c r="L16" s="207">
        <f t="shared" si="3"/>
        <v>1676.37</v>
      </c>
      <c r="M16" s="207" t="s">
        <v>957</v>
      </c>
      <c r="N16" s="207">
        <f t="shared" si="4"/>
        <v>1676.37</v>
      </c>
      <c r="O16" s="201" t="s">
        <v>957</v>
      </c>
      <c r="P16" s="207">
        <f t="shared" si="5"/>
        <v>1676.37</v>
      </c>
      <c r="Q16" s="201" t="s">
        <v>957</v>
      </c>
      <c r="R16" s="207">
        <f t="shared" si="6"/>
        <v>1676.37</v>
      </c>
      <c r="S16" s="207" t="s">
        <v>957</v>
      </c>
      <c r="T16" s="207">
        <f t="shared" si="7"/>
        <v>1676.37</v>
      </c>
      <c r="U16" s="207" t="s">
        <v>957</v>
      </c>
      <c r="V16" s="207">
        <f t="shared" si="8"/>
        <v>1676.37</v>
      </c>
    </row>
    <row r="17" spans="2:22">
      <c r="B17" s="231" t="s">
        <v>1046</v>
      </c>
      <c r="C17" s="231" t="s">
        <v>607</v>
      </c>
      <c r="D17" s="232">
        <v>1676.37</v>
      </c>
      <c r="E17" s="232" t="s">
        <v>957</v>
      </c>
      <c r="F17" s="207">
        <f t="shared" si="0"/>
        <v>1676.37</v>
      </c>
      <c r="G17" s="232" t="s">
        <v>952</v>
      </c>
      <c r="H17" s="207">
        <f t="shared" si="1"/>
        <v>1676.37</v>
      </c>
      <c r="I17" s="201" t="s">
        <v>957</v>
      </c>
      <c r="J17" s="207">
        <f t="shared" si="2"/>
        <v>1676.37</v>
      </c>
      <c r="K17" s="207" t="s">
        <v>957</v>
      </c>
      <c r="L17" s="207">
        <f t="shared" si="3"/>
        <v>1676.37</v>
      </c>
      <c r="M17" s="207" t="s">
        <v>957</v>
      </c>
      <c r="N17" s="207">
        <f t="shared" si="4"/>
        <v>1676.37</v>
      </c>
      <c r="O17" s="201" t="s">
        <v>957</v>
      </c>
      <c r="P17" s="207">
        <f t="shared" si="5"/>
        <v>1676.37</v>
      </c>
      <c r="Q17" s="201" t="s">
        <v>957</v>
      </c>
      <c r="R17" s="207">
        <f t="shared" si="6"/>
        <v>1676.37</v>
      </c>
      <c r="S17" s="207" t="s">
        <v>957</v>
      </c>
      <c r="T17" s="207">
        <f t="shared" si="7"/>
        <v>1676.37</v>
      </c>
      <c r="U17" s="207" t="s">
        <v>957</v>
      </c>
      <c r="V17" s="207">
        <f t="shared" si="8"/>
        <v>1676.37</v>
      </c>
    </row>
    <row r="18" spans="2:22">
      <c r="B18" s="231" t="s">
        <v>1047</v>
      </c>
      <c r="C18" s="231" t="s">
        <v>607</v>
      </c>
      <c r="D18" s="232">
        <v>1676.37</v>
      </c>
      <c r="E18" s="232" t="s">
        <v>957</v>
      </c>
      <c r="F18" s="207">
        <f t="shared" si="0"/>
        <v>1676.37</v>
      </c>
      <c r="G18" s="232" t="s">
        <v>952</v>
      </c>
      <c r="H18" s="207">
        <f t="shared" si="1"/>
        <v>1676.37</v>
      </c>
      <c r="I18" s="201" t="s">
        <v>957</v>
      </c>
      <c r="J18" s="207">
        <f t="shared" si="2"/>
        <v>1676.37</v>
      </c>
      <c r="K18" s="207" t="s">
        <v>957</v>
      </c>
      <c r="L18" s="207">
        <f t="shared" si="3"/>
        <v>1676.37</v>
      </c>
      <c r="M18" s="207" t="s">
        <v>957</v>
      </c>
      <c r="N18" s="207">
        <f t="shared" si="4"/>
        <v>1676.37</v>
      </c>
      <c r="O18" s="201" t="s">
        <v>957</v>
      </c>
      <c r="P18" s="207">
        <f t="shared" si="5"/>
        <v>1676.37</v>
      </c>
      <c r="Q18" s="201" t="s">
        <v>957</v>
      </c>
      <c r="R18" s="207">
        <f t="shared" si="6"/>
        <v>1676.37</v>
      </c>
      <c r="S18" s="207" t="s">
        <v>957</v>
      </c>
      <c r="T18" s="207">
        <f t="shared" si="7"/>
        <v>1676.37</v>
      </c>
      <c r="U18" s="207" t="s">
        <v>957</v>
      </c>
      <c r="V18" s="207">
        <f t="shared" si="8"/>
        <v>1676.37</v>
      </c>
    </row>
    <row r="19" spans="2:22">
      <c r="B19" s="231" t="s">
        <v>1048</v>
      </c>
      <c r="C19" s="231" t="s">
        <v>607</v>
      </c>
      <c r="D19" s="232">
        <v>1676.37</v>
      </c>
      <c r="E19" s="232" t="s">
        <v>957</v>
      </c>
      <c r="F19" s="207">
        <f t="shared" si="0"/>
        <v>1676.37</v>
      </c>
      <c r="G19" s="232" t="s">
        <v>952</v>
      </c>
      <c r="H19" s="207">
        <f t="shared" si="1"/>
        <v>1676.37</v>
      </c>
      <c r="I19" s="201" t="s">
        <v>957</v>
      </c>
      <c r="J19" s="207">
        <f t="shared" si="2"/>
        <v>1676.37</v>
      </c>
      <c r="K19" s="207" t="s">
        <v>957</v>
      </c>
      <c r="L19" s="207">
        <f t="shared" si="3"/>
        <v>1676.37</v>
      </c>
      <c r="M19" s="207" t="s">
        <v>957</v>
      </c>
      <c r="N19" s="207">
        <f t="shared" si="4"/>
        <v>1676.37</v>
      </c>
      <c r="O19" s="201" t="s">
        <v>957</v>
      </c>
      <c r="P19" s="207">
        <f t="shared" si="5"/>
        <v>1676.37</v>
      </c>
      <c r="Q19" s="201" t="s">
        <v>957</v>
      </c>
      <c r="R19" s="207">
        <f t="shared" si="6"/>
        <v>1676.37</v>
      </c>
      <c r="S19" s="207" t="s">
        <v>957</v>
      </c>
      <c r="T19" s="207">
        <f t="shared" si="7"/>
        <v>1676.37</v>
      </c>
      <c r="U19" s="207" t="s">
        <v>957</v>
      </c>
      <c r="V19" s="207">
        <f t="shared" si="8"/>
        <v>1676.37</v>
      </c>
    </row>
    <row r="20" spans="2:22">
      <c r="B20" s="231" t="s">
        <v>1049</v>
      </c>
      <c r="C20" s="231" t="s">
        <v>607</v>
      </c>
      <c r="D20" s="232">
        <v>1676.37</v>
      </c>
      <c r="E20" s="232" t="s">
        <v>957</v>
      </c>
      <c r="F20" s="207">
        <f t="shared" si="0"/>
        <v>1676.37</v>
      </c>
      <c r="G20" s="232" t="s">
        <v>952</v>
      </c>
      <c r="H20" s="207">
        <f t="shared" si="1"/>
        <v>1676.37</v>
      </c>
      <c r="I20" s="201" t="s">
        <v>957</v>
      </c>
      <c r="J20" s="207">
        <f t="shared" si="2"/>
        <v>1676.37</v>
      </c>
      <c r="K20" s="207" t="s">
        <v>957</v>
      </c>
      <c r="L20" s="207">
        <f t="shared" si="3"/>
        <v>1676.37</v>
      </c>
      <c r="M20" s="207" t="s">
        <v>957</v>
      </c>
      <c r="N20" s="207">
        <f t="shared" si="4"/>
        <v>1676.37</v>
      </c>
      <c r="O20" s="201" t="s">
        <v>957</v>
      </c>
      <c r="P20" s="207">
        <f t="shared" si="5"/>
        <v>1676.37</v>
      </c>
      <c r="Q20" s="201" t="s">
        <v>957</v>
      </c>
      <c r="R20" s="207">
        <f t="shared" si="6"/>
        <v>1676.37</v>
      </c>
      <c r="S20" s="207"/>
      <c r="T20" s="207" t="str">
        <f t="shared" si="7"/>
        <v/>
      </c>
      <c r="U20" s="207" t="s">
        <v>957</v>
      </c>
      <c r="V20" s="207">
        <f t="shared" si="8"/>
        <v>1676.37</v>
      </c>
    </row>
    <row r="21" spans="2:22">
      <c r="B21" s="231" t="s">
        <v>1050</v>
      </c>
      <c r="C21" s="231" t="s">
        <v>607</v>
      </c>
      <c r="D21" s="232">
        <v>701.07</v>
      </c>
      <c r="E21" s="232" t="s">
        <v>957</v>
      </c>
      <c r="F21" s="207">
        <f t="shared" si="0"/>
        <v>701.07</v>
      </c>
      <c r="G21" s="232" t="s">
        <v>952</v>
      </c>
      <c r="H21" s="207">
        <f t="shared" si="1"/>
        <v>701.07</v>
      </c>
      <c r="I21" s="201" t="s">
        <v>957</v>
      </c>
      <c r="J21" s="207">
        <f t="shared" si="2"/>
        <v>701.07</v>
      </c>
      <c r="K21" s="207"/>
      <c r="L21" s="207" t="str">
        <f t="shared" si="3"/>
        <v/>
      </c>
      <c r="M21" s="207" t="s">
        <v>952</v>
      </c>
      <c r="N21" s="207">
        <f t="shared" si="4"/>
        <v>701.07</v>
      </c>
      <c r="O21" s="201" t="s">
        <v>952</v>
      </c>
      <c r="P21" s="207">
        <f t="shared" si="5"/>
        <v>701.07</v>
      </c>
      <c r="Q21" s="201"/>
      <c r="R21" s="207" t="str">
        <f t="shared" si="6"/>
        <v/>
      </c>
      <c r="S21" s="207"/>
      <c r="T21" s="207" t="str">
        <f t="shared" si="7"/>
        <v/>
      </c>
      <c r="U21" s="207"/>
      <c r="V21" s="207" t="str">
        <f t="shared" si="8"/>
        <v/>
      </c>
    </row>
    <row r="22" spans="2:22">
      <c r="B22" s="234"/>
      <c r="C22" s="235"/>
      <c r="D22" s="236">
        <f>SUM(D4:D21)</f>
        <v>21502.829999999994</v>
      </c>
      <c r="E22" s="236"/>
      <c r="F22" s="236">
        <f>SUM(F4:F21)</f>
        <v>21502.829999999994</v>
      </c>
      <c r="G22" s="236"/>
      <c r="H22" s="236">
        <f>SUM(H4:H21)</f>
        <v>21502.829999999994</v>
      </c>
      <c r="I22" s="235"/>
      <c r="J22" s="236">
        <f>SUM(J4:J21)</f>
        <v>17535.629999999994</v>
      </c>
      <c r="K22" s="235"/>
      <c r="L22" s="236">
        <f>SUM(L4:L21)</f>
        <v>17549.459999999995</v>
      </c>
      <c r="M22" s="235"/>
      <c r="N22" s="236">
        <f>SUM(N4:N21)</f>
        <v>21502.829999999994</v>
      </c>
      <c r="O22" s="235"/>
      <c r="P22" s="236">
        <f>SUM(P4:P21)</f>
        <v>20528.789999999994</v>
      </c>
      <c r="Q22" s="235"/>
      <c r="R22" s="236">
        <f>SUM(R4:R21)</f>
        <v>19827.719999999994</v>
      </c>
      <c r="S22" s="235"/>
      <c r="T22" s="236">
        <f>SUM(T4:T21)</f>
        <v>12213.119999999999</v>
      </c>
      <c r="U22" s="235"/>
      <c r="V22" s="236">
        <f>SUM(V4:V21)</f>
        <v>16471.399999999994</v>
      </c>
    </row>
  </sheetData>
  <sortState ref="D2:D205">
    <sortCondition ref="D2"/>
  </sortState>
  <mergeCells count="10">
    <mergeCell ref="E3:F3"/>
    <mergeCell ref="G3:H3"/>
    <mergeCell ref="S3:T3"/>
    <mergeCell ref="U3:V3"/>
    <mergeCell ref="I2:V2"/>
    <mergeCell ref="I3:J3"/>
    <mergeCell ref="K3:L3"/>
    <mergeCell ref="M3:N3"/>
    <mergeCell ref="O3:P3"/>
    <mergeCell ref="Q3:R3"/>
  </mergeCells>
  <pageMargins left="0.51181102362204722" right="0.51181102362204722" top="0.78740157480314965" bottom="0.78740157480314965" header="0.31496062992125984" footer="0.31496062992125984"/>
  <pageSetup paperSize="9" scale="80" orientation="landscape" r:id="rId1"/>
</worksheet>
</file>

<file path=xl/worksheets/sheet16.xml><?xml version="1.0" encoding="utf-8"?>
<worksheet xmlns="http://schemas.openxmlformats.org/spreadsheetml/2006/main" xmlns:r="http://schemas.openxmlformats.org/officeDocument/2006/relationships">
  <dimension ref="A1:J67"/>
  <sheetViews>
    <sheetView workbookViewId="0"/>
  </sheetViews>
  <sheetFormatPr defaultColWidth="9" defaultRowHeight="15.6"/>
  <cols>
    <col min="1" max="1" width="3.3984375" style="1" customWidth="1"/>
    <col min="2" max="2" width="9" style="1"/>
    <col min="3" max="3" width="45.69921875" style="1" customWidth="1"/>
    <col min="4" max="8" width="12.59765625" style="1" customWidth="1"/>
    <col min="9" max="9" width="13.59765625" style="1" customWidth="1"/>
    <col min="10" max="16384" width="9" style="1"/>
  </cols>
  <sheetData>
    <row r="1" spans="1:10">
      <c r="A1" s="2" t="s">
        <v>0</v>
      </c>
      <c r="B1" s="3"/>
      <c r="C1" s="2"/>
      <c r="D1" s="2"/>
      <c r="E1" s="2"/>
      <c r="F1" s="2"/>
      <c r="G1" s="2"/>
      <c r="H1" s="2"/>
      <c r="I1" s="2"/>
      <c r="J1" s="2"/>
    </row>
    <row r="2" spans="1:10">
      <c r="A2" s="2"/>
      <c r="B2" s="1009" t="s">
        <v>175</v>
      </c>
      <c r="C2" s="1010"/>
      <c r="D2" s="1010"/>
      <c r="E2" s="1010"/>
      <c r="F2" s="1010"/>
      <c r="G2" s="1010"/>
      <c r="H2" s="1011"/>
      <c r="I2" s="80" t="s">
        <v>1416</v>
      </c>
      <c r="J2" s="2"/>
    </row>
    <row r="3" spans="1:10">
      <c r="A3" s="2"/>
      <c r="B3" s="2"/>
      <c r="C3" s="2"/>
      <c r="D3" s="2"/>
      <c r="E3" s="2"/>
      <c r="F3" s="2"/>
      <c r="G3" s="2"/>
      <c r="H3" s="2"/>
      <c r="I3" s="21"/>
      <c r="J3" s="2"/>
    </row>
    <row r="4" spans="1:10">
      <c r="A4" s="2"/>
      <c r="B4" s="14" t="s">
        <v>86</v>
      </c>
      <c r="C4" s="78" t="str">
        <f>VLOOKUP(B4,$B$23:$I$59,2,FALSE)</f>
        <v>PLANTIO DE GRAMA</v>
      </c>
      <c r="D4" s="71"/>
      <c r="E4" s="71"/>
      <c r="F4" s="79"/>
      <c r="G4" s="73"/>
      <c r="H4" s="71"/>
      <c r="I4" s="81">
        <f>VLOOKUP(B4,$B$23:$I$59,8,FALSE)</f>
        <v>1151.75</v>
      </c>
      <c r="J4" s="2"/>
    </row>
    <row r="5" spans="1:10">
      <c r="A5" s="2"/>
      <c r="B5" s="30"/>
      <c r="C5" s="31"/>
      <c r="D5" s="32"/>
      <c r="E5" s="32"/>
      <c r="F5" s="13"/>
      <c r="G5" s="33"/>
      <c r="H5" s="32"/>
      <c r="I5" s="34"/>
      <c r="J5" s="2"/>
    </row>
    <row r="6" spans="1:10">
      <c r="A6" s="2"/>
      <c r="B6" s="14" t="s">
        <v>87</v>
      </c>
      <c r="C6" s="78" t="str">
        <f>VLOOKUP(B6,$B$23:$I$59,2,FALSE)</f>
        <v>PLANTIO DE ARBUSTO COM ALTURA 50 A 100 CM</v>
      </c>
      <c r="D6" s="71"/>
      <c r="E6" s="71"/>
      <c r="F6" s="79"/>
      <c r="G6" s="73"/>
      <c r="H6" s="71"/>
      <c r="I6" s="81">
        <f>VLOOKUP(B6,$B$23:$I$59,8,FALSE)</f>
        <v>59</v>
      </c>
      <c r="J6" s="2"/>
    </row>
    <row r="7" spans="1:10">
      <c r="A7" s="2"/>
      <c r="B7" s="30"/>
      <c r="C7" s="31"/>
      <c r="D7" s="32"/>
      <c r="E7" s="32"/>
      <c r="F7" s="13"/>
      <c r="G7" s="33"/>
      <c r="H7" s="32"/>
      <c r="I7" s="34"/>
      <c r="J7" s="2"/>
    </row>
    <row r="8" spans="1:10">
      <c r="A8" s="2"/>
      <c r="B8" s="77" t="s">
        <v>98</v>
      </c>
      <c r="C8" s="78" t="str">
        <f>VLOOKUP(B8,$B$23:$I$59,2,FALSE)</f>
        <v>PLANTIO DE ARBUSTO COM ALTURA MAIOR QUE 1,00 M</v>
      </c>
      <c r="D8" s="82"/>
      <c r="E8" s="82"/>
      <c r="F8" s="83"/>
      <c r="G8" s="84"/>
      <c r="H8" s="82"/>
      <c r="I8" s="81">
        <f>VLOOKUP(B8,$B$23:$I$59,8,FALSE)</f>
        <v>3</v>
      </c>
      <c r="J8" s="2"/>
    </row>
    <row r="9" spans="1:10">
      <c r="A9" s="2"/>
      <c r="B9" s="30"/>
      <c r="C9" s="31"/>
      <c r="D9" s="32"/>
      <c r="E9" s="32"/>
      <c r="F9" s="13"/>
      <c r="G9" s="33"/>
      <c r="H9" s="32"/>
      <c r="I9" s="34"/>
      <c r="J9" s="2"/>
    </row>
    <row r="10" spans="1:10">
      <c r="A10" s="2"/>
      <c r="B10" s="77" t="s">
        <v>104</v>
      </c>
      <c r="C10" s="78" t="str">
        <f>VLOOKUP(B10,$B$23:$I$59,2,FALSE)</f>
        <v>PLANTIO DE ARBUSTO COM ALTURA MAIOR QUE 2,00 M</v>
      </c>
      <c r="D10" s="82"/>
      <c r="E10" s="82"/>
      <c r="F10" s="83"/>
      <c r="G10" s="84"/>
      <c r="H10" s="82"/>
      <c r="I10" s="81">
        <f>VLOOKUP(B10,$B$23:$I$59,8,FALSE)</f>
        <v>4</v>
      </c>
      <c r="J10" s="2"/>
    </row>
    <row r="11" spans="1:10">
      <c r="A11" s="2"/>
      <c r="B11" s="30"/>
      <c r="C11" s="31"/>
      <c r="D11" s="32"/>
      <c r="E11" s="32"/>
      <c r="F11" s="13"/>
      <c r="G11" s="33"/>
      <c r="H11" s="32"/>
      <c r="I11" s="34"/>
      <c r="J11" s="2"/>
    </row>
    <row r="12" spans="1:10">
      <c r="A12" s="2"/>
      <c r="B12" s="14" t="s">
        <v>118</v>
      </c>
      <c r="C12" s="78" t="str">
        <f>VLOOKUP(B12,$B$23:$I$59,2,FALSE)</f>
        <v>MEIO FIO</v>
      </c>
      <c r="D12" s="71"/>
      <c r="E12" s="71"/>
      <c r="F12" s="79"/>
      <c r="G12" s="73"/>
      <c r="H12" s="71"/>
      <c r="I12" s="81">
        <f>VLOOKUP(B12,$B$23:$I$59,8,FALSE)</f>
        <v>1673.8</v>
      </c>
      <c r="J12" s="2"/>
    </row>
    <row r="13" spans="1:10">
      <c r="A13" s="2"/>
      <c r="B13" s="30"/>
      <c r="C13" s="31"/>
      <c r="D13" s="32"/>
      <c r="E13" s="32"/>
      <c r="F13" s="13"/>
      <c r="G13" s="33"/>
      <c r="H13" s="32"/>
      <c r="I13" s="34"/>
      <c r="J13" s="2"/>
    </row>
    <row r="14" spans="1:10">
      <c r="A14" s="2"/>
      <c r="B14" s="14" t="s">
        <v>127</v>
      </c>
      <c r="C14" s="78" t="s">
        <v>1506</v>
      </c>
      <c r="D14" s="71"/>
      <c r="E14" s="71"/>
      <c r="F14" s="79"/>
      <c r="G14" s="73"/>
      <c r="H14" s="71"/>
      <c r="I14" s="81">
        <f>VLOOKUP(B14,$B$23:$I$59,8,FALSE)</f>
        <v>1673.8</v>
      </c>
      <c r="J14" s="2"/>
    </row>
    <row r="15" spans="1:10">
      <c r="A15" s="2"/>
      <c r="B15" s="30"/>
      <c r="C15" s="31"/>
      <c r="D15" s="32"/>
      <c r="E15" s="32"/>
      <c r="F15" s="13"/>
      <c r="G15" s="33"/>
      <c r="H15" s="32"/>
      <c r="I15" s="34"/>
      <c r="J15" s="2"/>
    </row>
    <row r="16" spans="1:10">
      <c r="A16" s="2"/>
      <c r="B16" s="14" t="s">
        <v>129</v>
      </c>
      <c r="C16" s="78" t="str">
        <f>VLOOKUP(B16,$B$23:$I$59,2,FALSE)</f>
        <v xml:space="preserve">CALÇADA </v>
      </c>
      <c r="D16" s="71"/>
      <c r="E16" s="71"/>
      <c r="F16" s="79"/>
      <c r="G16" s="73"/>
      <c r="H16" s="71"/>
      <c r="I16" s="81">
        <f>VLOOKUP(B16,$B$23:$I$59,8,FALSE)</f>
        <v>0</v>
      </c>
      <c r="J16" s="2"/>
    </row>
    <row r="17" spans="1:10">
      <c r="A17" s="2"/>
      <c r="B17" s="30"/>
      <c r="C17" s="31"/>
      <c r="D17" s="32"/>
      <c r="E17" s="32"/>
      <c r="F17" s="13"/>
      <c r="G17" s="33"/>
      <c r="H17" s="32"/>
      <c r="I17" s="34"/>
      <c r="J17" s="2"/>
    </row>
    <row r="18" spans="1:10">
      <c r="A18" s="2"/>
      <c r="B18" s="14" t="s">
        <v>149</v>
      </c>
      <c r="C18" s="78" t="s">
        <v>1508</v>
      </c>
      <c r="D18" s="71"/>
      <c r="E18" s="71"/>
      <c r="F18" s="79"/>
      <c r="G18" s="73"/>
      <c r="H18" s="71"/>
      <c r="I18" s="81">
        <f>VLOOKUP(B18,$B$23:$I$59,8,FALSE)</f>
        <v>81</v>
      </c>
      <c r="J18" s="2"/>
    </row>
    <row r="19" spans="1:10">
      <c r="A19" s="2"/>
      <c r="B19" s="30"/>
      <c r="C19" s="31"/>
      <c r="D19" s="32"/>
      <c r="E19" s="32"/>
      <c r="F19" s="13"/>
      <c r="G19" s="33"/>
      <c r="H19" s="32"/>
      <c r="I19" s="34"/>
      <c r="J19" s="2"/>
    </row>
    <row r="20" spans="1:10">
      <c r="A20" s="2"/>
      <c r="B20" s="30"/>
      <c r="C20" s="31"/>
      <c r="D20" s="32"/>
      <c r="E20" s="32"/>
      <c r="F20" s="13"/>
      <c r="G20" s="33"/>
      <c r="H20" s="32"/>
      <c r="I20" s="34"/>
      <c r="J20" s="2"/>
    </row>
    <row r="21" spans="1:10">
      <c r="A21" s="2"/>
      <c r="B21" s="10" t="s">
        <v>1</v>
      </c>
      <c r="C21" s="10" t="s">
        <v>2</v>
      </c>
      <c r="D21" s="1012" t="s">
        <v>1417</v>
      </c>
      <c r="E21" s="1013"/>
      <c r="F21" s="1013"/>
      <c r="G21" s="1014"/>
      <c r="H21" s="253" t="s">
        <v>8</v>
      </c>
      <c r="I21" s="80" t="s">
        <v>1418</v>
      </c>
      <c r="J21" s="2"/>
    </row>
    <row r="22" spans="1:10">
      <c r="A22" s="2"/>
      <c r="B22" s="21"/>
      <c r="C22" s="21"/>
      <c r="D22" s="21"/>
      <c r="E22" s="21"/>
      <c r="F22" s="21"/>
      <c r="G22" s="74"/>
      <c r="H22" s="21"/>
      <c r="I22" s="21"/>
      <c r="J22" s="2"/>
    </row>
    <row r="23" spans="1:10">
      <c r="A23" s="2"/>
      <c r="B23" s="14" t="s">
        <v>86</v>
      </c>
      <c r="C23" s="1015" t="s">
        <v>1491</v>
      </c>
      <c r="D23" s="1015"/>
      <c r="E23" s="1015"/>
      <c r="F23" s="1015"/>
      <c r="G23" s="1015"/>
      <c r="H23" s="1015"/>
      <c r="I23" s="224">
        <f>SUM(I24:I29)</f>
        <v>1151.75</v>
      </c>
      <c r="J23" s="2"/>
    </row>
    <row r="24" spans="1:10">
      <c r="A24" s="16"/>
      <c r="B24" s="221"/>
      <c r="C24" s="17" t="s">
        <v>1492</v>
      </c>
      <c r="D24" s="1001">
        <v>73.349999999999994</v>
      </c>
      <c r="E24" s="1001"/>
      <c r="F24" s="1001"/>
      <c r="G24" s="1001"/>
      <c r="H24" s="252">
        <v>1</v>
      </c>
      <c r="I24" s="225">
        <f t="shared" ref="I24:I29" si="0">D24*H24</f>
        <v>73.349999999999994</v>
      </c>
      <c r="J24" s="16"/>
    </row>
    <row r="25" spans="1:10">
      <c r="A25" s="16"/>
      <c r="B25" s="221"/>
      <c r="C25" s="17" t="s">
        <v>1493</v>
      </c>
      <c r="D25" s="1001">
        <f>22.4*4</f>
        <v>89.6</v>
      </c>
      <c r="E25" s="1001"/>
      <c r="F25" s="1001"/>
      <c r="G25" s="1001"/>
      <c r="H25" s="252">
        <v>1</v>
      </c>
      <c r="I25" s="225">
        <f t="shared" si="0"/>
        <v>89.6</v>
      </c>
      <c r="J25" s="16"/>
    </row>
    <row r="26" spans="1:10">
      <c r="A26" s="16"/>
      <c r="B26" s="221"/>
      <c r="C26" s="17" t="s">
        <v>1494</v>
      </c>
      <c r="D26" s="1001">
        <f>62.8+59.8+67.6+12.7</f>
        <v>202.89999999999998</v>
      </c>
      <c r="E26" s="1001"/>
      <c r="F26" s="1001"/>
      <c r="G26" s="1001"/>
      <c r="H26" s="252">
        <v>1</v>
      </c>
      <c r="I26" s="225">
        <f t="shared" si="0"/>
        <v>202.89999999999998</v>
      </c>
      <c r="J26" s="16"/>
    </row>
    <row r="27" spans="1:10">
      <c r="A27" s="16"/>
      <c r="B27" s="14"/>
      <c r="C27" s="226" t="s">
        <v>1495</v>
      </c>
      <c r="D27" s="1001">
        <f>16.1+7.3+27.45+6.9</f>
        <v>57.75</v>
      </c>
      <c r="E27" s="1001"/>
      <c r="F27" s="1001"/>
      <c r="G27" s="1001"/>
      <c r="H27" s="254">
        <v>1</v>
      </c>
      <c r="I27" s="225">
        <f t="shared" si="0"/>
        <v>57.75</v>
      </c>
      <c r="J27" s="16"/>
    </row>
    <row r="28" spans="1:10">
      <c r="A28" s="16"/>
      <c r="B28" s="14"/>
      <c r="C28" s="226" t="s">
        <v>1496</v>
      </c>
      <c r="D28" s="1001">
        <f>128.4+10.8+5.15+23.15+70.1+31.55+269.45</f>
        <v>538.6</v>
      </c>
      <c r="E28" s="1001"/>
      <c r="F28" s="1001"/>
      <c r="G28" s="1001"/>
      <c r="H28" s="254">
        <v>1</v>
      </c>
      <c r="I28" s="225">
        <f t="shared" si="0"/>
        <v>538.6</v>
      </c>
      <c r="J28" s="16"/>
    </row>
    <row r="29" spans="1:10">
      <c r="A29" s="16"/>
      <c r="B29" s="14"/>
      <c r="C29" s="226" t="s">
        <v>1497</v>
      </c>
      <c r="D29" s="1001">
        <f>40.35+143.75+5.45</f>
        <v>189.54999999999998</v>
      </c>
      <c r="E29" s="1001"/>
      <c r="F29" s="1001"/>
      <c r="G29" s="1001"/>
      <c r="H29" s="254">
        <v>1</v>
      </c>
      <c r="I29" s="225">
        <f t="shared" si="0"/>
        <v>189.54999999999998</v>
      </c>
      <c r="J29" s="16"/>
    </row>
    <row r="30" spans="1:10">
      <c r="A30" s="2"/>
      <c r="B30" s="21"/>
      <c r="C30" s="22"/>
      <c r="D30" s="13"/>
      <c r="E30" s="13"/>
      <c r="F30" s="13"/>
      <c r="G30" s="13"/>
      <c r="H30" s="13"/>
      <c r="I30" s="13"/>
      <c r="J30" s="2"/>
    </row>
    <row r="31" spans="1:10">
      <c r="B31" s="14" t="s">
        <v>87</v>
      </c>
      <c r="C31" s="1015" t="s">
        <v>1498</v>
      </c>
      <c r="D31" s="1015" t="s">
        <v>0</v>
      </c>
      <c r="E31" s="1015" t="s">
        <v>0</v>
      </c>
      <c r="F31" s="1015" t="s">
        <v>0</v>
      </c>
      <c r="G31" s="1015" t="s">
        <v>0</v>
      </c>
      <c r="H31" s="1015" t="s">
        <v>0</v>
      </c>
      <c r="I31" s="224">
        <f>SUM(I32:I35)</f>
        <v>59</v>
      </c>
    </row>
    <row r="32" spans="1:10">
      <c r="B32" s="14"/>
      <c r="C32" s="17" t="s">
        <v>1494</v>
      </c>
      <c r="D32" s="1016">
        <v>1</v>
      </c>
      <c r="E32" s="1016"/>
      <c r="F32" s="1016"/>
      <c r="G32" s="1016"/>
      <c r="H32" s="254">
        <v>15</v>
      </c>
      <c r="I32" s="228">
        <f>D32*H32</f>
        <v>15</v>
      </c>
    </row>
    <row r="33" spans="2:9">
      <c r="B33" s="14"/>
      <c r="C33" s="226" t="s">
        <v>1495</v>
      </c>
      <c r="D33" s="1001">
        <v>1</v>
      </c>
      <c r="E33" s="1001"/>
      <c r="F33" s="1001"/>
      <c r="G33" s="1001"/>
      <c r="H33" s="254">
        <v>13</v>
      </c>
      <c r="I33" s="225">
        <f>D33*H33</f>
        <v>13</v>
      </c>
    </row>
    <row r="34" spans="2:9">
      <c r="B34" s="14"/>
      <c r="C34" s="226" t="s">
        <v>1496</v>
      </c>
      <c r="D34" s="1001">
        <v>1</v>
      </c>
      <c r="E34" s="1001"/>
      <c r="F34" s="1001"/>
      <c r="G34" s="1001"/>
      <c r="H34" s="254">
        <v>20</v>
      </c>
      <c r="I34" s="225">
        <f>D34*H34</f>
        <v>20</v>
      </c>
    </row>
    <row r="35" spans="2:9">
      <c r="B35" s="14"/>
      <c r="C35" s="226" t="s">
        <v>1497</v>
      </c>
      <c r="D35" s="1001">
        <v>1</v>
      </c>
      <c r="E35" s="1001"/>
      <c r="F35" s="1001"/>
      <c r="G35" s="1001"/>
      <c r="H35" s="254">
        <v>11</v>
      </c>
      <c r="I35" s="225">
        <f>D35*H35</f>
        <v>11</v>
      </c>
    </row>
    <row r="37" spans="2:9">
      <c r="B37" s="14" t="s">
        <v>98</v>
      </c>
      <c r="C37" s="1015" t="s">
        <v>1499</v>
      </c>
      <c r="D37" s="1015" t="s">
        <v>0</v>
      </c>
      <c r="E37" s="1015" t="s">
        <v>0</v>
      </c>
      <c r="F37" s="1015" t="s">
        <v>0</v>
      </c>
      <c r="G37" s="1015" t="s">
        <v>0</v>
      </c>
      <c r="H37" s="1015" t="s">
        <v>0</v>
      </c>
      <c r="I37" s="224">
        <f>SUM(I38:I38)</f>
        <v>3</v>
      </c>
    </row>
    <row r="38" spans="2:9">
      <c r="B38" s="14"/>
      <c r="C38" s="226" t="s">
        <v>1496</v>
      </c>
      <c r="D38" s="1001">
        <v>1</v>
      </c>
      <c r="E38" s="1001"/>
      <c r="F38" s="1001"/>
      <c r="G38" s="1001"/>
      <c r="H38" s="254">
        <v>3</v>
      </c>
      <c r="I38" s="225">
        <f>D38*H38</f>
        <v>3</v>
      </c>
    </row>
    <row r="40" spans="2:9">
      <c r="B40" s="14" t="s">
        <v>104</v>
      </c>
      <c r="C40" s="1015" t="s">
        <v>1500</v>
      </c>
      <c r="D40" s="1015" t="s">
        <v>0</v>
      </c>
      <c r="E40" s="1015" t="s">
        <v>0</v>
      </c>
      <c r="F40" s="1015" t="s">
        <v>0</v>
      </c>
      <c r="G40" s="1015" t="s">
        <v>0</v>
      </c>
      <c r="H40" s="1015" t="s">
        <v>0</v>
      </c>
      <c r="I40" s="76">
        <f>SUM(I41:I41)</f>
        <v>4</v>
      </c>
    </row>
    <row r="41" spans="2:9">
      <c r="B41" s="14"/>
      <c r="C41" s="17" t="s">
        <v>1494</v>
      </c>
      <c r="D41" s="1001">
        <v>1</v>
      </c>
      <c r="E41" s="1001"/>
      <c r="F41" s="1001"/>
      <c r="G41" s="1001"/>
      <c r="H41" s="252">
        <v>4</v>
      </c>
      <c r="I41" s="228">
        <f>D41*H41</f>
        <v>4</v>
      </c>
    </row>
    <row r="43" spans="2:9">
      <c r="B43" s="14" t="s">
        <v>118</v>
      </c>
      <c r="C43" s="1004" t="s">
        <v>1501</v>
      </c>
      <c r="D43" s="1004"/>
      <c r="E43" s="1004"/>
      <c r="F43" s="1004"/>
      <c r="G43" s="1004"/>
      <c r="H43" s="1004"/>
      <c r="I43" s="76">
        <f>SUM(I44:I45)</f>
        <v>1673.8</v>
      </c>
    </row>
    <row r="44" spans="2:9">
      <c r="B44" s="14"/>
      <c r="C44" s="17"/>
      <c r="D44" s="1001"/>
      <c r="E44" s="1001"/>
      <c r="F44" s="1001"/>
      <c r="G44" s="1001"/>
      <c r="H44" s="252"/>
      <c r="I44" s="225">
        <v>1673.8</v>
      </c>
    </row>
    <row r="45" spans="2:9">
      <c r="B45" s="14"/>
      <c r="C45" s="17"/>
      <c r="D45" s="1001"/>
      <c r="E45" s="1001"/>
      <c r="F45" s="1001"/>
      <c r="G45" s="1001"/>
      <c r="H45" s="254"/>
      <c r="I45" s="225"/>
    </row>
    <row r="47" spans="2:9">
      <c r="B47" s="14" t="s">
        <v>127</v>
      </c>
      <c r="C47" s="1004" t="s">
        <v>1506</v>
      </c>
      <c r="D47" s="1004"/>
      <c r="E47" s="1004"/>
      <c r="F47" s="1004"/>
      <c r="G47" s="1004"/>
      <c r="H47" s="1004"/>
      <c r="I47" s="76">
        <f>SUM(I48:I49)</f>
        <v>1673.8</v>
      </c>
    </row>
    <row r="48" spans="2:9">
      <c r="B48" s="14"/>
      <c r="C48" s="17"/>
      <c r="D48" s="1001"/>
      <c r="E48" s="1001"/>
      <c r="F48" s="1001"/>
      <c r="G48" s="1001"/>
      <c r="H48" s="252"/>
      <c r="I48" s="225">
        <v>1673.8</v>
      </c>
    </row>
    <row r="49" spans="2:9">
      <c r="B49" s="14"/>
      <c r="C49" s="17"/>
      <c r="D49" s="1001"/>
      <c r="E49" s="1001"/>
      <c r="F49" s="1001"/>
      <c r="G49" s="1001"/>
      <c r="H49" s="254"/>
      <c r="I49" s="225"/>
    </row>
    <row r="51" spans="2:9">
      <c r="B51" s="14" t="s">
        <v>129</v>
      </c>
      <c r="C51" s="1004" t="s">
        <v>1507</v>
      </c>
      <c r="D51" s="1004"/>
      <c r="E51" s="1004"/>
      <c r="F51" s="1004"/>
      <c r="G51" s="1004"/>
      <c r="H51" s="1004"/>
      <c r="I51" s="76">
        <f>SUM(I52:I53)</f>
        <v>0</v>
      </c>
    </row>
    <row r="52" spans="2:9">
      <c r="B52" s="14"/>
      <c r="C52" s="17"/>
      <c r="D52" s="1001"/>
      <c r="E52" s="1001"/>
      <c r="F52" s="1001"/>
      <c r="G52" s="1001"/>
      <c r="H52" s="252"/>
      <c r="I52" s="225"/>
    </row>
    <row r="53" spans="2:9">
      <c r="B53" s="14"/>
      <c r="C53" s="17"/>
      <c r="D53" s="1001"/>
      <c r="E53" s="1001"/>
      <c r="F53" s="1001"/>
      <c r="G53" s="1001"/>
      <c r="H53" s="254"/>
      <c r="I53" s="225"/>
    </row>
    <row r="55" spans="2:9">
      <c r="B55" s="14" t="s">
        <v>149</v>
      </c>
      <c r="C55" s="1004" t="s">
        <v>1509</v>
      </c>
      <c r="D55" s="1004"/>
      <c r="E55" s="1004"/>
      <c r="F55" s="1004"/>
      <c r="G55" s="1004"/>
      <c r="H55" s="1004"/>
      <c r="I55" s="76">
        <f>SUM(I56:I58)</f>
        <v>81</v>
      </c>
    </row>
    <row r="56" spans="2:9">
      <c r="B56" s="14"/>
      <c r="C56" s="17" t="s">
        <v>1510</v>
      </c>
      <c r="D56" s="1001">
        <v>2.8</v>
      </c>
      <c r="E56" s="1001"/>
      <c r="F56" s="1001"/>
      <c r="G56" s="1001"/>
      <c r="H56" s="252">
        <v>10</v>
      </c>
      <c r="I56" s="225">
        <f>D56*H56</f>
        <v>28</v>
      </c>
    </row>
    <row r="57" spans="2:9">
      <c r="B57" s="14"/>
      <c r="C57" s="17" t="s">
        <v>1511</v>
      </c>
      <c r="D57" s="1001">
        <v>5.5</v>
      </c>
      <c r="E57" s="1001"/>
      <c r="F57" s="1001"/>
      <c r="G57" s="1001"/>
      <c r="H57" s="254">
        <v>1</v>
      </c>
      <c r="I57" s="225">
        <f>D57*H57</f>
        <v>5.5</v>
      </c>
    </row>
    <row r="58" spans="2:9">
      <c r="B58" s="14"/>
      <c r="C58" s="17" t="s">
        <v>1511</v>
      </c>
      <c r="D58" s="1001">
        <v>47.5</v>
      </c>
      <c r="E58" s="1001"/>
      <c r="F58" s="1001"/>
      <c r="G58" s="1001"/>
      <c r="H58" s="254">
        <v>1</v>
      </c>
      <c r="I58" s="225">
        <f>D58*H58</f>
        <v>47.5</v>
      </c>
    </row>
    <row r="60" spans="2:9">
      <c r="B60" s="14" t="s">
        <v>152</v>
      </c>
      <c r="C60" s="1004" t="s">
        <v>1514</v>
      </c>
      <c r="D60" s="1004"/>
      <c r="E60" s="1004"/>
      <c r="F60" s="1004"/>
      <c r="G60" s="1004"/>
      <c r="H60" s="1004"/>
      <c r="I60" s="76">
        <f>SUM(I61:I63)</f>
        <v>8783.44</v>
      </c>
    </row>
    <row r="61" spans="2:9">
      <c r="B61" s="14"/>
      <c r="C61" s="17" t="s">
        <v>1515</v>
      </c>
      <c r="D61" s="1001">
        <f>impermeabilização!F69</f>
        <v>7025.92</v>
      </c>
      <c r="E61" s="1001"/>
      <c r="F61" s="1001"/>
      <c r="G61" s="1001"/>
      <c r="H61" s="255">
        <v>1</v>
      </c>
      <c r="I61" s="225">
        <f>D61*H61</f>
        <v>7025.92</v>
      </c>
    </row>
    <row r="62" spans="2:9">
      <c r="B62" s="14"/>
      <c r="C62" s="17" t="s">
        <v>1517</v>
      </c>
      <c r="D62" s="1001">
        <f>1496.95-275-85.57-61.82</f>
        <v>1074.5600000000002</v>
      </c>
      <c r="E62" s="1001"/>
      <c r="F62" s="1001"/>
      <c r="G62" s="1001"/>
      <c r="H62" s="256">
        <v>1</v>
      </c>
      <c r="I62" s="225">
        <f>D62*H62</f>
        <v>1074.5600000000002</v>
      </c>
    </row>
    <row r="63" spans="2:9">
      <c r="B63" s="14"/>
      <c r="C63" s="17" t="s">
        <v>1516</v>
      </c>
      <c r="D63" s="1001">
        <f>632.31+50.65</f>
        <v>682.95999999999992</v>
      </c>
      <c r="E63" s="1001"/>
      <c r="F63" s="1001"/>
      <c r="G63" s="1001"/>
      <c r="H63" s="256">
        <v>1</v>
      </c>
      <c r="I63" s="225">
        <f>D63*H63</f>
        <v>682.95999999999992</v>
      </c>
    </row>
    <row r="65" spans="2:9">
      <c r="B65" s="14" t="s">
        <v>154</v>
      </c>
      <c r="C65" s="1004" t="s">
        <v>1520</v>
      </c>
      <c r="D65" s="1004"/>
      <c r="E65" s="1004"/>
      <c r="F65" s="1004"/>
      <c r="G65" s="1004"/>
      <c r="H65" s="1004"/>
      <c r="I65" s="76">
        <f>SUM(I66:I67)</f>
        <v>15.93</v>
      </c>
    </row>
    <row r="66" spans="2:9">
      <c r="B66" s="14"/>
      <c r="C66" s="17" t="s">
        <v>1521</v>
      </c>
      <c r="D66" s="1001">
        <v>1.77</v>
      </c>
      <c r="E66" s="1001"/>
      <c r="F66" s="1001"/>
      <c r="G66" s="1001"/>
      <c r="H66" s="268">
        <v>9</v>
      </c>
      <c r="I66" s="225">
        <f>D66*H66</f>
        <v>15.93</v>
      </c>
    </row>
    <row r="67" spans="2:9">
      <c r="B67" s="14"/>
      <c r="C67" s="17"/>
      <c r="D67" s="1001"/>
      <c r="E67" s="1001"/>
      <c r="F67" s="1001"/>
      <c r="G67" s="1001"/>
      <c r="H67" s="269"/>
      <c r="I67" s="225"/>
    </row>
  </sheetData>
  <mergeCells count="38">
    <mergeCell ref="C65:H65"/>
    <mergeCell ref="D66:G66"/>
    <mergeCell ref="D67:G67"/>
    <mergeCell ref="D32:G32"/>
    <mergeCell ref="D49:G49"/>
    <mergeCell ref="D34:G34"/>
    <mergeCell ref="D35:G35"/>
    <mergeCell ref="C37:H37"/>
    <mergeCell ref="D38:G38"/>
    <mergeCell ref="C40:H40"/>
    <mergeCell ref="D41:G41"/>
    <mergeCell ref="C43:H43"/>
    <mergeCell ref="D44:G44"/>
    <mergeCell ref="D45:G45"/>
    <mergeCell ref="C47:H47"/>
    <mergeCell ref="D48:G48"/>
    <mergeCell ref="D26:G26"/>
    <mergeCell ref="D27:G27"/>
    <mergeCell ref="D28:G28"/>
    <mergeCell ref="D29:G29"/>
    <mergeCell ref="C31:H31"/>
    <mergeCell ref="B2:H2"/>
    <mergeCell ref="D21:G21"/>
    <mergeCell ref="C23:H23"/>
    <mergeCell ref="D24:G24"/>
    <mergeCell ref="D25:G25"/>
    <mergeCell ref="C60:H60"/>
    <mergeCell ref="D61:G61"/>
    <mergeCell ref="D62:G62"/>
    <mergeCell ref="D63:G63"/>
    <mergeCell ref="D33:G33"/>
    <mergeCell ref="D58:G58"/>
    <mergeCell ref="C51:H51"/>
    <mergeCell ref="D52:G52"/>
    <mergeCell ref="D53:G53"/>
    <mergeCell ref="C55:H55"/>
    <mergeCell ref="D56:G56"/>
    <mergeCell ref="D57:G57"/>
  </mergeCells>
  <pageMargins left="0.511811024" right="0.511811024" top="0.78740157499999996" bottom="0.78740157499999996" header="0.31496062000000002" footer="0.31496062000000002"/>
  <pageSetup paperSize="9" orientation="portrait" r:id="rId1"/>
</worksheet>
</file>

<file path=xl/worksheets/sheet17.xml><?xml version="1.0" encoding="utf-8"?>
<worksheet xmlns="http://schemas.openxmlformats.org/spreadsheetml/2006/main" xmlns:r="http://schemas.openxmlformats.org/officeDocument/2006/relationships">
  <dimension ref="C4:D22"/>
  <sheetViews>
    <sheetView workbookViewId="0"/>
  </sheetViews>
  <sheetFormatPr defaultRowHeight="15.6"/>
  <sheetData>
    <row r="4" spans="3:4">
      <c r="C4" s="262" t="s">
        <v>1502</v>
      </c>
      <c r="D4" s="263"/>
    </row>
    <row r="5" spans="3:4">
      <c r="C5" s="263"/>
      <c r="D5" s="263"/>
    </row>
    <row r="6" spans="3:4">
      <c r="C6" s="257" t="s">
        <v>958</v>
      </c>
      <c r="D6" s="257" t="s">
        <v>956</v>
      </c>
    </row>
    <row r="7" spans="3:4">
      <c r="C7" s="264">
        <v>22.5</v>
      </c>
      <c r="D7" s="264">
        <f>(2.1+5.1)*201</f>
        <v>1447.1999999999998</v>
      </c>
    </row>
    <row r="8" spans="3:4">
      <c r="C8" s="264">
        <v>27</v>
      </c>
      <c r="D8" s="265"/>
    </row>
    <row r="9" spans="3:4">
      <c r="C9" s="264">
        <v>28.1</v>
      </c>
      <c r="D9" s="265"/>
    </row>
    <row r="10" spans="3:4">
      <c r="C10" s="264">
        <v>7.8</v>
      </c>
      <c r="D10" s="265"/>
    </row>
    <row r="11" spans="3:4">
      <c r="C11" s="264">
        <v>19</v>
      </c>
      <c r="D11" s="265"/>
    </row>
    <row r="12" spans="3:4">
      <c r="C12" s="264">
        <f>2.5*34</f>
        <v>85</v>
      </c>
      <c r="D12" s="265"/>
    </row>
    <row r="13" spans="3:4">
      <c r="C13" s="264">
        <f>5.1*12+18</f>
        <v>79.199999999999989</v>
      </c>
      <c r="D13" s="265"/>
    </row>
    <row r="14" spans="3:4">
      <c r="C14" s="264">
        <v>12.55</v>
      </c>
      <c r="D14" s="265"/>
    </row>
    <row r="15" spans="3:4">
      <c r="C15" s="264">
        <v>12.55</v>
      </c>
      <c r="D15" s="265"/>
    </row>
    <row r="16" spans="3:4">
      <c r="C16" s="264">
        <f>5.1*15</f>
        <v>76.5</v>
      </c>
      <c r="D16" s="265"/>
    </row>
    <row r="17" spans="3:4">
      <c r="C17" s="264">
        <f>4*6.4</f>
        <v>25.6</v>
      </c>
      <c r="D17" s="265"/>
    </row>
    <row r="18" spans="3:4">
      <c r="C18" s="264">
        <v>37.1</v>
      </c>
      <c r="D18" s="265"/>
    </row>
    <row r="19" spans="3:4">
      <c r="C19" s="264">
        <v>22.6</v>
      </c>
      <c r="D19" s="265"/>
    </row>
    <row r="20" spans="3:4">
      <c r="C20" s="266">
        <f>SUM(C7:C19)</f>
        <v>455.50000000000006</v>
      </c>
      <c r="D20" s="266">
        <f>SUM(D7:D19)</f>
        <v>1447.1999999999998</v>
      </c>
    </row>
    <row r="21" spans="3:4" ht="2.25" customHeight="1">
      <c r="C21" s="263"/>
      <c r="D21" s="263"/>
    </row>
    <row r="22" spans="3:4">
      <c r="C22" s="257" t="s">
        <v>9</v>
      </c>
      <c r="D22" s="267">
        <f>C20+D20</f>
        <v>1902.6999999999998</v>
      </c>
    </row>
  </sheetData>
  <pageMargins left="0.511811024" right="0.511811024" top="0.78740157499999996" bottom="0.78740157499999996" header="0.31496062000000002" footer="0.31496062000000002"/>
  <pageSetup paperSize="9" orientation="portrait" r:id="rId1"/>
</worksheet>
</file>

<file path=xl/worksheets/sheet18.xml><?xml version="1.0" encoding="utf-8"?>
<worksheet xmlns="http://schemas.openxmlformats.org/spreadsheetml/2006/main" xmlns:r="http://schemas.openxmlformats.org/officeDocument/2006/relationships">
  <dimension ref="A1"/>
  <sheetViews>
    <sheetView view="pageBreakPreview" zoomScale="60" zoomScaleNormal="85" workbookViewId="0">
      <selection activeCell="I114" sqref="I114"/>
    </sheetView>
  </sheetViews>
  <sheetFormatPr defaultRowHeight="15.6"/>
  <sheetData/>
  <pageMargins left="0.511811024" right="0.511811024" top="0.78740157499999996" bottom="0.78740157499999996" header="0.31496062000000002" footer="0.31496062000000002"/>
  <pageSetup paperSize="9" orientation="landscape" r:id="rId1"/>
  <drawing r:id="rId2"/>
</worksheet>
</file>

<file path=xl/worksheets/sheet19.xml><?xml version="1.0" encoding="utf-8"?>
<worksheet xmlns="http://schemas.openxmlformats.org/spreadsheetml/2006/main" xmlns:r="http://schemas.openxmlformats.org/officeDocument/2006/relationships">
  <dimension ref="A1:G53"/>
  <sheetViews>
    <sheetView topLeftCell="A30" workbookViewId="0">
      <selection activeCell="G53" sqref="G53"/>
    </sheetView>
  </sheetViews>
  <sheetFormatPr defaultRowHeight="15.6"/>
  <cols>
    <col min="1" max="1" width="40.69921875" customWidth="1"/>
    <col min="3" max="3" width="11.59765625" customWidth="1"/>
    <col min="4" max="4" width="10.19921875" customWidth="1"/>
    <col min="5" max="5" width="10.5" customWidth="1"/>
    <col min="6" max="6" width="9.59765625" customWidth="1"/>
    <col min="7" max="7" width="13.8984375" bestFit="1" customWidth="1"/>
  </cols>
  <sheetData>
    <row r="1" spans="1:7">
      <c r="A1" t="s">
        <v>1889</v>
      </c>
    </row>
    <row r="3" spans="1:7" ht="46.95" customHeight="1">
      <c r="A3" s="88" t="s">
        <v>599</v>
      </c>
      <c r="B3" s="1107" t="s">
        <v>1890</v>
      </c>
      <c r="C3" s="1109" t="s">
        <v>1891</v>
      </c>
      <c r="D3" s="88" t="s">
        <v>1895</v>
      </c>
      <c r="E3" s="88"/>
      <c r="F3" s="88"/>
      <c r="G3" s="1109" t="s">
        <v>1917</v>
      </c>
    </row>
    <row r="4" spans="1:7" ht="31.2">
      <c r="A4" s="88"/>
      <c r="B4" s="1108"/>
      <c r="C4" s="1110"/>
      <c r="D4" s="452" t="s">
        <v>1892</v>
      </c>
      <c r="E4" s="452" t="s">
        <v>1893</v>
      </c>
      <c r="F4" s="452" t="s">
        <v>1894</v>
      </c>
      <c r="G4" s="1110"/>
    </row>
    <row r="5" spans="1:7">
      <c r="A5" s="88" t="s">
        <v>1901</v>
      </c>
      <c r="B5" s="88"/>
      <c r="C5" s="88"/>
      <c r="D5" s="452"/>
      <c r="E5" s="452"/>
      <c r="F5" s="452"/>
      <c r="G5" s="88"/>
    </row>
    <row r="6" spans="1:7">
      <c r="A6" s="88" t="s">
        <v>1896</v>
      </c>
      <c r="B6" s="88">
        <v>0</v>
      </c>
      <c r="C6" s="88">
        <v>30</v>
      </c>
      <c r="D6" s="88">
        <v>6</v>
      </c>
      <c r="E6" s="88">
        <v>25</v>
      </c>
      <c r="F6" s="88">
        <v>18</v>
      </c>
      <c r="G6" s="88">
        <f>+F6*E6*D6*C6*B6</f>
        <v>0</v>
      </c>
    </row>
    <row r="7" spans="1:7">
      <c r="A7" s="88" t="s">
        <v>1897</v>
      </c>
      <c r="B7" s="88">
        <v>1</v>
      </c>
      <c r="C7" s="88">
        <v>30</v>
      </c>
      <c r="D7" s="88">
        <v>4</v>
      </c>
      <c r="E7" s="88">
        <v>20</v>
      </c>
      <c r="F7" s="88">
        <v>28</v>
      </c>
      <c r="G7" s="88">
        <f t="shared" ref="G7:G26" si="0">+F7*E7*D7*C7*B7</f>
        <v>67200</v>
      </c>
    </row>
    <row r="8" spans="1:7">
      <c r="A8" s="88" t="s">
        <v>1898</v>
      </c>
      <c r="B8" s="88">
        <v>1</v>
      </c>
      <c r="C8" s="88">
        <v>10</v>
      </c>
      <c r="D8" s="88">
        <v>1</v>
      </c>
      <c r="E8" s="88">
        <v>25</v>
      </c>
      <c r="F8" s="88">
        <v>14</v>
      </c>
      <c r="G8" s="88">
        <f t="shared" si="0"/>
        <v>3500</v>
      </c>
    </row>
    <row r="9" spans="1:7">
      <c r="A9" s="88" t="s">
        <v>1899</v>
      </c>
      <c r="B9" s="88">
        <v>1</v>
      </c>
      <c r="C9" s="88">
        <v>20</v>
      </c>
      <c r="D9" s="88">
        <v>5</v>
      </c>
      <c r="E9" s="88">
        <v>25</v>
      </c>
      <c r="F9" s="88">
        <v>12</v>
      </c>
      <c r="G9" s="88">
        <f t="shared" si="0"/>
        <v>30000</v>
      </c>
    </row>
    <row r="10" spans="1:7">
      <c r="A10" s="88" t="s">
        <v>1900</v>
      </c>
      <c r="B10" s="88">
        <v>4</v>
      </c>
      <c r="C10" s="88">
        <v>20</v>
      </c>
      <c r="D10" s="88">
        <v>8</v>
      </c>
      <c r="E10" s="88">
        <v>25</v>
      </c>
      <c r="F10" s="88">
        <v>28</v>
      </c>
      <c r="G10" s="88">
        <f t="shared" si="0"/>
        <v>448000</v>
      </c>
    </row>
    <row r="11" spans="1:7">
      <c r="A11" s="260" t="s">
        <v>1902</v>
      </c>
      <c r="B11" s="260"/>
      <c r="C11" s="260"/>
      <c r="D11" s="260"/>
      <c r="E11" s="260"/>
      <c r="F11" s="260"/>
      <c r="G11" s="260"/>
    </row>
    <row r="12" spans="1:7">
      <c r="A12" s="88" t="s">
        <v>1903</v>
      </c>
      <c r="B12" s="88">
        <v>5</v>
      </c>
      <c r="C12" s="88">
        <v>0.3</v>
      </c>
      <c r="D12" s="88">
        <v>10</v>
      </c>
      <c r="E12" s="88">
        <v>24</v>
      </c>
      <c r="F12" s="88">
        <v>28</v>
      </c>
      <c r="G12" s="88">
        <f t="shared" si="0"/>
        <v>10080</v>
      </c>
    </row>
    <row r="13" spans="1:7">
      <c r="A13" s="88" t="s">
        <v>1904</v>
      </c>
      <c r="B13" s="88">
        <v>10</v>
      </c>
      <c r="C13" s="88">
        <v>1</v>
      </c>
      <c r="D13" s="88">
        <v>10</v>
      </c>
      <c r="E13" s="88">
        <v>24</v>
      </c>
      <c r="F13" s="88">
        <v>28</v>
      </c>
      <c r="G13" s="88">
        <f t="shared" si="0"/>
        <v>67200</v>
      </c>
    </row>
    <row r="14" spans="1:7">
      <c r="A14" s="88" t="s">
        <v>1905</v>
      </c>
      <c r="B14" s="88">
        <v>5</v>
      </c>
      <c r="C14" s="88">
        <v>0.6</v>
      </c>
      <c r="D14" s="88">
        <v>4</v>
      </c>
      <c r="E14" s="88">
        <v>24</v>
      </c>
      <c r="F14" s="88">
        <v>28</v>
      </c>
      <c r="G14" s="88">
        <f t="shared" si="0"/>
        <v>8064</v>
      </c>
    </row>
    <row r="15" spans="1:7">
      <c r="A15" s="88" t="s">
        <v>1906</v>
      </c>
      <c r="B15" s="88">
        <v>30</v>
      </c>
      <c r="C15" s="88">
        <v>0.09</v>
      </c>
      <c r="D15" s="88">
        <v>10</v>
      </c>
      <c r="E15" s="88">
        <v>24</v>
      </c>
      <c r="F15" s="88">
        <v>28</v>
      </c>
      <c r="G15" s="88">
        <f t="shared" si="0"/>
        <v>18144</v>
      </c>
    </row>
    <row r="16" spans="1:7">
      <c r="A16" s="88" t="s">
        <v>1907</v>
      </c>
      <c r="B16" s="88">
        <v>1</v>
      </c>
      <c r="C16" s="88">
        <v>5</v>
      </c>
      <c r="D16" s="88">
        <v>24</v>
      </c>
      <c r="E16" s="88">
        <v>24</v>
      </c>
      <c r="F16" s="88">
        <v>28</v>
      </c>
      <c r="G16" s="88">
        <f t="shared" si="0"/>
        <v>80640</v>
      </c>
    </row>
    <row r="17" spans="1:7">
      <c r="A17" s="260" t="s">
        <v>1908</v>
      </c>
      <c r="B17" s="260"/>
      <c r="C17" s="260"/>
      <c r="D17" s="260"/>
      <c r="E17" s="260"/>
      <c r="F17" s="260"/>
      <c r="G17" s="260"/>
    </row>
    <row r="18" spans="1:7">
      <c r="A18" s="88" t="s">
        <v>1909</v>
      </c>
      <c r="B18" s="88">
        <v>1</v>
      </c>
      <c r="C18" s="88">
        <v>2</v>
      </c>
      <c r="D18" s="88">
        <v>4</v>
      </c>
      <c r="E18" s="88">
        <v>12</v>
      </c>
      <c r="F18" s="88">
        <v>12</v>
      </c>
      <c r="G18" s="88">
        <f t="shared" si="0"/>
        <v>1152</v>
      </c>
    </row>
    <row r="19" spans="1:7">
      <c r="A19" s="88" t="s">
        <v>1910</v>
      </c>
      <c r="B19" s="88">
        <v>1</v>
      </c>
      <c r="C19" s="88">
        <v>1</v>
      </c>
      <c r="D19" s="88">
        <v>4</v>
      </c>
      <c r="E19" s="88">
        <v>15</v>
      </c>
      <c r="F19" s="88">
        <v>28</v>
      </c>
      <c r="G19" s="88">
        <f t="shared" si="0"/>
        <v>1680</v>
      </c>
    </row>
    <row r="20" spans="1:7">
      <c r="A20" s="88" t="s">
        <v>1911</v>
      </c>
      <c r="B20" s="88">
        <v>1</v>
      </c>
      <c r="C20" s="88">
        <v>1.5</v>
      </c>
      <c r="D20" s="88">
        <v>8</v>
      </c>
      <c r="E20" s="88">
        <v>25</v>
      </c>
      <c r="F20" s="88">
        <v>28</v>
      </c>
      <c r="G20" s="88">
        <f t="shared" si="0"/>
        <v>8400</v>
      </c>
    </row>
    <row r="21" spans="1:7">
      <c r="A21" s="88" t="s">
        <v>1912</v>
      </c>
      <c r="B21" s="88">
        <v>1</v>
      </c>
      <c r="C21" s="88">
        <v>0.5</v>
      </c>
      <c r="D21" s="88">
        <v>24</v>
      </c>
      <c r="E21" s="88">
        <v>30</v>
      </c>
      <c r="F21" s="88">
        <v>28</v>
      </c>
      <c r="G21" s="88">
        <f t="shared" si="0"/>
        <v>10080</v>
      </c>
    </row>
    <row r="22" spans="1:7">
      <c r="A22" s="88" t="s">
        <v>1913</v>
      </c>
      <c r="B22" s="88">
        <v>1</v>
      </c>
      <c r="C22" s="88">
        <v>2</v>
      </c>
      <c r="D22" s="88">
        <v>4</v>
      </c>
      <c r="E22" s="88">
        <v>25</v>
      </c>
      <c r="F22" s="88">
        <v>28</v>
      </c>
      <c r="G22" s="88">
        <f t="shared" si="0"/>
        <v>5600</v>
      </c>
    </row>
    <row r="23" spans="1:7">
      <c r="A23" s="260" t="s">
        <v>1914</v>
      </c>
      <c r="B23" s="260"/>
      <c r="C23" s="260"/>
      <c r="D23" s="260"/>
      <c r="E23" s="260"/>
      <c r="F23" s="260"/>
      <c r="G23" s="260"/>
    </row>
    <row r="24" spans="1:7">
      <c r="A24" s="88" t="s">
        <v>1915</v>
      </c>
      <c r="B24" s="88">
        <v>10</v>
      </c>
      <c r="C24" s="88">
        <v>0.5</v>
      </c>
      <c r="D24" s="88">
        <v>10</v>
      </c>
      <c r="E24" s="88">
        <v>30</v>
      </c>
      <c r="F24" s="88">
        <v>28</v>
      </c>
      <c r="G24" s="88">
        <f t="shared" si="0"/>
        <v>42000</v>
      </c>
    </row>
    <row r="25" spans="1:7">
      <c r="A25" s="260" t="s">
        <v>1916</v>
      </c>
      <c r="B25" s="260"/>
      <c r="C25" s="260"/>
      <c r="D25" s="260"/>
      <c r="E25" s="260"/>
      <c r="F25" s="260"/>
      <c r="G25" s="260"/>
    </row>
    <row r="26" spans="1:7">
      <c r="A26" s="88" t="s">
        <v>1916</v>
      </c>
      <c r="B26" s="88">
        <v>1</v>
      </c>
      <c r="C26" s="88">
        <v>40</v>
      </c>
      <c r="D26" s="88">
        <v>8</v>
      </c>
      <c r="E26" s="88">
        <v>23</v>
      </c>
      <c r="F26" s="88">
        <v>28</v>
      </c>
      <c r="G26" s="88">
        <f t="shared" si="0"/>
        <v>206080</v>
      </c>
    </row>
    <row r="27" spans="1:7">
      <c r="A27" s="453" t="s">
        <v>1918</v>
      </c>
      <c r="B27" s="454"/>
      <c r="C27" s="454"/>
      <c r="D27" s="454"/>
      <c r="E27" s="454"/>
      <c r="F27" s="454"/>
      <c r="G27" s="455">
        <f>SUM(G6:G26)</f>
        <v>1007820</v>
      </c>
    </row>
    <row r="30" spans="1:7">
      <c r="A30" s="88" t="s">
        <v>599</v>
      </c>
      <c r="B30" s="1107" t="s">
        <v>1890</v>
      </c>
      <c r="C30" s="1109" t="s">
        <v>1920</v>
      </c>
      <c r="D30" s="88" t="s">
        <v>1895</v>
      </c>
      <c r="E30" s="88"/>
      <c r="F30" s="88"/>
      <c r="G30" s="1109" t="s">
        <v>1919</v>
      </c>
    </row>
    <row r="31" spans="1:7" ht="31.2">
      <c r="A31" s="88"/>
      <c r="B31" s="1108"/>
      <c r="C31" s="1110"/>
      <c r="D31" s="452" t="s">
        <v>1892</v>
      </c>
      <c r="E31" s="452" t="s">
        <v>1893</v>
      </c>
      <c r="F31" s="452" t="s">
        <v>1894</v>
      </c>
      <c r="G31" s="1110"/>
    </row>
    <row r="32" spans="1:7">
      <c r="A32" s="88" t="s">
        <v>1901</v>
      </c>
      <c r="B32" s="88"/>
      <c r="C32" s="88"/>
      <c r="D32" s="452"/>
      <c r="E32" s="452"/>
      <c r="F32" s="452"/>
      <c r="G32" s="88"/>
    </row>
    <row r="33" spans="1:7">
      <c r="A33" s="88" t="s">
        <v>2909</v>
      </c>
      <c r="B33" s="88">
        <v>1</v>
      </c>
      <c r="C33" s="88">
        <v>12000</v>
      </c>
      <c r="D33" s="88">
        <v>4</v>
      </c>
      <c r="E33" s="88">
        <v>20</v>
      </c>
      <c r="F33" s="88">
        <v>12</v>
      </c>
      <c r="G33" s="91">
        <f>+F33*E33*D33*C33*B33/1000</f>
        <v>11520</v>
      </c>
    </row>
    <row r="34" spans="1:7">
      <c r="A34" s="88" t="s">
        <v>1921</v>
      </c>
      <c r="B34" s="88">
        <v>1</v>
      </c>
      <c r="C34" s="88">
        <v>10000</v>
      </c>
      <c r="D34" s="88">
        <v>4</v>
      </c>
      <c r="E34" s="88">
        <v>25</v>
      </c>
      <c r="F34" s="88">
        <v>12</v>
      </c>
      <c r="G34" s="91">
        <f>+F34*E34*D34*C34*B34/1000</f>
        <v>12000</v>
      </c>
    </row>
    <row r="35" spans="1:7" ht="31.2">
      <c r="A35" s="260" t="s">
        <v>287</v>
      </c>
      <c r="B35" s="457" t="s">
        <v>1925</v>
      </c>
      <c r="C35" s="457" t="s">
        <v>1926</v>
      </c>
      <c r="D35" s="260"/>
      <c r="E35" s="260"/>
      <c r="F35" s="260"/>
      <c r="G35" s="457" t="s">
        <v>1919</v>
      </c>
    </row>
    <row r="36" spans="1:7">
      <c r="A36" s="456" t="s">
        <v>1922</v>
      </c>
      <c r="B36" s="456"/>
      <c r="C36" s="456"/>
      <c r="D36" s="456"/>
      <c r="E36" s="456"/>
      <c r="F36" s="456"/>
      <c r="G36" s="456"/>
    </row>
    <row r="37" spans="1:7">
      <c r="A37" s="88" t="s">
        <v>1923</v>
      </c>
      <c r="B37" s="88">
        <v>1663.2</v>
      </c>
      <c r="C37" s="88">
        <v>230</v>
      </c>
      <c r="D37" s="88"/>
      <c r="E37" s="88"/>
      <c r="F37" s="88"/>
      <c r="G37" s="91">
        <f>+C37*B37/1000</f>
        <v>382.536</v>
      </c>
    </row>
    <row r="38" spans="1:7">
      <c r="A38" s="88"/>
      <c r="B38" s="88"/>
      <c r="C38" s="88"/>
      <c r="D38" s="88"/>
      <c r="E38" s="88"/>
      <c r="F38" s="88"/>
      <c r="G38" s="88"/>
    </row>
    <row r="39" spans="1:7" ht="31.2">
      <c r="A39" s="260" t="s">
        <v>951</v>
      </c>
      <c r="B39" s="457" t="s">
        <v>1927</v>
      </c>
      <c r="C39" s="457" t="s">
        <v>1928</v>
      </c>
      <c r="D39" s="260"/>
      <c r="E39" s="457" t="s">
        <v>1893</v>
      </c>
      <c r="F39" s="457" t="s">
        <v>1894</v>
      </c>
      <c r="G39" s="457" t="s">
        <v>1919</v>
      </c>
    </row>
    <row r="40" spans="1:7">
      <c r="A40" s="260" t="s">
        <v>1902</v>
      </c>
      <c r="B40" s="260"/>
      <c r="C40" s="260"/>
      <c r="D40" s="260"/>
      <c r="E40" s="260"/>
      <c r="F40" s="260"/>
      <c r="G40" s="260"/>
    </row>
    <row r="41" spans="1:7">
      <c r="A41" s="88" t="s">
        <v>1924</v>
      </c>
      <c r="B41" s="88">
        <v>60</v>
      </c>
      <c r="C41" s="88">
        <v>0.05</v>
      </c>
      <c r="D41" s="88"/>
      <c r="E41" s="88">
        <v>26</v>
      </c>
      <c r="F41" s="88">
        <v>28</v>
      </c>
      <c r="G41" s="91">
        <f>+F41*E41*C41*B41</f>
        <v>2184</v>
      </c>
    </row>
    <row r="42" spans="1:7">
      <c r="A42" s="88"/>
      <c r="B42" s="88"/>
      <c r="C42" s="88"/>
      <c r="D42" s="88"/>
      <c r="E42" s="88"/>
      <c r="F42" s="88"/>
      <c r="G42" s="88">
        <f>+F42*E42*D42*C42*B42</f>
        <v>0</v>
      </c>
    </row>
    <row r="43" spans="1:7">
      <c r="A43" s="88"/>
      <c r="B43" s="88"/>
      <c r="C43" s="88"/>
      <c r="D43" s="88"/>
      <c r="E43" s="88"/>
      <c r="F43" s="88"/>
      <c r="G43" s="88">
        <f>+F43*E43*D43*C43*B43</f>
        <v>0</v>
      </c>
    </row>
    <row r="44" spans="1:7">
      <c r="A44" s="88"/>
      <c r="B44" s="88"/>
      <c r="C44" s="88"/>
      <c r="D44" s="88"/>
      <c r="E44" s="88"/>
      <c r="F44" s="88"/>
      <c r="G44" s="88">
        <f>+F44*E44*D44*C44*B44</f>
        <v>0</v>
      </c>
    </row>
    <row r="45" spans="1:7">
      <c r="A45" s="88"/>
      <c r="B45" s="88"/>
      <c r="C45" s="88"/>
      <c r="D45" s="88"/>
      <c r="E45" s="88"/>
      <c r="F45" s="88"/>
      <c r="G45" s="88">
        <f>+F45*E45*D45*C45*B45</f>
        <v>0</v>
      </c>
    </row>
    <row r="46" spans="1:7">
      <c r="A46" s="260" t="s">
        <v>1908</v>
      </c>
      <c r="B46" s="260"/>
      <c r="C46" s="260"/>
      <c r="D46" s="260"/>
      <c r="E46" s="260"/>
      <c r="F46" s="260"/>
      <c r="G46" s="260"/>
    </row>
    <row r="47" spans="1:7">
      <c r="A47" s="88" t="s">
        <v>1909</v>
      </c>
      <c r="B47" s="88">
        <v>1</v>
      </c>
      <c r="C47" s="88">
        <v>2</v>
      </c>
      <c r="D47" s="88"/>
      <c r="E47" s="88">
        <v>25</v>
      </c>
      <c r="F47" s="88">
        <v>12</v>
      </c>
      <c r="G47" s="91">
        <f>+F47*E47*C47*B47</f>
        <v>600</v>
      </c>
    </row>
    <row r="48" spans="1:7">
      <c r="A48" s="88" t="s">
        <v>1913</v>
      </c>
      <c r="B48" s="88">
        <v>1</v>
      </c>
      <c r="C48" s="88">
        <v>5</v>
      </c>
      <c r="D48" s="88"/>
      <c r="E48" s="88">
        <v>30</v>
      </c>
      <c r="F48" s="88">
        <v>28</v>
      </c>
      <c r="G48" s="91">
        <f>+F48*E48*C48*B48</f>
        <v>4200</v>
      </c>
    </row>
    <row r="49" spans="1:7">
      <c r="A49" s="88" t="s">
        <v>1517</v>
      </c>
      <c r="B49" s="88">
        <v>1</v>
      </c>
      <c r="C49" s="88">
        <v>5</v>
      </c>
      <c r="D49" s="88"/>
      <c r="E49" s="88">
        <v>25</v>
      </c>
      <c r="F49" s="88">
        <v>28</v>
      </c>
      <c r="G49" s="91">
        <f>+F49*E49*C49*B49</f>
        <v>3500</v>
      </c>
    </row>
    <row r="50" spans="1:7">
      <c r="A50" s="88"/>
      <c r="B50" s="88"/>
      <c r="C50" s="88"/>
      <c r="D50" s="88"/>
      <c r="E50" s="88"/>
      <c r="F50" s="88"/>
      <c r="G50" s="88">
        <f>+F50*E50*D50*C50*B50</f>
        <v>0</v>
      </c>
    </row>
    <row r="51" spans="1:7">
      <c r="A51" s="88"/>
      <c r="B51" s="88"/>
      <c r="C51" s="88"/>
      <c r="D51" s="88"/>
      <c r="E51" s="88"/>
      <c r="F51" s="88"/>
      <c r="G51" s="88">
        <f>+F51*E51*D51*C51*B51</f>
        <v>0</v>
      </c>
    </row>
    <row r="52" spans="1:7">
      <c r="A52" s="88"/>
      <c r="B52" s="88"/>
      <c r="C52" s="88"/>
      <c r="D52" s="88"/>
      <c r="E52" s="88"/>
      <c r="F52" s="88"/>
      <c r="G52" s="88"/>
    </row>
    <row r="53" spans="1:7">
      <c r="A53" s="453" t="s">
        <v>1918</v>
      </c>
      <c r="B53" s="454"/>
      <c r="C53" s="454"/>
      <c r="D53" s="454"/>
      <c r="E53" s="454"/>
      <c r="F53" s="454"/>
      <c r="G53" s="455">
        <f>SUM(G33:G52)</f>
        <v>34386.536</v>
      </c>
    </row>
  </sheetData>
  <mergeCells count="6">
    <mergeCell ref="B3:B4"/>
    <mergeCell ref="C3:C4"/>
    <mergeCell ref="G3:G4"/>
    <mergeCell ref="B30:B31"/>
    <mergeCell ref="C30:C31"/>
    <mergeCell ref="G30:G31"/>
  </mergeCells>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dimension ref="A1:J93"/>
  <sheetViews>
    <sheetView workbookViewId="0"/>
  </sheetViews>
  <sheetFormatPr defaultColWidth="9" defaultRowHeight="15.6"/>
  <cols>
    <col min="1" max="1" width="3.3984375" style="1" customWidth="1"/>
    <col min="2" max="2" width="9" style="1"/>
    <col min="3" max="3" width="45.69921875" style="1" customWidth="1"/>
    <col min="4" max="8" width="12.59765625" style="1" customWidth="1"/>
    <col min="9" max="9" width="13.59765625" style="1" customWidth="1"/>
    <col min="10" max="16384" width="9" style="1"/>
  </cols>
  <sheetData>
    <row r="1" spans="1:10" ht="16.2" thickBot="1">
      <c r="A1" s="2" t="s">
        <v>0</v>
      </c>
      <c r="B1" s="416"/>
      <c r="C1" s="2"/>
      <c r="D1" s="2"/>
      <c r="E1" s="2"/>
      <c r="F1" s="2"/>
      <c r="G1" s="2"/>
      <c r="H1" s="2"/>
      <c r="I1" s="2"/>
      <c r="J1" s="2"/>
    </row>
    <row r="2" spans="1:10">
      <c r="A2" s="2"/>
      <c r="B2" s="37"/>
      <c r="C2" s="38"/>
      <c r="D2" s="38"/>
      <c r="E2" s="38"/>
      <c r="F2" s="38"/>
      <c r="G2" s="38"/>
      <c r="H2" s="38"/>
      <c r="I2" s="39"/>
      <c r="J2" s="2"/>
    </row>
    <row r="3" spans="1:10" ht="17.399999999999999">
      <c r="A3" s="2"/>
      <c r="B3" s="1006" t="s">
        <v>1809</v>
      </c>
      <c r="C3" s="1007"/>
      <c r="D3" s="1007"/>
      <c r="E3" s="1007"/>
      <c r="F3" s="1007"/>
      <c r="G3" s="1007"/>
      <c r="H3" s="1007"/>
      <c r="I3" s="1008"/>
      <c r="J3" s="2"/>
    </row>
    <row r="4" spans="1:10" ht="17.399999999999999">
      <c r="A4" s="2"/>
      <c r="B4" s="413"/>
      <c r="C4" s="414"/>
      <c r="D4" s="414"/>
      <c r="E4" s="414"/>
      <c r="F4" s="414"/>
      <c r="G4" s="414"/>
      <c r="H4" s="414"/>
      <c r="I4" s="415"/>
      <c r="J4" s="2"/>
    </row>
    <row r="5" spans="1:10" ht="17.399999999999999">
      <c r="A5" s="2"/>
      <c r="B5" s="413"/>
      <c r="C5" s="222" t="s">
        <v>1810</v>
      </c>
      <c r="D5" s="223" t="s">
        <v>1415</v>
      </c>
      <c r="E5" s="414"/>
      <c r="F5" s="414"/>
      <c r="G5" s="414"/>
      <c r="H5" s="49">
        <f>SUM(I9:I27)</f>
        <v>1781.6299999999999</v>
      </c>
      <c r="I5" s="50" t="s">
        <v>217</v>
      </c>
      <c r="J5" s="2"/>
    </row>
    <row r="6" spans="1:10" ht="16.2" thickBot="1">
      <c r="A6" s="2"/>
      <c r="B6" s="55"/>
      <c r="C6" s="56"/>
      <c r="D6" s="56"/>
      <c r="E6" s="56"/>
      <c r="F6" s="56"/>
      <c r="G6" s="56"/>
      <c r="H6" s="56"/>
      <c r="I6" s="57"/>
      <c r="J6" s="2"/>
    </row>
    <row r="7" spans="1:10">
      <c r="A7" s="2"/>
      <c r="B7" s="35"/>
      <c r="C7" s="36"/>
      <c r="D7" s="36"/>
      <c r="E7" s="36"/>
      <c r="F7" s="36"/>
      <c r="G7" s="36"/>
      <c r="H7" s="36"/>
      <c r="I7" s="36"/>
      <c r="J7" s="2"/>
    </row>
    <row r="8" spans="1:10">
      <c r="A8" s="2"/>
      <c r="B8" s="1009" t="s">
        <v>175</v>
      </c>
      <c r="C8" s="1010"/>
      <c r="D8" s="1010"/>
      <c r="E8" s="1010"/>
      <c r="F8" s="1010"/>
      <c r="G8" s="1010"/>
      <c r="H8" s="1011"/>
      <c r="I8" s="80" t="s">
        <v>1416</v>
      </c>
      <c r="J8" s="2"/>
    </row>
    <row r="9" spans="1:10">
      <c r="A9" s="2"/>
      <c r="B9" s="2"/>
      <c r="C9" s="2"/>
      <c r="D9" s="2"/>
      <c r="E9" s="2"/>
      <c r="F9" s="2"/>
      <c r="G9" s="2"/>
      <c r="H9" s="2"/>
      <c r="I9" s="21"/>
      <c r="J9" s="2"/>
    </row>
    <row r="10" spans="1:10">
      <c r="A10" s="2"/>
      <c r="B10" s="14" t="s">
        <v>86</v>
      </c>
      <c r="C10" s="78" t="str">
        <f>VLOOKUP(B10,$B$31:$I$93,2,FALSE)</f>
        <v>SUBSOLO - MATERNIDADE</v>
      </c>
      <c r="D10" s="71"/>
      <c r="E10" s="71"/>
      <c r="F10" s="79"/>
      <c r="G10" s="73"/>
      <c r="H10" s="71"/>
      <c r="I10" s="81">
        <f>VLOOKUP(B10,$B$31:$I$93,8,FALSE)</f>
        <v>233.59</v>
      </c>
      <c r="J10" s="2"/>
    </row>
    <row r="11" spans="1:10">
      <c r="A11" s="2"/>
      <c r="B11" s="30"/>
      <c r="C11" s="31"/>
      <c r="D11" s="32"/>
      <c r="E11" s="32"/>
      <c r="F11" s="13"/>
      <c r="G11" s="33"/>
      <c r="H11" s="32"/>
      <c r="I11" s="34"/>
      <c r="J11" s="2"/>
    </row>
    <row r="12" spans="1:10">
      <c r="A12" s="2"/>
      <c r="B12" s="14" t="s">
        <v>87</v>
      </c>
      <c r="C12" s="78" t="str">
        <f>VLOOKUP(B12,$B$31:$I$93,2,FALSE)</f>
        <v>PAVIMENTO TÉRREO - ANEXO IV - CPN</v>
      </c>
      <c r="D12" s="71"/>
      <c r="E12" s="71"/>
      <c r="F12" s="79"/>
      <c r="G12" s="73"/>
      <c r="H12" s="71"/>
      <c r="I12" s="81">
        <f>VLOOKUP(B12,$B$31:$I$93,8,FALSE)</f>
        <v>0</v>
      </c>
      <c r="J12" s="2"/>
    </row>
    <row r="13" spans="1:10">
      <c r="A13" s="2"/>
      <c r="B13" s="30"/>
      <c r="C13" s="31"/>
      <c r="D13" s="32"/>
      <c r="E13" s="32"/>
      <c r="F13" s="13"/>
      <c r="G13" s="33"/>
      <c r="H13" s="32"/>
      <c r="I13" s="34"/>
      <c r="J13" s="2"/>
    </row>
    <row r="14" spans="1:10">
      <c r="A14" s="2"/>
      <c r="B14" s="77" t="s">
        <v>127</v>
      </c>
      <c r="C14" s="78" t="str">
        <f>VLOOKUP(B14,$B$31:$I$93,2,FALSE)</f>
        <v>3º PAVIMENTO - MATERNIDADE</v>
      </c>
      <c r="D14" s="82"/>
      <c r="E14" s="82"/>
      <c r="F14" s="83"/>
      <c r="G14" s="84"/>
      <c r="H14" s="82"/>
      <c r="I14" s="81">
        <f>VLOOKUP(B14,$B$31:$I$93,8,FALSE)</f>
        <v>233.59</v>
      </c>
      <c r="J14" s="2"/>
    </row>
    <row r="15" spans="1:10">
      <c r="A15" s="2"/>
      <c r="B15" s="30"/>
      <c r="C15" s="31"/>
      <c r="D15" s="32"/>
      <c r="E15" s="32"/>
      <c r="F15" s="13"/>
      <c r="G15" s="33"/>
      <c r="H15" s="32"/>
      <c r="I15" s="34"/>
      <c r="J15" s="2"/>
    </row>
    <row r="16" spans="1:10">
      <c r="A16" s="2"/>
      <c r="B16" s="77" t="s">
        <v>129</v>
      </c>
      <c r="C16" s="78" t="str">
        <f>VLOOKUP(B16,$B$31:$I$93,2,FALSE)</f>
        <v>4º PAVIMENTO - MATERNIDADE</v>
      </c>
      <c r="D16" s="82"/>
      <c r="E16" s="82"/>
      <c r="F16" s="83"/>
      <c r="G16" s="84"/>
      <c r="H16" s="82"/>
      <c r="I16" s="81">
        <f>VLOOKUP(B16,$B$31:$I$93,8,FALSE)</f>
        <v>233.59</v>
      </c>
      <c r="J16" s="2"/>
    </row>
    <row r="17" spans="1:10">
      <c r="A17" s="2"/>
      <c r="B17" s="30"/>
      <c r="C17" s="31"/>
      <c r="D17" s="32"/>
      <c r="E17" s="32"/>
      <c r="F17" s="13"/>
      <c r="G17" s="33"/>
      <c r="H17" s="32"/>
      <c r="I17" s="34"/>
      <c r="J17" s="2"/>
    </row>
    <row r="18" spans="1:10">
      <c r="A18" s="2"/>
      <c r="B18" s="14" t="s">
        <v>149</v>
      </c>
      <c r="C18" s="78" t="str">
        <f>VLOOKUP(B18,$B$31:$I$93,2,FALSE)</f>
        <v>5º PAVIMENTO - MATERNIDADE</v>
      </c>
      <c r="D18" s="71"/>
      <c r="E18" s="71"/>
      <c r="F18" s="79"/>
      <c r="G18" s="73"/>
      <c r="H18" s="71"/>
      <c r="I18" s="81">
        <f>VLOOKUP(B18,$B$31:$I$93,8,FALSE)</f>
        <v>233.59</v>
      </c>
      <c r="J18" s="2"/>
    </row>
    <row r="19" spans="1:10">
      <c r="A19" s="2"/>
      <c r="B19" s="30"/>
      <c r="C19" s="31"/>
      <c r="D19" s="32"/>
      <c r="E19" s="32"/>
      <c r="F19" s="13"/>
      <c r="G19" s="33"/>
      <c r="H19" s="32"/>
      <c r="I19" s="34"/>
      <c r="J19" s="2"/>
    </row>
    <row r="20" spans="1:10">
      <c r="A20" s="2"/>
      <c r="B20" s="14" t="s">
        <v>152</v>
      </c>
      <c r="C20" s="78" t="str">
        <f>VLOOKUP(B20,$B$31:$I$93,2,FALSE)</f>
        <v>6º PAVIMENTO - MATERNIDADE</v>
      </c>
      <c r="D20" s="71"/>
      <c r="E20" s="71"/>
      <c r="F20" s="79"/>
      <c r="G20" s="73"/>
      <c r="H20" s="71"/>
      <c r="I20" s="81">
        <f>VLOOKUP(B20,$B$31:$I$93,8,FALSE)</f>
        <v>233.59</v>
      </c>
      <c r="J20" s="2"/>
    </row>
    <row r="21" spans="1:10">
      <c r="A21" s="2"/>
      <c r="B21" s="30"/>
      <c r="C21" s="31"/>
      <c r="D21" s="32"/>
      <c r="E21" s="32"/>
      <c r="F21" s="13"/>
      <c r="G21" s="33"/>
      <c r="H21" s="32"/>
      <c r="I21" s="34"/>
      <c r="J21" s="2"/>
    </row>
    <row r="22" spans="1:10">
      <c r="A22" s="2"/>
      <c r="B22" s="14" t="s">
        <v>154</v>
      </c>
      <c r="C22" s="78" t="str">
        <f>VLOOKUP(B22,$B$31:$I$93,2,FALSE)</f>
        <v>7º PAVIMENTO - MATERNIDADE</v>
      </c>
      <c r="D22" s="71"/>
      <c r="E22" s="71"/>
      <c r="F22" s="79"/>
      <c r="G22" s="73"/>
      <c r="H22" s="71"/>
      <c r="I22" s="81">
        <f>VLOOKUP(B22,$B$31:$I$93,8,FALSE)</f>
        <v>233.59</v>
      </c>
      <c r="J22" s="2"/>
    </row>
    <row r="23" spans="1:10">
      <c r="A23" s="2"/>
      <c r="B23" s="30"/>
      <c r="C23" s="31"/>
      <c r="D23" s="32"/>
      <c r="E23" s="32"/>
      <c r="F23" s="13"/>
      <c r="G23" s="33"/>
      <c r="H23" s="32"/>
      <c r="I23" s="34"/>
      <c r="J23" s="2"/>
    </row>
    <row r="24" spans="1:10">
      <c r="A24" s="2"/>
      <c r="B24" s="14" t="s">
        <v>156</v>
      </c>
      <c r="C24" s="78" t="str">
        <f>VLOOKUP(B24,$B$31:$I$93,2,FALSE)</f>
        <v>8º PAVIMENTO - MATERNIDADE</v>
      </c>
      <c r="D24" s="71"/>
      <c r="E24" s="71"/>
      <c r="F24" s="79"/>
      <c r="G24" s="73"/>
      <c r="H24" s="71"/>
      <c r="I24" s="81">
        <f>VLOOKUP(B24,$B$31:$I$93,8,FALSE)</f>
        <v>233.59</v>
      </c>
      <c r="J24" s="2"/>
    </row>
    <row r="25" spans="1:10">
      <c r="A25" s="2"/>
      <c r="B25" s="30"/>
      <c r="C25" s="31"/>
      <c r="D25" s="32"/>
      <c r="E25" s="32"/>
      <c r="F25" s="13"/>
      <c r="G25" s="33"/>
      <c r="H25" s="32"/>
      <c r="I25" s="34"/>
      <c r="J25" s="2"/>
    </row>
    <row r="26" spans="1:10">
      <c r="A26" s="2"/>
      <c r="B26" s="14" t="s">
        <v>158</v>
      </c>
      <c r="C26" s="78" t="str">
        <f>VLOOKUP(B26,$B$31:$I$93,2,FALSE)</f>
        <v>9º PAVIMENTO - HELIPORTO DA MATERNIDADE</v>
      </c>
      <c r="D26" s="71"/>
      <c r="E26" s="71"/>
      <c r="F26" s="79"/>
      <c r="G26" s="73"/>
      <c r="H26" s="71"/>
      <c r="I26" s="81">
        <f>VLOOKUP(B26,$B$31:$I$93,8,FALSE)</f>
        <v>146.5</v>
      </c>
      <c r="J26" s="2"/>
    </row>
    <row r="27" spans="1:10">
      <c r="A27" s="2"/>
      <c r="B27" s="30"/>
      <c r="C27" s="31"/>
      <c r="D27" s="32"/>
      <c r="E27" s="32"/>
      <c r="F27" s="13"/>
      <c r="G27" s="33"/>
      <c r="H27" s="32"/>
      <c r="I27" s="34"/>
      <c r="J27" s="2"/>
    </row>
    <row r="28" spans="1:10">
      <c r="A28" s="2"/>
      <c r="B28" s="30"/>
      <c r="C28" s="31"/>
      <c r="D28" s="32"/>
      <c r="E28" s="32"/>
      <c r="F28" s="13"/>
      <c r="G28" s="33"/>
      <c r="H28" s="32"/>
      <c r="I28" s="34"/>
      <c r="J28" s="2"/>
    </row>
    <row r="29" spans="1:10">
      <c r="A29" s="2"/>
      <c r="B29" s="10" t="s">
        <v>1</v>
      </c>
      <c r="C29" s="10" t="s">
        <v>2</v>
      </c>
      <c r="D29" s="1012" t="s">
        <v>1417</v>
      </c>
      <c r="E29" s="1013"/>
      <c r="F29" s="1013"/>
      <c r="G29" s="1014"/>
      <c r="H29" s="418" t="s">
        <v>8</v>
      </c>
      <c r="I29" s="80" t="s">
        <v>1418</v>
      </c>
      <c r="J29" s="2"/>
    </row>
    <row r="30" spans="1:10">
      <c r="A30" s="2"/>
      <c r="B30" s="21"/>
      <c r="C30" s="21"/>
      <c r="D30" s="21"/>
      <c r="E30" s="21"/>
      <c r="F30" s="21"/>
      <c r="G30" s="74"/>
      <c r="H30" s="21"/>
      <c r="I30" s="21"/>
      <c r="J30" s="2"/>
    </row>
    <row r="31" spans="1:10">
      <c r="A31" s="2"/>
      <c r="B31" s="14" t="s">
        <v>86</v>
      </c>
      <c r="C31" s="1015" t="s">
        <v>103</v>
      </c>
      <c r="D31" s="1015"/>
      <c r="E31" s="1015"/>
      <c r="F31" s="1015"/>
      <c r="G31" s="1015"/>
      <c r="H31" s="1015"/>
      <c r="I31" s="224">
        <f>SUM(I32:I33)</f>
        <v>233.59</v>
      </c>
      <c r="J31" s="2"/>
    </row>
    <row r="32" spans="1:10">
      <c r="A32" s="16"/>
      <c r="B32" s="221"/>
      <c r="C32" s="17" t="s">
        <v>295</v>
      </c>
      <c r="D32" s="1001">
        <f>77.75+68.75</f>
        <v>146.5</v>
      </c>
      <c r="E32" s="1001"/>
      <c r="F32" s="1001"/>
      <c r="G32" s="1001"/>
      <c r="H32" s="417">
        <v>1</v>
      </c>
      <c r="I32" s="225">
        <f>D32*H32</f>
        <v>146.5</v>
      </c>
      <c r="J32" s="16"/>
    </row>
    <row r="33" spans="1:10">
      <c r="A33" s="16"/>
      <c r="B33" s="14"/>
      <c r="C33" s="226" t="s">
        <v>1811</v>
      </c>
      <c r="D33" s="1001">
        <v>29.03</v>
      </c>
      <c r="E33" s="1001"/>
      <c r="F33" s="1001"/>
      <c r="G33" s="1001"/>
      <c r="H33" s="419">
        <v>3</v>
      </c>
      <c r="I33" s="225">
        <f>D33*H33</f>
        <v>87.09</v>
      </c>
      <c r="J33" s="16"/>
    </row>
    <row r="34" spans="1:10">
      <c r="A34" s="2"/>
      <c r="B34" s="21"/>
      <c r="C34" s="22"/>
      <c r="D34" s="13"/>
      <c r="E34" s="13"/>
      <c r="F34" s="13"/>
      <c r="G34" s="13"/>
      <c r="H34" s="13"/>
      <c r="I34" s="13"/>
      <c r="J34" s="2"/>
    </row>
    <row r="35" spans="1:10">
      <c r="B35" s="14" t="s">
        <v>87</v>
      </c>
      <c r="C35" s="1015" t="s">
        <v>105</v>
      </c>
      <c r="D35" s="1015" t="s">
        <v>0</v>
      </c>
      <c r="E35" s="1015" t="s">
        <v>0</v>
      </c>
      <c r="F35" s="1015" t="s">
        <v>0</v>
      </c>
      <c r="G35" s="1015" t="s">
        <v>0</v>
      </c>
      <c r="H35" s="1015" t="s">
        <v>0</v>
      </c>
      <c r="I35" s="224">
        <f>SUM(I36:I37)</f>
        <v>0</v>
      </c>
    </row>
    <row r="36" spans="1:10">
      <c r="B36" s="14"/>
      <c r="C36" s="17" t="s">
        <v>325</v>
      </c>
      <c r="D36" s="1016">
        <v>0</v>
      </c>
      <c r="E36" s="1016"/>
      <c r="F36" s="1016"/>
      <c r="G36" s="1016"/>
      <c r="H36" s="419">
        <v>1</v>
      </c>
      <c r="I36" s="228">
        <f>D36*H36</f>
        <v>0</v>
      </c>
    </row>
    <row r="37" spans="1:10">
      <c r="B37" s="14"/>
      <c r="C37" s="17" t="s">
        <v>394</v>
      </c>
      <c r="D37" s="1001">
        <v>0</v>
      </c>
      <c r="E37" s="1001"/>
      <c r="F37" s="1001"/>
      <c r="G37" s="1001"/>
      <c r="H37" s="419">
        <v>1</v>
      </c>
      <c r="I37" s="225">
        <f>D37*H37</f>
        <v>0</v>
      </c>
    </row>
    <row r="39" spans="1:10">
      <c r="B39" s="14" t="s">
        <v>98</v>
      </c>
      <c r="C39" s="1015" t="s">
        <v>119</v>
      </c>
      <c r="D39" s="1015" t="s">
        <v>0</v>
      </c>
      <c r="E39" s="1015" t="s">
        <v>0</v>
      </c>
      <c r="F39" s="1015" t="s">
        <v>0</v>
      </c>
      <c r="G39" s="1015" t="s">
        <v>0</v>
      </c>
      <c r="H39" s="1015" t="s">
        <v>0</v>
      </c>
      <c r="I39" s="224">
        <f>SUM(I40:I41)</f>
        <v>0</v>
      </c>
    </row>
    <row r="40" spans="1:10">
      <c r="B40" s="14"/>
      <c r="C40" s="226" t="s">
        <v>408</v>
      </c>
      <c r="D40" s="1016">
        <v>0</v>
      </c>
      <c r="E40" s="1016"/>
      <c r="F40" s="1016"/>
      <c r="G40" s="1016"/>
      <c r="H40" s="419">
        <v>1</v>
      </c>
      <c r="I40" s="228">
        <f>D40*H40</f>
        <v>0</v>
      </c>
    </row>
    <row r="41" spans="1:10">
      <c r="B41" s="14"/>
      <c r="C41" s="17" t="s">
        <v>325</v>
      </c>
      <c r="D41" s="1001">
        <v>0</v>
      </c>
      <c r="E41" s="1001"/>
      <c r="F41" s="1001"/>
      <c r="G41" s="1001"/>
      <c r="H41" s="419">
        <v>1</v>
      </c>
      <c r="I41" s="225">
        <f>D41*H41</f>
        <v>0</v>
      </c>
    </row>
    <row r="43" spans="1:10">
      <c r="B43" s="14" t="s">
        <v>104</v>
      </c>
      <c r="C43" s="1005" t="s">
        <v>130</v>
      </c>
      <c r="D43" s="1005"/>
      <c r="E43" s="1005"/>
      <c r="F43" s="1005"/>
      <c r="G43" s="1005"/>
      <c r="H43" s="1005"/>
      <c r="I43" s="76">
        <f>SUM(I44:I49)</f>
        <v>233.59</v>
      </c>
    </row>
    <row r="44" spans="1:10">
      <c r="B44" s="14"/>
      <c r="C44" s="17" t="s">
        <v>295</v>
      </c>
      <c r="D44" s="1001">
        <f>77.75+68.75</f>
        <v>146.5</v>
      </c>
      <c r="E44" s="1001"/>
      <c r="F44" s="1001"/>
      <c r="G44" s="1001"/>
      <c r="H44" s="417">
        <v>1</v>
      </c>
      <c r="I44" s="225">
        <f t="shared" ref="I44:I49" si="0">D44*H44</f>
        <v>146.5</v>
      </c>
    </row>
    <row r="45" spans="1:10">
      <c r="B45" s="14"/>
      <c r="C45" s="226" t="s">
        <v>1811</v>
      </c>
      <c r="D45" s="1001">
        <v>29.03</v>
      </c>
      <c r="E45" s="1001"/>
      <c r="F45" s="1001"/>
      <c r="G45" s="1001"/>
      <c r="H45" s="419">
        <v>3</v>
      </c>
      <c r="I45" s="225">
        <f t="shared" si="0"/>
        <v>87.09</v>
      </c>
    </row>
    <row r="46" spans="1:10">
      <c r="B46" s="14"/>
      <c r="C46" s="17" t="s">
        <v>1180</v>
      </c>
      <c r="D46" s="1001">
        <v>0</v>
      </c>
      <c r="E46" s="1001"/>
      <c r="F46" s="1001"/>
      <c r="G46" s="1001"/>
      <c r="H46" s="419">
        <v>1</v>
      </c>
      <c r="I46" s="225">
        <f t="shared" si="0"/>
        <v>0</v>
      </c>
    </row>
    <row r="47" spans="1:10">
      <c r="B47" s="14"/>
      <c r="C47" s="17" t="s">
        <v>1181</v>
      </c>
      <c r="D47" s="1001">
        <v>0</v>
      </c>
      <c r="E47" s="1001"/>
      <c r="F47" s="1001"/>
      <c r="G47" s="1001"/>
      <c r="H47" s="419">
        <v>1</v>
      </c>
      <c r="I47" s="225">
        <f t="shared" si="0"/>
        <v>0</v>
      </c>
    </row>
    <row r="48" spans="1:10">
      <c r="B48" s="14"/>
      <c r="C48" s="17" t="s">
        <v>1420</v>
      </c>
      <c r="D48" s="1001">
        <v>0</v>
      </c>
      <c r="E48" s="1001"/>
      <c r="F48" s="1001"/>
      <c r="G48" s="1001"/>
      <c r="H48" s="419">
        <v>2</v>
      </c>
      <c r="I48" s="225">
        <f t="shared" si="0"/>
        <v>0</v>
      </c>
    </row>
    <row r="49" spans="2:9">
      <c r="B49" s="14"/>
      <c r="C49" s="17" t="s">
        <v>1421</v>
      </c>
      <c r="D49" s="1001">
        <v>0</v>
      </c>
      <c r="E49" s="1001"/>
      <c r="F49" s="1001"/>
      <c r="G49" s="1001"/>
      <c r="H49" s="419">
        <v>1</v>
      </c>
      <c r="I49" s="225">
        <f t="shared" si="0"/>
        <v>0</v>
      </c>
    </row>
    <row r="50" spans="2:9">
      <c r="D50" s="1">
        <v>0</v>
      </c>
    </row>
    <row r="51" spans="2:9">
      <c r="B51" s="14" t="s">
        <v>118</v>
      </c>
      <c r="C51" s="1004" t="s">
        <v>150</v>
      </c>
      <c r="D51" s="1004"/>
      <c r="E51" s="1004"/>
      <c r="F51" s="1004"/>
      <c r="G51" s="1004"/>
      <c r="H51" s="1004"/>
      <c r="I51" s="76">
        <f>SUM(I52:I57)</f>
        <v>87.09</v>
      </c>
    </row>
    <row r="52" spans="2:9">
      <c r="B52" s="14"/>
      <c r="C52" s="17" t="s">
        <v>295</v>
      </c>
      <c r="D52" s="1001">
        <v>0</v>
      </c>
      <c r="E52" s="1001"/>
      <c r="F52" s="1001"/>
      <c r="G52" s="1001"/>
      <c r="H52" s="417">
        <v>1</v>
      </c>
      <c r="I52" s="225">
        <f t="shared" ref="I52:I57" si="1">D52*H52</f>
        <v>0</v>
      </c>
    </row>
    <row r="53" spans="2:9">
      <c r="B53" s="14"/>
      <c r="C53" s="226" t="s">
        <v>1811</v>
      </c>
      <c r="D53" s="1001">
        <v>29.03</v>
      </c>
      <c r="E53" s="1001"/>
      <c r="F53" s="1001"/>
      <c r="G53" s="1001"/>
      <c r="H53" s="419">
        <v>3</v>
      </c>
      <c r="I53" s="225">
        <f t="shared" si="1"/>
        <v>87.09</v>
      </c>
    </row>
    <row r="54" spans="2:9">
      <c r="B54" s="14"/>
      <c r="C54" s="17" t="s">
        <v>325</v>
      </c>
      <c r="D54" s="1001">
        <v>0</v>
      </c>
      <c r="E54" s="1001"/>
      <c r="F54" s="1001"/>
      <c r="G54" s="1001"/>
      <c r="H54" s="419">
        <v>1</v>
      </c>
      <c r="I54" s="225">
        <f t="shared" si="1"/>
        <v>0</v>
      </c>
    </row>
    <row r="55" spans="2:9">
      <c r="B55" s="14"/>
      <c r="C55" s="17" t="s">
        <v>1423</v>
      </c>
      <c r="D55" s="1001">
        <v>0</v>
      </c>
      <c r="E55" s="1001"/>
      <c r="F55" s="1001"/>
      <c r="G55" s="1001"/>
      <c r="H55" s="419">
        <v>1</v>
      </c>
      <c r="I55" s="225">
        <f t="shared" si="1"/>
        <v>0</v>
      </c>
    </row>
    <row r="56" spans="2:9">
      <c r="B56" s="14"/>
      <c r="C56" s="17" t="s">
        <v>1423</v>
      </c>
      <c r="D56" s="1001">
        <v>0</v>
      </c>
      <c r="E56" s="1001"/>
      <c r="F56" s="1001"/>
      <c r="G56" s="1001"/>
      <c r="H56" s="419">
        <v>1</v>
      </c>
      <c r="I56" s="225">
        <f t="shared" si="1"/>
        <v>0</v>
      </c>
    </row>
    <row r="57" spans="2:9">
      <c r="B57" s="14"/>
      <c r="C57" s="17" t="s">
        <v>1424</v>
      </c>
      <c r="D57" s="1001">
        <v>0</v>
      </c>
      <c r="E57" s="1001"/>
      <c r="F57" s="1001"/>
      <c r="G57" s="1001"/>
      <c r="H57" s="419">
        <v>1</v>
      </c>
      <c r="I57" s="225">
        <f t="shared" si="1"/>
        <v>0</v>
      </c>
    </row>
    <row r="59" spans="2:9">
      <c r="B59" s="14" t="s">
        <v>127</v>
      </c>
      <c r="C59" s="1004" t="s">
        <v>153</v>
      </c>
      <c r="D59" s="1004"/>
      <c r="E59" s="1004"/>
      <c r="F59" s="1004"/>
      <c r="G59" s="1004"/>
      <c r="H59" s="1004"/>
      <c r="I59" s="76">
        <f>SUM(I60:I67)</f>
        <v>233.59</v>
      </c>
    </row>
    <row r="60" spans="2:9">
      <c r="B60" s="14"/>
      <c r="C60" s="17" t="s">
        <v>295</v>
      </c>
      <c r="D60" s="1001">
        <f>77.75+68.75</f>
        <v>146.5</v>
      </c>
      <c r="E60" s="1001"/>
      <c r="F60" s="1001"/>
      <c r="G60" s="1001"/>
      <c r="H60" s="417">
        <v>1</v>
      </c>
      <c r="I60" s="225">
        <f>D60*H60</f>
        <v>146.5</v>
      </c>
    </row>
    <row r="61" spans="2:9">
      <c r="B61" s="14"/>
      <c r="C61" s="226" t="s">
        <v>1811</v>
      </c>
      <c r="D61" s="1001">
        <v>29.03</v>
      </c>
      <c r="E61" s="1001"/>
      <c r="F61" s="1001"/>
      <c r="G61" s="1001"/>
      <c r="H61" s="419">
        <v>3</v>
      </c>
      <c r="I61" s="225">
        <f t="shared" ref="I61:I67" si="2">D61*H61</f>
        <v>87.09</v>
      </c>
    </row>
    <row r="62" spans="2:9">
      <c r="B62" s="14"/>
      <c r="C62" s="17" t="s">
        <v>325</v>
      </c>
      <c r="D62" s="1001">
        <v>0</v>
      </c>
      <c r="E62" s="1001"/>
      <c r="F62" s="1001"/>
      <c r="G62" s="1001"/>
      <c r="H62" s="419">
        <v>1</v>
      </c>
      <c r="I62" s="225">
        <f t="shared" si="2"/>
        <v>0</v>
      </c>
    </row>
    <row r="63" spans="2:9">
      <c r="B63" s="14"/>
      <c r="C63" s="17" t="s">
        <v>1425</v>
      </c>
      <c r="D63" s="1001">
        <v>0</v>
      </c>
      <c r="E63" s="1001"/>
      <c r="F63" s="1001"/>
      <c r="G63" s="1001"/>
      <c r="H63" s="419">
        <v>1</v>
      </c>
      <c r="I63" s="225">
        <f t="shared" si="2"/>
        <v>0</v>
      </c>
    </row>
    <row r="64" spans="2:9">
      <c r="B64" s="14"/>
      <c r="C64" s="17" t="s">
        <v>1426</v>
      </c>
      <c r="D64" s="1001">
        <v>0</v>
      </c>
      <c r="E64" s="1001"/>
      <c r="F64" s="1001"/>
      <c r="G64" s="1001"/>
      <c r="H64" s="419">
        <v>1</v>
      </c>
      <c r="I64" s="225">
        <f t="shared" si="2"/>
        <v>0</v>
      </c>
    </row>
    <row r="65" spans="2:9">
      <c r="B65" s="14"/>
      <c r="C65" s="17" t="s">
        <v>1427</v>
      </c>
      <c r="D65" s="1001">
        <v>0</v>
      </c>
      <c r="E65" s="1001"/>
      <c r="F65" s="1001"/>
      <c r="G65" s="1001"/>
      <c r="H65" s="419">
        <v>1</v>
      </c>
      <c r="I65" s="225">
        <f t="shared" si="2"/>
        <v>0</v>
      </c>
    </row>
    <row r="66" spans="2:9">
      <c r="B66" s="14"/>
      <c r="C66" s="17" t="s">
        <v>1428</v>
      </c>
      <c r="D66" s="1001">
        <v>0</v>
      </c>
      <c r="E66" s="1001"/>
      <c r="F66" s="1001"/>
      <c r="G66" s="1001"/>
      <c r="H66" s="419">
        <v>1</v>
      </c>
      <c r="I66" s="225">
        <f t="shared" si="2"/>
        <v>0</v>
      </c>
    </row>
    <row r="67" spans="2:9">
      <c r="B67" s="14"/>
      <c r="C67" s="17" t="s">
        <v>1429</v>
      </c>
      <c r="D67" s="1001">
        <v>0</v>
      </c>
      <c r="E67" s="1001"/>
      <c r="F67" s="1001"/>
      <c r="G67" s="1001"/>
      <c r="H67" s="419">
        <v>1</v>
      </c>
      <c r="I67" s="225">
        <f t="shared" si="2"/>
        <v>0</v>
      </c>
    </row>
    <row r="69" spans="2:9">
      <c r="B69" s="14" t="s">
        <v>129</v>
      </c>
      <c r="C69" s="1004" t="s">
        <v>155</v>
      </c>
      <c r="D69" s="1004"/>
      <c r="E69" s="1004"/>
      <c r="F69" s="1004"/>
      <c r="G69" s="1004"/>
      <c r="H69" s="1004"/>
      <c r="I69" s="76">
        <f>SUM(I70:I76)</f>
        <v>233.59</v>
      </c>
    </row>
    <row r="70" spans="2:9">
      <c r="B70" s="14"/>
      <c r="C70" s="17" t="s">
        <v>295</v>
      </c>
      <c r="D70" s="1001">
        <f>77.75+68.75</f>
        <v>146.5</v>
      </c>
      <c r="E70" s="1001"/>
      <c r="F70" s="1001"/>
      <c r="G70" s="1001"/>
      <c r="H70" s="417">
        <v>1</v>
      </c>
      <c r="I70" s="225">
        <f>D70*H70</f>
        <v>146.5</v>
      </c>
    </row>
    <row r="71" spans="2:9">
      <c r="B71" s="14"/>
      <c r="C71" s="226" t="s">
        <v>1811</v>
      </c>
      <c r="D71" s="1001">
        <v>29.03</v>
      </c>
      <c r="E71" s="1001"/>
      <c r="F71" s="1001"/>
      <c r="G71" s="1001"/>
      <c r="H71" s="419">
        <v>3</v>
      </c>
      <c r="I71" s="225">
        <f t="shared" ref="I71:I76" si="3">D71*H71</f>
        <v>87.09</v>
      </c>
    </row>
    <row r="72" spans="2:9">
      <c r="B72" s="14"/>
      <c r="C72" s="17" t="s">
        <v>407</v>
      </c>
      <c r="D72" s="1001">
        <v>0</v>
      </c>
      <c r="E72" s="1001"/>
      <c r="F72" s="1001"/>
      <c r="G72" s="1001"/>
      <c r="H72" s="419">
        <v>1</v>
      </c>
      <c r="I72" s="225">
        <f t="shared" si="3"/>
        <v>0</v>
      </c>
    </row>
    <row r="73" spans="2:9">
      <c r="B73" s="14"/>
      <c r="C73" s="17" t="s">
        <v>418</v>
      </c>
      <c r="D73" s="1001">
        <v>0</v>
      </c>
      <c r="E73" s="1001"/>
      <c r="F73" s="1001"/>
      <c r="G73" s="1001"/>
      <c r="H73" s="419">
        <v>1</v>
      </c>
      <c r="I73" s="225">
        <f t="shared" si="3"/>
        <v>0</v>
      </c>
    </row>
    <row r="74" spans="2:9">
      <c r="B74" s="14"/>
      <c r="C74" s="17" t="s">
        <v>325</v>
      </c>
      <c r="D74" s="1001">
        <v>0</v>
      </c>
      <c r="E74" s="1001"/>
      <c r="F74" s="1001"/>
      <c r="G74" s="1001"/>
      <c r="H74" s="419">
        <v>1</v>
      </c>
      <c r="I74" s="225">
        <f t="shared" si="3"/>
        <v>0</v>
      </c>
    </row>
    <row r="75" spans="2:9">
      <c r="B75" s="14"/>
      <c r="C75" s="17" t="s">
        <v>500</v>
      </c>
      <c r="D75" s="1001">
        <v>0</v>
      </c>
      <c r="E75" s="1001"/>
      <c r="F75" s="1001"/>
      <c r="G75" s="1001"/>
      <c r="H75" s="419">
        <v>1</v>
      </c>
      <c r="I75" s="225">
        <f t="shared" si="3"/>
        <v>0</v>
      </c>
    </row>
    <row r="76" spans="2:9">
      <c r="B76" s="14"/>
      <c r="C76" s="17" t="s">
        <v>1430</v>
      </c>
      <c r="D76" s="1001">
        <v>0</v>
      </c>
      <c r="E76" s="1001"/>
      <c r="F76" s="1001"/>
      <c r="G76" s="1001"/>
      <c r="H76" s="419">
        <v>1</v>
      </c>
      <c r="I76" s="225">
        <f t="shared" si="3"/>
        <v>0</v>
      </c>
    </row>
    <row r="78" spans="2:9">
      <c r="B78" s="14" t="s">
        <v>149</v>
      </c>
      <c r="C78" s="1004" t="s">
        <v>157</v>
      </c>
      <c r="D78" s="1004"/>
      <c r="E78" s="1004"/>
      <c r="F78" s="1004"/>
      <c r="G78" s="1004"/>
      <c r="H78" s="1004"/>
      <c r="I78" s="76">
        <f>SUM(I79:I81)</f>
        <v>233.59</v>
      </c>
    </row>
    <row r="79" spans="2:9">
      <c r="B79" s="14"/>
      <c r="C79" s="17" t="s">
        <v>295</v>
      </c>
      <c r="D79" s="1001">
        <f>77.75+68.75</f>
        <v>146.5</v>
      </c>
      <c r="E79" s="1001"/>
      <c r="F79" s="1001"/>
      <c r="G79" s="1001"/>
      <c r="H79" s="417">
        <v>1</v>
      </c>
      <c r="I79" s="225">
        <f>D79*H79</f>
        <v>146.5</v>
      </c>
    </row>
    <row r="80" spans="2:9">
      <c r="B80" s="14"/>
      <c r="C80" s="226" t="s">
        <v>1811</v>
      </c>
      <c r="D80" s="1001">
        <v>29.03</v>
      </c>
      <c r="E80" s="1001"/>
      <c r="F80" s="1001"/>
      <c r="G80" s="1001"/>
      <c r="H80" s="419">
        <v>3</v>
      </c>
      <c r="I80" s="225">
        <f>D80*H80</f>
        <v>87.09</v>
      </c>
    </row>
    <row r="81" spans="2:9">
      <c r="B81" s="14"/>
      <c r="C81" s="17" t="s">
        <v>418</v>
      </c>
      <c r="D81" s="1001">
        <v>0</v>
      </c>
      <c r="E81" s="1001"/>
      <c r="F81" s="1001"/>
      <c r="G81" s="1001"/>
      <c r="H81" s="419">
        <v>1</v>
      </c>
      <c r="I81" s="225">
        <f>D81*H81</f>
        <v>0</v>
      </c>
    </row>
    <row r="83" spans="2:9">
      <c r="B83" s="77" t="s">
        <v>152</v>
      </c>
      <c r="C83" s="1002" t="s">
        <v>159</v>
      </c>
      <c r="D83" s="1002"/>
      <c r="E83" s="1002"/>
      <c r="F83" s="1002"/>
      <c r="G83" s="1002"/>
      <c r="H83" s="1003"/>
      <c r="I83" s="76">
        <f>$I$78</f>
        <v>233.59</v>
      </c>
    </row>
    <row r="85" spans="2:9">
      <c r="B85" s="14" t="s">
        <v>154</v>
      </c>
      <c r="C85" s="1002" t="s">
        <v>161</v>
      </c>
      <c r="D85" s="1002"/>
      <c r="E85" s="1002"/>
      <c r="F85" s="1002"/>
      <c r="G85" s="1002"/>
      <c r="H85" s="1003"/>
      <c r="I85" s="76">
        <f>I83</f>
        <v>233.59</v>
      </c>
    </row>
    <row r="87" spans="2:9">
      <c r="B87" s="14" t="s">
        <v>156</v>
      </c>
      <c r="C87" s="1004" t="s">
        <v>163</v>
      </c>
      <c r="D87" s="1004"/>
      <c r="E87" s="1004"/>
      <c r="F87" s="1004"/>
      <c r="G87" s="1004"/>
      <c r="H87" s="1004"/>
      <c r="I87" s="76">
        <f>SUM(I88:I89)</f>
        <v>233.59</v>
      </c>
    </row>
    <row r="88" spans="2:9">
      <c r="B88" s="14"/>
      <c r="C88" s="17" t="s">
        <v>295</v>
      </c>
      <c r="D88" s="1001">
        <f>77.75+68.75</f>
        <v>146.5</v>
      </c>
      <c r="E88" s="1001"/>
      <c r="F88" s="1001"/>
      <c r="G88" s="1001"/>
      <c r="H88" s="417">
        <v>1</v>
      </c>
      <c r="I88" s="225">
        <f>D88*H88</f>
        <v>146.5</v>
      </c>
    </row>
    <row r="89" spans="2:9">
      <c r="B89" s="14"/>
      <c r="C89" s="226" t="s">
        <v>1811</v>
      </c>
      <c r="D89" s="1001">
        <v>29.03</v>
      </c>
      <c r="E89" s="1001"/>
      <c r="F89" s="1001"/>
      <c r="G89" s="1001"/>
      <c r="H89" s="419">
        <v>3</v>
      </c>
      <c r="I89" s="225">
        <f>D89*H89</f>
        <v>87.09</v>
      </c>
    </row>
    <row r="91" spans="2:9">
      <c r="B91" s="14" t="s">
        <v>158</v>
      </c>
      <c r="C91" s="1004" t="s">
        <v>165</v>
      </c>
      <c r="D91" s="1004"/>
      <c r="E91" s="1004"/>
      <c r="F91" s="1004"/>
      <c r="G91" s="1004"/>
      <c r="H91" s="1004"/>
      <c r="I91" s="76">
        <f>SUM(I92:I93)</f>
        <v>146.5</v>
      </c>
    </row>
    <row r="92" spans="2:9">
      <c r="B92" s="14"/>
      <c r="C92" s="17" t="s">
        <v>295</v>
      </c>
      <c r="D92" s="1001">
        <v>146.5</v>
      </c>
      <c r="E92" s="1001"/>
      <c r="F92" s="1001"/>
      <c r="G92" s="1001"/>
      <c r="H92" s="417">
        <v>1</v>
      </c>
      <c r="I92" s="225">
        <f>D92*H92</f>
        <v>146.5</v>
      </c>
    </row>
    <row r="93" spans="2:9">
      <c r="B93" s="14"/>
      <c r="C93" s="17" t="s">
        <v>1422</v>
      </c>
      <c r="D93" s="1001">
        <v>0</v>
      </c>
      <c r="E93" s="1001"/>
      <c r="F93" s="1001"/>
      <c r="G93" s="1001"/>
      <c r="H93" s="419">
        <v>0</v>
      </c>
      <c r="I93" s="225">
        <f>D93*H93</f>
        <v>0</v>
      </c>
    </row>
  </sheetData>
  <mergeCells count="55">
    <mergeCell ref="D41:G41"/>
    <mergeCell ref="B3:I3"/>
    <mergeCell ref="B8:H8"/>
    <mergeCell ref="D29:G29"/>
    <mergeCell ref="C31:H31"/>
    <mergeCell ref="D32:G32"/>
    <mergeCell ref="D33:G33"/>
    <mergeCell ref="C35:H35"/>
    <mergeCell ref="D36:G36"/>
    <mergeCell ref="D37:G37"/>
    <mergeCell ref="C39:H39"/>
    <mergeCell ref="D40:G40"/>
    <mergeCell ref="D55:G55"/>
    <mergeCell ref="C43:H43"/>
    <mergeCell ref="D44:G44"/>
    <mergeCell ref="D45:G45"/>
    <mergeCell ref="D46:G46"/>
    <mergeCell ref="D47:G47"/>
    <mergeCell ref="D48:G48"/>
    <mergeCell ref="D49:G49"/>
    <mergeCell ref="C51:H51"/>
    <mergeCell ref="D52:G52"/>
    <mergeCell ref="D53:G53"/>
    <mergeCell ref="D54:G54"/>
    <mergeCell ref="C69:H69"/>
    <mergeCell ref="D56:G56"/>
    <mergeCell ref="D57:G57"/>
    <mergeCell ref="C59:H59"/>
    <mergeCell ref="D60:G60"/>
    <mergeCell ref="D61:G61"/>
    <mergeCell ref="D62:G62"/>
    <mergeCell ref="D63:G63"/>
    <mergeCell ref="D64:G64"/>
    <mergeCell ref="D65:G65"/>
    <mergeCell ref="D66:G66"/>
    <mergeCell ref="D67:G67"/>
    <mergeCell ref="C83:H83"/>
    <mergeCell ref="D70:G70"/>
    <mergeCell ref="D71:G71"/>
    <mergeCell ref="D72:G72"/>
    <mergeCell ref="D73:G73"/>
    <mergeCell ref="D74:G74"/>
    <mergeCell ref="D75:G75"/>
    <mergeCell ref="D76:G76"/>
    <mergeCell ref="C78:H78"/>
    <mergeCell ref="D79:G79"/>
    <mergeCell ref="D80:G80"/>
    <mergeCell ref="D81:G81"/>
    <mergeCell ref="D93:G93"/>
    <mergeCell ref="C85:H85"/>
    <mergeCell ref="C87:H87"/>
    <mergeCell ref="D88:G88"/>
    <mergeCell ref="D89:G89"/>
    <mergeCell ref="C91:H91"/>
    <mergeCell ref="D92:G92"/>
  </mergeCells>
  <pageMargins left="0.511811024" right="0.511811024" top="0.78740157499999996" bottom="0.78740157499999996" header="0.31496062000000002" footer="0.31496062000000002"/>
  <pageSetup paperSize="9" scale="59" orientation="portrait" r:id="rId1"/>
</worksheet>
</file>

<file path=xl/worksheets/sheet20.xml><?xml version="1.0" encoding="utf-8"?>
<worksheet xmlns="http://schemas.openxmlformats.org/spreadsheetml/2006/main" xmlns:r="http://schemas.openxmlformats.org/officeDocument/2006/relationships">
  <dimension ref="A1"/>
  <sheetViews>
    <sheetView view="pageBreakPreview" zoomScale="60" zoomScaleNormal="85" workbookViewId="0">
      <selection activeCell="A91" sqref="A91"/>
    </sheetView>
  </sheetViews>
  <sheetFormatPr defaultRowHeight="15.6"/>
  <sheetData/>
  <pageMargins left="0.511811024" right="0.511811024" top="0.78740157499999996" bottom="0.78740157499999996" header="0.31496062000000002" footer="0.31496062000000002"/>
  <pageSetup paperSize="9" orientation="landscape" r:id="rId1"/>
  <drawing r:id="rId2"/>
</worksheet>
</file>

<file path=xl/worksheets/sheet21.xml><?xml version="1.0" encoding="utf-8"?>
<worksheet xmlns="http://schemas.openxmlformats.org/spreadsheetml/2006/main" xmlns:r="http://schemas.openxmlformats.org/officeDocument/2006/relationships">
  <dimension ref="A1"/>
  <sheetViews>
    <sheetView view="pageBreakPreview" zoomScale="60" zoomScaleNormal="85" workbookViewId="0">
      <selection activeCell="P142" sqref="P142"/>
    </sheetView>
  </sheetViews>
  <sheetFormatPr defaultRowHeight="15.6"/>
  <sheetData/>
  <pageMargins left="0.511811024" right="0.511811024" top="0.78740157499999996" bottom="0.78740157499999996" header="0.31496062000000002" footer="0.31496062000000002"/>
  <pageSetup paperSize="9" orientation="landscape" r:id="rId1"/>
  <drawing r:id="rId2"/>
</worksheet>
</file>

<file path=xl/worksheets/sheet22.xml><?xml version="1.0" encoding="utf-8"?>
<worksheet xmlns="http://schemas.openxmlformats.org/spreadsheetml/2006/main" xmlns:r="http://schemas.openxmlformats.org/officeDocument/2006/relationships">
  <dimension ref="A1:C24"/>
  <sheetViews>
    <sheetView workbookViewId="0">
      <selection activeCell="A9" sqref="A9"/>
    </sheetView>
  </sheetViews>
  <sheetFormatPr defaultRowHeight="15.6"/>
  <cols>
    <col min="1" max="1" width="44.59765625" bestFit="1" customWidth="1"/>
    <col min="2" max="2" width="11.5" customWidth="1"/>
  </cols>
  <sheetData>
    <row r="1" spans="1:3" ht="15.75" customHeight="1">
      <c r="A1" s="1113" t="s">
        <v>2772</v>
      </c>
      <c r="B1" s="1113"/>
      <c r="C1" s="1113"/>
    </row>
    <row r="2" spans="1:3">
      <c r="A2" s="1111"/>
      <c r="B2" s="1112"/>
      <c r="C2" s="88"/>
    </row>
    <row r="3" spans="1:3">
      <c r="A3" s="100" t="s">
        <v>2773</v>
      </c>
      <c r="B3" s="100" t="s">
        <v>584</v>
      </c>
      <c r="C3" s="88"/>
    </row>
    <row r="4" spans="1:3">
      <c r="A4" s="88" t="s">
        <v>2774</v>
      </c>
      <c r="B4" s="636">
        <v>5986.31</v>
      </c>
      <c r="C4" s="636">
        <v>5986.31</v>
      </c>
    </row>
    <row r="5" spans="1:3">
      <c r="A5" s="88" t="s">
        <v>2775</v>
      </c>
      <c r="B5" s="636">
        <v>2556.96</v>
      </c>
      <c r="C5" s="636">
        <v>2556.96</v>
      </c>
    </row>
    <row r="6" spans="1:3">
      <c r="A6" s="88" t="s">
        <v>2776</v>
      </c>
      <c r="B6" s="636">
        <v>89.33</v>
      </c>
      <c r="C6" s="636">
        <v>89.33</v>
      </c>
    </row>
    <row r="7" spans="1:3">
      <c r="A7" s="88" t="s">
        <v>2777</v>
      </c>
      <c r="B7" s="636">
        <v>292.07</v>
      </c>
      <c r="C7" s="636">
        <v>292.07</v>
      </c>
    </row>
    <row r="8" spans="1:3">
      <c r="A8" s="88" t="s">
        <v>959</v>
      </c>
      <c r="B8" s="636">
        <v>113.1</v>
      </c>
      <c r="C8" s="636">
        <v>113.1</v>
      </c>
    </row>
    <row r="9" spans="1:3">
      <c r="A9" s="88" t="s">
        <v>590</v>
      </c>
      <c r="B9" s="636">
        <v>386.97</v>
      </c>
      <c r="C9" s="636">
        <v>386.97</v>
      </c>
    </row>
    <row r="10" spans="1:3">
      <c r="A10" s="88" t="s">
        <v>2778</v>
      </c>
      <c r="B10" s="636">
        <v>412.23</v>
      </c>
      <c r="C10" s="636">
        <v>412.23</v>
      </c>
    </row>
    <row r="11" spans="1:3">
      <c r="A11" s="88" t="s">
        <v>2779</v>
      </c>
      <c r="B11" s="636">
        <v>118.7</v>
      </c>
      <c r="C11" s="636">
        <v>118.7</v>
      </c>
    </row>
    <row r="12" spans="1:3">
      <c r="A12" s="88" t="s">
        <v>2780</v>
      </c>
      <c r="B12" s="636">
        <v>2236.56</v>
      </c>
      <c r="C12" s="636">
        <v>2236.56</v>
      </c>
    </row>
    <row r="13" spans="1:3" ht="31.2">
      <c r="A13" s="452" t="s">
        <v>2781</v>
      </c>
      <c r="B13" s="636"/>
      <c r="C13" s="636">
        <v>9740.44</v>
      </c>
    </row>
    <row r="14" spans="1:3">
      <c r="A14" s="88" t="s">
        <v>2782</v>
      </c>
      <c r="B14" s="636">
        <v>1996.58</v>
      </c>
      <c r="C14" s="636">
        <v>1996.58</v>
      </c>
    </row>
    <row r="15" spans="1:3">
      <c r="A15" s="88" t="s">
        <v>2783</v>
      </c>
      <c r="B15" s="636">
        <v>1996.58</v>
      </c>
      <c r="C15" s="636">
        <v>1996.58</v>
      </c>
    </row>
    <row r="16" spans="1:3">
      <c r="A16" s="88" t="s">
        <v>2784</v>
      </c>
      <c r="B16" s="636">
        <v>1996.58</v>
      </c>
      <c r="C16" s="636">
        <v>1996.58</v>
      </c>
    </row>
    <row r="17" spans="1:3">
      <c r="A17" s="88" t="s">
        <v>2785</v>
      </c>
      <c r="B17" s="636">
        <v>1999.58</v>
      </c>
      <c r="C17" s="636">
        <v>1999.58</v>
      </c>
    </row>
    <row r="18" spans="1:3">
      <c r="A18" s="88" t="s">
        <v>2786</v>
      </c>
      <c r="B18" s="636">
        <v>1999.58</v>
      </c>
      <c r="C18" s="636">
        <v>1999.58</v>
      </c>
    </row>
    <row r="19" spans="1:3">
      <c r="A19" s="88" t="s">
        <v>2787</v>
      </c>
      <c r="B19" s="636">
        <v>1999.58</v>
      </c>
      <c r="C19" s="636">
        <v>1999.58</v>
      </c>
    </row>
    <row r="20" spans="1:3">
      <c r="A20" s="88" t="s">
        <v>2788</v>
      </c>
      <c r="B20" s="636">
        <v>1999.58</v>
      </c>
      <c r="C20" s="636">
        <v>1999.58</v>
      </c>
    </row>
    <row r="21" spans="1:3">
      <c r="A21" s="88" t="s">
        <v>2789</v>
      </c>
      <c r="B21" s="636">
        <v>701.07</v>
      </c>
      <c r="C21" s="636">
        <v>701.07</v>
      </c>
    </row>
    <row r="22" spans="1:3">
      <c r="A22" s="88" t="s">
        <v>1436</v>
      </c>
      <c r="B22" s="636"/>
      <c r="C22" s="636">
        <v>313.29000000000002</v>
      </c>
    </row>
    <row r="23" spans="1:3">
      <c r="A23" s="637" t="s">
        <v>2790</v>
      </c>
      <c r="B23" s="638">
        <f>SUM(B4:B21)</f>
        <v>26881.360000000008</v>
      </c>
      <c r="C23" s="638">
        <f>SUM(C4:C22)</f>
        <v>36935.090000000011</v>
      </c>
    </row>
    <row r="24" spans="1:3">
      <c r="A24" s="637"/>
      <c r="B24" s="638"/>
    </row>
  </sheetData>
  <mergeCells count="2">
    <mergeCell ref="A2:B2"/>
    <mergeCell ref="A1:C1"/>
  </mergeCells>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dimension ref="A1:K646"/>
  <sheetViews>
    <sheetView workbookViewId="0"/>
  </sheetViews>
  <sheetFormatPr defaultColWidth="9" defaultRowHeight="15.6" outlineLevelRow="1"/>
  <cols>
    <col min="1" max="1" width="3.3984375" style="1" customWidth="1"/>
    <col min="2" max="2" width="9" style="1"/>
    <col min="3" max="3" width="45.69921875" style="1" customWidth="1"/>
    <col min="4" max="10" width="12.59765625" style="1" customWidth="1"/>
    <col min="11" max="16384" width="9" style="1"/>
  </cols>
  <sheetData>
    <row r="1" spans="1:11" ht="16.2" thickBot="1">
      <c r="A1" s="2" t="s">
        <v>0</v>
      </c>
      <c r="B1" s="3"/>
      <c r="C1" s="2"/>
      <c r="D1" s="2"/>
      <c r="E1" s="2"/>
      <c r="F1" s="2"/>
      <c r="G1" s="2"/>
      <c r="H1" s="2"/>
      <c r="I1" s="2"/>
      <c r="J1" s="2"/>
      <c r="K1" s="2"/>
    </row>
    <row r="2" spans="1:11">
      <c r="A2" s="2"/>
      <c r="B2" s="37"/>
      <c r="C2" s="38"/>
      <c r="D2" s="38"/>
      <c r="E2" s="38"/>
      <c r="F2" s="38"/>
      <c r="G2" s="38"/>
      <c r="H2" s="38"/>
      <c r="I2" s="38"/>
      <c r="J2" s="39"/>
      <c r="K2" s="2"/>
    </row>
    <row r="3" spans="1:11" ht="17.399999999999999">
      <c r="A3" s="2"/>
      <c r="B3" s="1006" t="s">
        <v>208</v>
      </c>
      <c r="C3" s="1007"/>
      <c r="D3" s="1007"/>
      <c r="E3" s="1007"/>
      <c r="F3" s="1007"/>
      <c r="G3" s="1007"/>
      <c r="H3" s="1007"/>
      <c r="I3" s="1007"/>
      <c r="J3" s="1008"/>
      <c r="K3" s="2"/>
    </row>
    <row r="4" spans="1:11" ht="17.399999999999999">
      <c r="A4" s="2"/>
      <c r="B4" s="40"/>
      <c r="C4" s="41"/>
      <c r="D4" s="41"/>
      <c r="E4" s="41"/>
      <c r="F4" s="41"/>
      <c r="G4" s="41"/>
      <c r="H4" s="41"/>
      <c r="I4" s="41"/>
      <c r="J4" s="42"/>
      <c r="K4" s="2"/>
    </row>
    <row r="5" spans="1:11" ht="17.399999999999999">
      <c r="A5" s="2"/>
      <c r="B5" s="40"/>
      <c r="C5" s="43" t="s">
        <v>209</v>
      </c>
      <c r="D5" s="44" t="s">
        <v>213</v>
      </c>
      <c r="E5" s="45"/>
      <c r="F5" s="45"/>
      <c r="G5" s="45"/>
      <c r="H5" s="45"/>
      <c r="I5" s="46">
        <f>J18+J22+J25+J28+J31+J34+J37+J38+J42+J43+J47+J48+J52+J53+J57+J58+J62+J63+J67+J68+J72+J73+J77</f>
        <v>29880.8675</v>
      </c>
      <c r="J5" s="47" t="s">
        <v>212</v>
      </c>
      <c r="K5" s="2"/>
    </row>
    <row r="6" spans="1:11" ht="17.399999999999999">
      <c r="A6" s="2"/>
      <c r="B6" s="40"/>
      <c r="C6" s="43" t="s">
        <v>210</v>
      </c>
      <c r="D6" s="44" t="s">
        <v>213</v>
      </c>
      <c r="E6" s="45"/>
      <c r="F6" s="45"/>
      <c r="G6" s="45"/>
      <c r="H6" s="45"/>
      <c r="I6" s="46">
        <f>J19+J39+J44+J49+J54+J59+J64+J69+J74</f>
        <v>4575.3999999999996</v>
      </c>
      <c r="J6" s="47" t="s">
        <v>212</v>
      </c>
      <c r="K6" s="2"/>
    </row>
    <row r="7" spans="1:11" ht="17.399999999999999">
      <c r="A7" s="2"/>
      <c r="B7" s="40"/>
      <c r="C7" s="48" t="s">
        <v>9</v>
      </c>
      <c r="D7" s="44" t="s">
        <v>213</v>
      </c>
      <c r="E7" s="41"/>
      <c r="F7" s="41"/>
      <c r="G7" s="41"/>
      <c r="H7" s="41"/>
      <c r="I7" s="49">
        <f>I5+I6</f>
        <v>34456.267500000002</v>
      </c>
      <c r="J7" s="50" t="s">
        <v>212</v>
      </c>
      <c r="K7" s="2"/>
    </row>
    <row r="8" spans="1:11" ht="17.399999999999999">
      <c r="A8" s="2"/>
      <c r="B8" s="40"/>
      <c r="C8" s="43" t="s">
        <v>1220</v>
      </c>
      <c r="D8" s="44" t="s">
        <v>213</v>
      </c>
      <c r="E8" s="45"/>
      <c r="F8" s="45"/>
      <c r="G8" s="45"/>
      <c r="H8" s="45"/>
      <c r="I8" s="46">
        <f>H646</f>
        <v>8386.2500000000091</v>
      </c>
      <c r="J8" s="47" t="s">
        <v>212</v>
      </c>
      <c r="K8" s="2"/>
    </row>
    <row r="9" spans="1:11" ht="17.399999999999999">
      <c r="A9" s="2"/>
      <c r="B9" s="128"/>
      <c r="C9" s="48"/>
      <c r="D9" s="44"/>
      <c r="E9" s="129"/>
      <c r="F9" s="129"/>
      <c r="G9" s="129"/>
      <c r="H9" s="129"/>
      <c r="I9" s="49"/>
      <c r="J9" s="50"/>
      <c r="K9" s="2"/>
    </row>
    <row r="10" spans="1:11" ht="18" thickBot="1">
      <c r="A10" s="2"/>
      <c r="B10" s="40"/>
      <c r="C10" s="48"/>
      <c r="D10" s="51" t="s">
        <v>214</v>
      </c>
      <c r="E10" s="52"/>
      <c r="F10" s="52"/>
      <c r="G10" s="52"/>
      <c r="H10" s="52"/>
      <c r="I10" s="53">
        <v>4.5</v>
      </c>
      <c r="J10" s="54" t="s">
        <v>217</v>
      </c>
      <c r="K10" s="2"/>
    </row>
    <row r="11" spans="1:11" ht="17.399999999999999">
      <c r="A11" s="2"/>
      <c r="B11" s="40"/>
      <c r="C11" s="48"/>
      <c r="D11" s="51" t="s">
        <v>215</v>
      </c>
      <c r="E11" s="52"/>
      <c r="F11" s="52"/>
      <c r="G11" s="52"/>
      <c r="H11" s="52"/>
      <c r="I11" s="58">
        <v>0.5</v>
      </c>
      <c r="J11" s="54" t="s">
        <v>217</v>
      </c>
      <c r="K11" s="2"/>
    </row>
    <row r="12" spans="1:11" ht="17.399999999999999">
      <c r="A12" s="2"/>
      <c r="B12" s="40"/>
      <c r="C12" s="48"/>
      <c r="D12" s="51" t="s">
        <v>216</v>
      </c>
      <c r="E12" s="52"/>
      <c r="F12" s="52"/>
      <c r="G12" s="52"/>
      <c r="H12" s="52"/>
      <c r="I12" s="53">
        <f>I10-I11</f>
        <v>4</v>
      </c>
      <c r="J12" s="54" t="s">
        <v>217</v>
      </c>
      <c r="K12" s="2"/>
    </row>
    <row r="13" spans="1:11" ht="16.2" thickBot="1">
      <c r="A13" s="2"/>
      <c r="B13" s="55"/>
      <c r="C13" s="56"/>
      <c r="D13" s="56"/>
      <c r="E13" s="56"/>
      <c r="F13" s="56"/>
      <c r="G13" s="56"/>
      <c r="H13" s="56"/>
      <c r="I13" s="56"/>
      <c r="J13" s="57"/>
      <c r="K13" s="2"/>
    </row>
    <row r="14" spans="1:11">
      <c r="A14" s="2"/>
      <c r="B14" s="35"/>
      <c r="C14" s="36"/>
      <c r="D14" s="36"/>
      <c r="E14" s="36"/>
      <c r="F14" s="36"/>
      <c r="G14" s="36"/>
      <c r="H14" s="36"/>
      <c r="I14" s="36"/>
      <c r="J14" s="36"/>
      <c r="K14" s="2"/>
    </row>
    <row r="15" spans="1:11">
      <c r="A15" s="2"/>
      <c r="B15" s="1018" t="s">
        <v>175</v>
      </c>
      <c r="C15" s="1018"/>
      <c r="D15" s="1018"/>
      <c r="E15" s="1018"/>
      <c r="F15" s="1018"/>
      <c r="G15" s="1018"/>
      <c r="H15" s="1018"/>
      <c r="I15" s="1018"/>
      <c r="J15" s="1018"/>
      <c r="K15" s="2"/>
    </row>
    <row r="16" spans="1:11">
      <c r="A16" s="2"/>
      <c r="B16" s="29"/>
      <c r="C16" s="2"/>
      <c r="D16" s="2"/>
      <c r="E16" s="2"/>
      <c r="F16" s="2"/>
      <c r="G16" s="2"/>
      <c r="H16" s="2"/>
      <c r="I16" s="2"/>
      <c r="J16" s="2"/>
      <c r="K16" s="2"/>
    </row>
    <row r="17" spans="1:11">
      <c r="A17" s="2"/>
      <c r="B17" s="14" t="s">
        <v>86</v>
      </c>
      <c r="C17" s="28" t="s">
        <v>103</v>
      </c>
      <c r="D17" s="18"/>
      <c r="E17" s="18"/>
      <c r="F17" s="18"/>
      <c r="G17" s="19"/>
      <c r="H17" s="20"/>
      <c r="I17" s="18"/>
      <c r="J17" s="20"/>
      <c r="K17" s="2"/>
    </row>
    <row r="18" spans="1:11">
      <c r="A18" s="2"/>
      <c r="B18" s="29" t="s">
        <v>176</v>
      </c>
      <c r="C18" s="17" t="s">
        <v>77</v>
      </c>
      <c r="D18" s="18"/>
      <c r="E18" s="18"/>
      <c r="F18" s="18"/>
      <c r="G18" s="19"/>
      <c r="H18" s="20"/>
      <c r="I18" s="18"/>
      <c r="J18" s="23">
        <f>J88</f>
        <v>3535.1999999999994</v>
      </c>
      <c r="K18" s="2"/>
    </row>
    <row r="19" spans="1:11">
      <c r="A19" s="2"/>
      <c r="B19" s="29" t="s">
        <v>177</v>
      </c>
      <c r="C19" s="17" t="s">
        <v>178</v>
      </c>
      <c r="D19" s="18"/>
      <c r="E19" s="18"/>
      <c r="F19" s="18"/>
      <c r="G19" s="19"/>
      <c r="H19" s="20"/>
      <c r="I19" s="18"/>
      <c r="J19" s="23">
        <f>J158</f>
        <v>383.40000000000003</v>
      </c>
      <c r="K19" s="2"/>
    </row>
    <row r="20" spans="1:11">
      <c r="A20" s="2"/>
      <c r="B20" s="29"/>
      <c r="C20" s="17"/>
      <c r="D20" s="18"/>
      <c r="E20" s="18"/>
      <c r="F20" s="18"/>
      <c r="G20" s="19"/>
      <c r="H20" s="20"/>
      <c r="I20" s="18"/>
      <c r="J20" s="23"/>
      <c r="K20" s="2"/>
    </row>
    <row r="21" spans="1:11">
      <c r="A21" s="2"/>
      <c r="B21" s="14" t="s">
        <v>87</v>
      </c>
      <c r="C21" s="28" t="s">
        <v>88</v>
      </c>
      <c r="D21" s="18"/>
      <c r="E21" s="18"/>
      <c r="F21" s="18"/>
      <c r="G21" s="19"/>
      <c r="H21" s="20"/>
      <c r="I21" s="18"/>
      <c r="J21" s="23"/>
      <c r="K21" s="2"/>
    </row>
    <row r="22" spans="1:11">
      <c r="A22" s="2"/>
      <c r="B22" s="29"/>
      <c r="C22" s="17" t="s">
        <v>77</v>
      </c>
      <c r="D22" s="18"/>
      <c r="E22" s="18"/>
      <c r="F22" s="18"/>
      <c r="G22" s="19"/>
      <c r="H22" s="20"/>
      <c r="I22" s="18"/>
      <c r="J22" s="23">
        <f>J168</f>
        <v>298.99</v>
      </c>
      <c r="K22" s="2"/>
    </row>
    <row r="23" spans="1:11">
      <c r="A23" s="2"/>
      <c r="B23" s="29"/>
      <c r="C23" s="17"/>
      <c r="D23" s="18"/>
      <c r="E23" s="18"/>
      <c r="F23" s="18"/>
      <c r="G23" s="19"/>
      <c r="H23" s="20"/>
      <c r="I23" s="18"/>
      <c r="J23" s="23"/>
      <c r="K23" s="2"/>
    </row>
    <row r="24" spans="1:11">
      <c r="A24" s="2"/>
      <c r="B24" s="14" t="s">
        <v>98</v>
      </c>
      <c r="C24" s="28" t="s">
        <v>99</v>
      </c>
      <c r="D24" s="18"/>
      <c r="E24" s="18"/>
      <c r="F24" s="18"/>
      <c r="G24" s="19"/>
      <c r="H24" s="20"/>
      <c r="I24" s="18"/>
      <c r="K24" s="2"/>
    </row>
    <row r="25" spans="1:11">
      <c r="A25" s="2"/>
      <c r="B25" s="29"/>
      <c r="C25" s="17" t="s">
        <v>77</v>
      </c>
      <c r="D25" s="18"/>
      <c r="E25" s="18"/>
      <c r="F25" s="18"/>
      <c r="G25" s="19"/>
      <c r="H25" s="20"/>
      <c r="I25" s="18"/>
      <c r="J25" s="23">
        <f>J180</f>
        <v>536.53</v>
      </c>
      <c r="K25" s="2"/>
    </row>
    <row r="26" spans="1:11">
      <c r="A26" s="2"/>
      <c r="B26" s="29"/>
      <c r="C26" s="17"/>
      <c r="D26" s="18"/>
      <c r="E26" s="18"/>
      <c r="F26" s="18"/>
      <c r="G26" s="19"/>
      <c r="H26" s="20"/>
      <c r="I26" s="18"/>
      <c r="J26" s="23"/>
      <c r="K26" s="2"/>
    </row>
    <row r="27" spans="1:11">
      <c r="A27" s="2"/>
      <c r="B27" s="14" t="s">
        <v>104</v>
      </c>
      <c r="C27" s="28" t="s">
        <v>105</v>
      </c>
      <c r="D27" s="18"/>
      <c r="E27" s="18"/>
      <c r="F27" s="18"/>
      <c r="G27" s="19"/>
      <c r="H27" s="20"/>
      <c r="I27" s="18"/>
      <c r="K27" s="2"/>
    </row>
    <row r="28" spans="1:11">
      <c r="A28" s="2"/>
      <c r="B28" s="29"/>
      <c r="C28" s="17" t="s">
        <v>77</v>
      </c>
      <c r="D28" s="18"/>
      <c r="E28" s="18"/>
      <c r="F28" s="18"/>
      <c r="G28" s="19"/>
      <c r="H28" s="20"/>
      <c r="I28" s="18"/>
      <c r="J28" s="23">
        <f>J194</f>
        <v>1057.2750000000001</v>
      </c>
      <c r="K28" s="2"/>
    </row>
    <row r="29" spans="1:11">
      <c r="A29" s="2"/>
      <c r="B29" s="29"/>
      <c r="C29" s="17"/>
      <c r="D29" s="18"/>
      <c r="E29" s="18"/>
      <c r="F29" s="18"/>
      <c r="G29" s="19"/>
      <c r="H29" s="20"/>
      <c r="I29" s="18"/>
      <c r="J29" s="23"/>
      <c r="K29" s="2"/>
    </row>
    <row r="30" spans="1:11">
      <c r="A30" s="2"/>
      <c r="B30" s="14" t="s">
        <v>118</v>
      </c>
      <c r="C30" s="28" t="s">
        <v>119</v>
      </c>
      <c r="D30" s="18"/>
      <c r="E30" s="18"/>
      <c r="F30" s="18"/>
      <c r="G30" s="19"/>
      <c r="H30" s="20"/>
      <c r="I30" s="18"/>
      <c r="K30" s="2"/>
    </row>
    <row r="31" spans="1:11">
      <c r="A31" s="2"/>
      <c r="B31" s="29"/>
      <c r="C31" s="17" t="s">
        <v>77</v>
      </c>
      <c r="D31" s="18"/>
      <c r="E31" s="18"/>
      <c r="F31" s="18"/>
      <c r="G31" s="19"/>
      <c r="H31" s="20"/>
      <c r="I31" s="18"/>
      <c r="J31" s="23">
        <f>J221</f>
        <v>929.73749999999995</v>
      </c>
      <c r="K31" s="2"/>
    </row>
    <row r="32" spans="1:11">
      <c r="A32" s="2"/>
      <c r="B32" s="29"/>
      <c r="C32" s="17"/>
      <c r="D32" s="18"/>
      <c r="E32" s="18"/>
      <c r="F32" s="18"/>
      <c r="G32" s="19"/>
      <c r="H32" s="20"/>
      <c r="I32" s="18"/>
      <c r="J32" s="23"/>
      <c r="K32" s="2"/>
    </row>
    <row r="33" spans="1:11">
      <c r="A33" s="2"/>
      <c r="B33" s="14" t="s">
        <v>127</v>
      </c>
      <c r="C33" s="28" t="s">
        <v>128</v>
      </c>
      <c r="D33" s="18"/>
      <c r="E33" s="18"/>
      <c r="F33" s="18"/>
      <c r="G33" s="19"/>
      <c r="H33" s="20"/>
      <c r="I33" s="18"/>
      <c r="K33" s="2"/>
    </row>
    <row r="34" spans="1:11">
      <c r="A34" s="2"/>
      <c r="B34" s="29"/>
      <c r="C34" s="17" t="s">
        <v>77</v>
      </c>
      <c r="D34" s="18"/>
      <c r="E34" s="18"/>
      <c r="F34" s="18"/>
      <c r="G34" s="19"/>
      <c r="H34" s="20"/>
      <c r="I34" s="18"/>
      <c r="J34" s="23">
        <f>J253</f>
        <v>546.13499999999999</v>
      </c>
      <c r="K34" s="2"/>
    </row>
    <row r="35" spans="1:11">
      <c r="A35" s="2"/>
      <c r="B35" s="29"/>
      <c r="C35" s="17"/>
      <c r="D35" s="18"/>
      <c r="E35" s="18"/>
      <c r="F35" s="18"/>
      <c r="G35" s="19"/>
      <c r="H35" s="20"/>
      <c r="I35" s="18"/>
      <c r="J35" s="23"/>
      <c r="K35" s="2"/>
    </row>
    <row r="36" spans="1:11">
      <c r="A36" s="2"/>
      <c r="B36" s="14" t="s">
        <v>129</v>
      </c>
      <c r="C36" s="28" t="s">
        <v>130</v>
      </c>
      <c r="D36" s="18"/>
      <c r="E36" s="18"/>
      <c r="F36" s="18"/>
      <c r="G36" s="19"/>
      <c r="H36" s="20"/>
      <c r="I36" s="18"/>
      <c r="J36" s="20"/>
      <c r="K36" s="2"/>
    </row>
    <row r="37" spans="1:11">
      <c r="A37" s="2"/>
      <c r="B37" s="29" t="s">
        <v>180</v>
      </c>
      <c r="C37" s="17" t="s">
        <v>77</v>
      </c>
      <c r="D37" s="18"/>
      <c r="E37" s="18"/>
      <c r="F37" s="18"/>
      <c r="G37" s="19"/>
      <c r="H37" s="20"/>
      <c r="I37" s="18"/>
      <c r="J37" s="23">
        <f>J261</f>
        <v>2833.3999999999992</v>
      </c>
      <c r="K37" s="2"/>
    </row>
    <row r="38" spans="1:11">
      <c r="A38" s="2"/>
      <c r="B38" s="29" t="s">
        <v>181</v>
      </c>
      <c r="C38" s="17" t="s">
        <v>2500</v>
      </c>
      <c r="D38" s="18"/>
      <c r="E38" s="18"/>
      <c r="F38" s="18"/>
      <c r="G38" s="19"/>
      <c r="H38" s="20"/>
      <c r="I38" s="18"/>
      <c r="J38" s="23">
        <f>$J$627</f>
        <v>246</v>
      </c>
      <c r="K38" s="2"/>
    </row>
    <row r="39" spans="1:11">
      <c r="A39" s="2"/>
      <c r="B39" s="29" t="s">
        <v>182</v>
      </c>
      <c r="C39" s="17" t="s">
        <v>178</v>
      </c>
      <c r="D39" s="18"/>
      <c r="E39" s="18"/>
      <c r="F39" s="18"/>
      <c r="G39" s="19"/>
      <c r="H39" s="20"/>
      <c r="I39" s="18"/>
      <c r="J39" s="23">
        <f>J322+J621</f>
        <v>524</v>
      </c>
      <c r="K39" s="2"/>
    </row>
    <row r="40" spans="1:11">
      <c r="A40" s="2"/>
      <c r="B40" s="29"/>
      <c r="C40" s="17"/>
      <c r="D40" s="18"/>
      <c r="E40" s="18"/>
      <c r="F40" s="18"/>
      <c r="G40" s="19"/>
      <c r="H40" s="20"/>
      <c r="I40" s="18"/>
      <c r="J40" s="23"/>
      <c r="K40" s="2"/>
    </row>
    <row r="41" spans="1:11">
      <c r="A41" s="2"/>
      <c r="B41" s="14" t="s">
        <v>149</v>
      </c>
      <c r="C41" s="28" t="s">
        <v>150</v>
      </c>
      <c r="D41" s="18"/>
      <c r="E41" s="18"/>
      <c r="F41" s="18"/>
      <c r="G41" s="19"/>
      <c r="H41" s="20"/>
      <c r="I41" s="18"/>
      <c r="J41" s="20"/>
      <c r="K41" s="2"/>
    </row>
    <row r="42" spans="1:11">
      <c r="A42" s="2"/>
      <c r="B42" s="29" t="s">
        <v>183</v>
      </c>
      <c r="C42" s="17" t="s">
        <v>77</v>
      </c>
      <c r="D42" s="18"/>
      <c r="E42" s="18"/>
      <c r="F42" s="18"/>
      <c r="G42" s="19"/>
      <c r="H42" s="20"/>
      <c r="I42" s="18"/>
      <c r="J42" s="23">
        <f>J331</f>
        <v>2813.8000000000006</v>
      </c>
      <c r="K42" s="2"/>
    </row>
    <row r="43" spans="1:11">
      <c r="A43" s="2"/>
      <c r="B43" s="29" t="s">
        <v>184</v>
      </c>
      <c r="C43" s="17" t="s">
        <v>2500</v>
      </c>
      <c r="D43" s="18"/>
      <c r="E43" s="18"/>
      <c r="F43" s="18"/>
      <c r="G43" s="19"/>
      <c r="H43" s="20"/>
      <c r="I43" s="18"/>
      <c r="J43" s="23">
        <f>$J$627</f>
        <v>246</v>
      </c>
      <c r="K43" s="2"/>
    </row>
    <row r="44" spans="1:11">
      <c r="A44" s="2"/>
      <c r="B44" s="29" t="s">
        <v>186</v>
      </c>
      <c r="C44" s="17" t="s">
        <v>178</v>
      </c>
      <c r="D44" s="18"/>
      <c r="E44" s="18"/>
      <c r="F44" s="18"/>
      <c r="G44" s="19"/>
      <c r="H44" s="20"/>
      <c r="I44" s="18"/>
      <c r="J44" s="23">
        <f>J379+J621</f>
        <v>524</v>
      </c>
      <c r="K44" s="2"/>
    </row>
    <row r="45" spans="1:11">
      <c r="A45" s="2"/>
      <c r="B45" s="29"/>
      <c r="C45" s="17"/>
      <c r="D45" s="18"/>
      <c r="E45" s="18"/>
      <c r="F45" s="18"/>
      <c r="G45" s="19"/>
      <c r="H45" s="20"/>
      <c r="I45" s="18"/>
      <c r="J45" s="23"/>
      <c r="K45" s="2"/>
    </row>
    <row r="46" spans="1:11">
      <c r="A46" s="2"/>
      <c r="B46" s="14" t="s">
        <v>152</v>
      </c>
      <c r="C46" s="28" t="s">
        <v>153</v>
      </c>
      <c r="D46" s="18"/>
      <c r="E46" s="18"/>
      <c r="F46" s="18"/>
      <c r="G46" s="19"/>
      <c r="H46" s="20"/>
      <c r="I46" s="18"/>
      <c r="J46" s="20"/>
      <c r="K46" s="2"/>
    </row>
    <row r="47" spans="1:11">
      <c r="A47" s="2"/>
      <c r="B47" s="29" t="s">
        <v>187</v>
      </c>
      <c r="C47" s="17" t="s">
        <v>77</v>
      </c>
      <c r="D47" s="18"/>
      <c r="E47" s="18"/>
      <c r="F47" s="18"/>
      <c r="G47" s="19"/>
      <c r="H47" s="20"/>
      <c r="I47" s="18"/>
      <c r="J47" s="23">
        <f>J388</f>
        <v>2343.6000000000013</v>
      </c>
      <c r="K47" s="2"/>
    </row>
    <row r="48" spans="1:11">
      <c r="A48" s="2"/>
      <c r="B48" s="29" t="s">
        <v>188</v>
      </c>
      <c r="C48" s="17" t="s">
        <v>2500</v>
      </c>
      <c r="D48" s="18"/>
      <c r="E48" s="18"/>
      <c r="F48" s="18"/>
      <c r="G48" s="19"/>
      <c r="H48" s="20"/>
      <c r="I48" s="18"/>
      <c r="J48" s="23">
        <f>$J$627</f>
        <v>246</v>
      </c>
      <c r="K48" s="2"/>
    </row>
    <row r="49" spans="1:11">
      <c r="A49" s="2"/>
      <c r="B49" s="29" t="s">
        <v>190</v>
      </c>
      <c r="C49" s="17" t="s">
        <v>178</v>
      </c>
      <c r="D49" s="18"/>
      <c r="E49" s="18"/>
      <c r="F49" s="18"/>
      <c r="G49" s="19"/>
      <c r="H49" s="20"/>
      <c r="I49" s="18"/>
      <c r="J49" s="23">
        <f>J442+J621</f>
        <v>524</v>
      </c>
      <c r="K49" s="2"/>
    </row>
    <row r="50" spans="1:11">
      <c r="A50" s="2"/>
      <c r="B50" s="29"/>
      <c r="C50" s="31"/>
      <c r="D50" s="32"/>
      <c r="E50" s="32"/>
      <c r="F50" s="32"/>
      <c r="G50" s="13"/>
      <c r="H50" s="33"/>
      <c r="I50" s="32"/>
      <c r="J50" s="34"/>
      <c r="K50" s="2"/>
    </row>
    <row r="51" spans="1:11">
      <c r="A51" s="2"/>
      <c r="B51" s="14" t="s">
        <v>154</v>
      </c>
      <c r="C51" s="28" t="s">
        <v>155</v>
      </c>
      <c r="D51" s="18"/>
      <c r="E51" s="18"/>
      <c r="F51" s="18"/>
      <c r="G51" s="19"/>
      <c r="H51" s="20"/>
      <c r="I51" s="18"/>
      <c r="J51" s="20"/>
      <c r="K51" s="2"/>
    </row>
    <row r="52" spans="1:11">
      <c r="A52" s="2"/>
      <c r="B52" s="29" t="s">
        <v>192</v>
      </c>
      <c r="C52" s="17" t="s">
        <v>77</v>
      </c>
      <c r="D52" s="18"/>
      <c r="E52" s="18"/>
      <c r="F52" s="18"/>
      <c r="G52" s="19"/>
      <c r="H52" s="20"/>
      <c r="I52" s="18"/>
      <c r="J52" s="23">
        <f>J451</f>
        <v>2524.6000000000004</v>
      </c>
      <c r="K52" s="2"/>
    </row>
    <row r="53" spans="1:11">
      <c r="A53" s="2"/>
      <c r="B53" s="29" t="s">
        <v>193</v>
      </c>
      <c r="C53" s="17" t="s">
        <v>2500</v>
      </c>
      <c r="D53" s="18"/>
      <c r="E53" s="18"/>
      <c r="F53" s="18"/>
      <c r="G53" s="19"/>
      <c r="H53" s="20"/>
      <c r="I53" s="18"/>
      <c r="J53" s="23">
        <f>$J$627</f>
        <v>246</v>
      </c>
      <c r="K53" s="2"/>
    </row>
    <row r="54" spans="1:11">
      <c r="A54" s="2"/>
      <c r="B54" s="29" t="s">
        <v>194</v>
      </c>
      <c r="C54" s="17" t="s">
        <v>178</v>
      </c>
      <c r="D54" s="18"/>
      <c r="E54" s="18"/>
      <c r="F54" s="18"/>
      <c r="G54" s="19"/>
      <c r="H54" s="20"/>
      <c r="I54" s="18"/>
      <c r="J54" s="23">
        <f>J509+J621</f>
        <v>524</v>
      </c>
      <c r="K54" s="2"/>
    </row>
    <row r="55" spans="1:11">
      <c r="A55" s="2"/>
      <c r="B55" s="29"/>
      <c r="C55" s="31"/>
      <c r="D55" s="32"/>
      <c r="E55" s="32"/>
      <c r="F55" s="32"/>
      <c r="G55" s="13"/>
      <c r="H55" s="33"/>
      <c r="I55" s="32"/>
      <c r="J55" s="34"/>
      <c r="K55" s="2"/>
    </row>
    <row r="56" spans="1:11">
      <c r="A56" s="2"/>
      <c r="B56" s="14" t="s">
        <v>156</v>
      </c>
      <c r="C56" s="28" t="s">
        <v>157</v>
      </c>
      <c r="D56" s="18"/>
      <c r="E56" s="18"/>
      <c r="F56" s="18"/>
      <c r="G56" s="19"/>
      <c r="H56" s="20"/>
      <c r="I56" s="18"/>
      <c r="J56" s="20"/>
      <c r="K56" s="2"/>
    </row>
    <row r="57" spans="1:11">
      <c r="A57" s="2"/>
      <c r="B57" s="29" t="s">
        <v>195</v>
      </c>
      <c r="C57" s="17" t="s">
        <v>77</v>
      </c>
      <c r="D57" s="18"/>
      <c r="E57" s="18"/>
      <c r="F57" s="18"/>
      <c r="G57" s="19"/>
      <c r="H57" s="20"/>
      <c r="I57" s="18"/>
      <c r="J57" s="23">
        <f>J518</f>
        <v>2559.7999999999997</v>
      </c>
      <c r="K57" s="2"/>
    </row>
    <row r="58" spans="1:11">
      <c r="A58" s="2"/>
      <c r="B58" s="29" t="s">
        <v>196</v>
      </c>
      <c r="C58" s="17" t="s">
        <v>2500</v>
      </c>
      <c r="D58" s="18"/>
      <c r="E58" s="18"/>
      <c r="F58" s="18"/>
      <c r="G58" s="19"/>
      <c r="H58" s="20"/>
      <c r="I58" s="18"/>
      <c r="J58" s="23">
        <f>$J$627</f>
        <v>246</v>
      </c>
      <c r="K58" s="2"/>
    </row>
    <row r="59" spans="1:11">
      <c r="A59" s="2"/>
      <c r="B59" s="29" t="s">
        <v>197</v>
      </c>
      <c r="C59" s="17" t="s">
        <v>178</v>
      </c>
      <c r="D59" s="18"/>
      <c r="E59" s="18"/>
      <c r="F59" s="18"/>
      <c r="G59" s="19"/>
      <c r="H59" s="20"/>
      <c r="I59" s="18"/>
      <c r="J59" s="23">
        <f>J556+J621</f>
        <v>524</v>
      </c>
      <c r="K59" s="2"/>
    </row>
    <row r="60" spans="1:11">
      <c r="A60" s="2"/>
      <c r="B60" s="29"/>
      <c r="C60" s="31"/>
      <c r="D60" s="32"/>
      <c r="E60" s="32"/>
      <c r="F60" s="32"/>
      <c r="G60" s="13"/>
      <c r="H60" s="33"/>
      <c r="I60" s="32"/>
      <c r="J60" s="34"/>
      <c r="K60" s="2"/>
    </row>
    <row r="61" spans="1:11">
      <c r="A61" s="2"/>
      <c r="B61" s="14" t="s">
        <v>158</v>
      </c>
      <c r="C61" s="28" t="s">
        <v>159</v>
      </c>
      <c r="D61" s="18"/>
      <c r="E61" s="18"/>
      <c r="F61" s="18"/>
      <c r="G61" s="19"/>
      <c r="H61" s="20"/>
      <c r="I61" s="18"/>
      <c r="J61" s="20"/>
      <c r="K61" s="2"/>
    </row>
    <row r="62" spans="1:11">
      <c r="A62" s="2"/>
      <c r="B62" s="29" t="s">
        <v>198</v>
      </c>
      <c r="C62" s="17" t="s">
        <v>77</v>
      </c>
      <c r="D62" s="18"/>
      <c r="E62" s="18"/>
      <c r="F62" s="18"/>
      <c r="G62" s="19"/>
      <c r="H62" s="20"/>
      <c r="I62" s="18"/>
      <c r="J62" s="23">
        <f>J565</f>
        <v>2559.7999999999997</v>
      </c>
      <c r="K62" s="2"/>
    </row>
    <row r="63" spans="1:11">
      <c r="A63" s="2"/>
      <c r="B63" s="29" t="s">
        <v>199</v>
      </c>
      <c r="C63" s="17" t="s">
        <v>2500</v>
      </c>
      <c r="D63" s="18"/>
      <c r="E63" s="18"/>
      <c r="F63" s="18"/>
      <c r="G63" s="19"/>
      <c r="H63" s="20"/>
      <c r="I63" s="18"/>
      <c r="J63" s="23">
        <f>$J$627</f>
        <v>246</v>
      </c>
      <c r="K63" s="2"/>
    </row>
    <row r="64" spans="1:11">
      <c r="A64" s="2"/>
      <c r="B64" s="29" t="s">
        <v>200</v>
      </c>
      <c r="C64" s="17" t="s">
        <v>178</v>
      </c>
      <c r="D64" s="18"/>
      <c r="E64" s="18"/>
      <c r="F64" s="18"/>
      <c r="G64" s="19"/>
      <c r="H64" s="20"/>
      <c r="I64" s="18"/>
      <c r="J64" s="23">
        <f>J566+J621</f>
        <v>524</v>
      </c>
      <c r="K64" s="2"/>
    </row>
    <row r="65" spans="1:11">
      <c r="A65" s="2"/>
      <c r="B65" s="29"/>
      <c r="C65" s="31"/>
      <c r="D65" s="32"/>
      <c r="E65" s="32"/>
      <c r="F65" s="32"/>
      <c r="G65" s="13"/>
      <c r="H65" s="33"/>
      <c r="I65" s="32"/>
      <c r="J65" s="34"/>
      <c r="K65" s="2"/>
    </row>
    <row r="66" spans="1:11">
      <c r="A66" s="2"/>
      <c r="B66" s="14" t="s">
        <v>160</v>
      </c>
      <c r="C66" s="28" t="s">
        <v>161</v>
      </c>
      <c r="D66" s="18"/>
      <c r="E66" s="18"/>
      <c r="F66" s="18"/>
      <c r="G66" s="19"/>
      <c r="H66" s="20"/>
      <c r="I66" s="18"/>
      <c r="J66" s="20"/>
      <c r="K66" s="2"/>
    </row>
    <row r="67" spans="1:11">
      <c r="A67" s="2"/>
      <c r="B67" s="29" t="s">
        <v>201</v>
      </c>
      <c r="C67" s="17" t="s">
        <v>77</v>
      </c>
      <c r="D67" s="18"/>
      <c r="E67" s="18"/>
      <c r="F67" s="18"/>
      <c r="G67" s="19"/>
      <c r="H67" s="20"/>
      <c r="I67" s="18"/>
      <c r="J67" s="23">
        <f>J569</f>
        <v>2559.7999999999997</v>
      </c>
      <c r="K67" s="2"/>
    </row>
    <row r="68" spans="1:11">
      <c r="A68" s="2"/>
      <c r="B68" s="29" t="s">
        <v>202</v>
      </c>
      <c r="C68" s="17" t="s">
        <v>2500</v>
      </c>
      <c r="D68" s="18"/>
      <c r="E68" s="18"/>
      <c r="F68" s="18"/>
      <c r="G68" s="19"/>
      <c r="H68" s="20"/>
      <c r="I68" s="18"/>
      <c r="J68" s="23">
        <f>$J$627</f>
        <v>246</v>
      </c>
      <c r="K68" s="2"/>
    </row>
    <row r="69" spans="1:11">
      <c r="A69" s="2"/>
      <c r="B69" s="29" t="s">
        <v>203</v>
      </c>
      <c r="C69" s="17" t="s">
        <v>178</v>
      </c>
      <c r="D69" s="18"/>
      <c r="E69" s="18"/>
      <c r="F69" s="18"/>
      <c r="G69" s="19"/>
      <c r="H69" s="20"/>
      <c r="I69" s="18"/>
      <c r="J69" s="23">
        <f>J570+J621</f>
        <v>524</v>
      </c>
      <c r="K69" s="2"/>
    </row>
    <row r="70" spans="1:11">
      <c r="A70" s="2"/>
      <c r="B70" s="29"/>
      <c r="C70" s="31"/>
      <c r="D70" s="32"/>
      <c r="E70" s="32"/>
      <c r="F70" s="32"/>
      <c r="G70" s="13"/>
      <c r="H70" s="33"/>
      <c r="I70" s="32"/>
      <c r="J70" s="34"/>
      <c r="K70" s="2"/>
    </row>
    <row r="71" spans="1:11">
      <c r="A71" s="2"/>
      <c r="B71" s="14" t="s">
        <v>162</v>
      </c>
      <c r="C71" s="28" t="s">
        <v>163</v>
      </c>
      <c r="D71" s="18"/>
      <c r="E71" s="18"/>
      <c r="F71" s="18"/>
      <c r="G71" s="19"/>
      <c r="H71" s="20"/>
      <c r="I71" s="18"/>
      <c r="J71" s="20"/>
      <c r="K71" s="2"/>
    </row>
    <row r="72" spans="1:11">
      <c r="A72" s="2"/>
      <c r="B72" s="29" t="s">
        <v>205</v>
      </c>
      <c r="C72" s="17" t="s">
        <v>77</v>
      </c>
      <c r="D72" s="18"/>
      <c r="E72" s="18"/>
      <c r="F72" s="18"/>
      <c r="G72" s="19"/>
      <c r="H72" s="20"/>
      <c r="I72" s="18"/>
      <c r="J72" s="23">
        <f>J573</f>
        <v>1986.1999999999998</v>
      </c>
      <c r="K72" s="2"/>
    </row>
    <row r="73" spans="1:11">
      <c r="A73" s="2"/>
      <c r="B73" s="29" t="s">
        <v>206</v>
      </c>
      <c r="C73" s="17" t="s">
        <v>2500</v>
      </c>
      <c r="D73" s="18"/>
      <c r="E73" s="18"/>
      <c r="F73" s="18"/>
      <c r="G73" s="19"/>
      <c r="H73" s="20"/>
      <c r="I73" s="18"/>
      <c r="J73" s="23">
        <f>$J$627</f>
        <v>246</v>
      </c>
      <c r="K73" s="2"/>
    </row>
    <row r="74" spans="1:11">
      <c r="A74" s="2"/>
      <c r="B74" s="29" t="s">
        <v>207</v>
      </c>
      <c r="C74" s="17" t="s">
        <v>178</v>
      </c>
      <c r="D74" s="18"/>
      <c r="E74" s="18"/>
      <c r="F74" s="18"/>
      <c r="G74" s="19"/>
      <c r="H74" s="20"/>
      <c r="I74" s="18"/>
      <c r="J74" s="23">
        <f>J611+J621</f>
        <v>524</v>
      </c>
      <c r="K74" s="2"/>
    </row>
    <row r="75" spans="1:11">
      <c r="A75" s="2"/>
      <c r="B75" s="29"/>
      <c r="C75" s="31"/>
      <c r="D75" s="32"/>
      <c r="E75" s="32"/>
      <c r="F75" s="32"/>
      <c r="G75" s="13"/>
      <c r="H75" s="33"/>
      <c r="I75" s="32"/>
      <c r="J75" s="34"/>
      <c r="K75" s="2"/>
    </row>
    <row r="76" spans="1:11">
      <c r="A76" s="2"/>
      <c r="B76" s="14" t="s">
        <v>164</v>
      </c>
      <c r="C76" s="28" t="s">
        <v>211</v>
      </c>
      <c r="D76" s="18"/>
      <c r="E76" s="18"/>
      <c r="F76" s="18"/>
      <c r="G76" s="19"/>
      <c r="H76" s="20"/>
      <c r="I76" s="18"/>
      <c r="J76" s="20"/>
      <c r="K76" s="2"/>
    </row>
    <row r="77" spans="1:11">
      <c r="A77" s="2"/>
      <c r="B77" s="29" t="s">
        <v>204</v>
      </c>
      <c r="C77" s="17" t="s">
        <v>77</v>
      </c>
      <c r="D77" s="18"/>
      <c r="E77" s="18"/>
      <c r="F77" s="18"/>
      <c r="G77" s="19"/>
      <c r="H77" s="20"/>
      <c r="I77" s="18"/>
      <c r="J77" s="23">
        <f>J634</f>
        <v>828</v>
      </c>
      <c r="K77" s="2"/>
    </row>
    <row r="78" spans="1:11">
      <c r="A78" s="2"/>
      <c r="B78" s="29"/>
      <c r="C78" s="17"/>
      <c r="D78" s="18"/>
      <c r="E78" s="18"/>
      <c r="F78" s="18"/>
      <c r="G78" s="19"/>
      <c r="H78" s="20"/>
      <c r="I78" s="18"/>
      <c r="J78" s="23"/>
      <c r="K78" s="2"/>
    </row>
    <row r="79" spans="1:11">
      <c r="A79" s="2"/>
      <c r="B79" s="30"/>
      <c r="C79" s="31"/>
      <c r="D79" s="32"/>
      <c r="E79" s="32"/>
      <c r="F79" s="32"/>
      <c r="G79" s="13"/>
      <c r="H79" s="33"/>
      <c r="I79" s="32"/>
      <c r="J79" s="34"/>
      <c r="K79" s="2"/>
    </row>
    <row r="80" spans="1:11" ht="16.2" thickBot="1">
      <c r="A80" s="2"/>
      <c r="B80" s="30"/>
      <c r="C80" s="31"/>
      <c r="D80" s="32"/>
      <c r="E80" s="32"/>
      <c r="F80" s="32"/>
      <c r="G80" s="13"/>
      <c r="H80" s="33"/>
      <c r="I80" s="32"/>
      <c r="J80" s="34"/>
      <c r="K80" s="2"/>
    </row>
    <row r="81" spans="1:11">
      <c r="A81" s="2"/>
      <c r="B81" s="4"/>
      <c r="C81" s="5"/>
      <c r="D81" s="5"/>
      <c r="E81" s="5"/>
      <c r="F81" s="5"/>
      <c r="G81" s="5"/>
      <c r="H81" s="5"/>
      <c r="I81" s="5"/>
      <c r="J81" s="6"/>
      <c r="K81" s="2"/>
    </row>
    <row r="82" spans="1:11" ht="17.399999999999999">
      <c r="A82" s="2"/>
      <c r="B82" s="1019" t="s">
        <v>191</v>
      </c>
      <c r="C82" s="1020"/>
      <c r="D82" s="1020"/>
      <c r="E82" s="1020"/>
      <c r="F82" s="1020"/>
      <c r="G82" s="1020"/>
      <c r="H82" s="1020"/>
      <c r="I82" s="1020"/>
      <c r="J82" s="1021"/>
      <c r="K82" s="2"/>
    </row>
    <row r="83" spans="1:11" ht="16.2" thickBot="1">
      <c r="A83" s="2"/>
      <c r="B83" s="7"/>
      <c r="C83" s="8"/>
      <c r="D83" s="8"/>
      <c r="E83" s="8"/>
      <c r="F83" s="8"/>
      <c r="G83" s="8"/>
      <c r="H83" s="8"/>
      <c r="I83" s="8"/>
      <c r="J83" s="9"/>
      <c r="K83" s="2"/>
    </row>
    <row r="84" spans="1:11">
      <c r="A84" s="2"/>
      <c r="B84" s="30"/>
      <c r="C84" s="31"/>
      <c r="D84" s="32"/>
      <c r="E84" s="32"/>
      <c r="F84" s="32"/>
      <c r="G84" s="13"/>
      <c r="H84" s="33"/>
      <c r="I84" s="32"/>
      <c r="J84" s="34"/>
      <c r="K84" s="2"/>
    </row>
    <row r="85" spans="1:11">
      <c r="A85" s="2"/>
      <c r="B85" s="10" t="s">
        <v>1</v>
      </c>
      <c r="C85" s="10" t="s">
        <v>2</v>
      </c>
      <c r="D85" s="10" t="s">
        <v>3</v>
      </c>
      <c r="E85" s="10" t="s">
        <v>4</v>
      </c>
      <c r="F85" s="10" t="s">
        <v>5</v>
      </c>
      <c r="G85" s="10" t="s">
        <v>6</v>
      </c>
      <c r="H85" s="10" t="s">
        <v>1221</v>
      </c>
      <c r="I85" s="10" t="s">
        <v>8</v>
      </c>
      <c r="J85" s="10" t="s">
        <v>9</v>
      </c>
      <c r="K85" s="2"/>
    </row>
    <row r="86" spans="1:11">
      <c r="A86" s="2"/>
      <c r="B86" s="11"/>
      <c r="C86" s="12"/>
      <c r="D86" s="11"/>
      <c r="E86" s="11"/>
      <c r="F86" s="11"/>
      <c r="G86" s="11"/>
      <c r="H86" s="11"/>
      <c r="I86" s="11"/>
      <c r="J86" s="11"/>
      <c r="K86" s="2"/>
    </row>
    <row r="87" spans="1:11">
      <c r="A87" s="2"/>
      <c r="B87" s="14" t="s">
        <v>86</v>
      </c>
      <c r="C87" s="1004" t="s">
        <v>103</v>
      </c>
      <c r="D87" s="1004"/>
      <c r="E87" s="1004"/>
      <c r="F87" s="1004"/>
      <c r="G87" s="1004"/>
      <c r="H87" s="1004"/>
      <c r="I87" s="1004"/>
      <c r="J87" s="15"/>
      <c r="K87" s="2"/>
    </row>
    <row r="88" spans="1:11">
      <c r="A88" s="2"/>
      <c r="B88" s="14"/>
      <c r="C88" s="24" t="s">
        <v>77</v>
      </c>
      <c r="D88" s="18"/>
      <c r="E88" s="18"/>
      <c r="F88" s="18"/>
      <c r="G88" s="19"/>
      <c r="H88" s="20"/>
      <c r="I88" s="18"/>
      <c r="J88" s="23">
        <f>SUM(J89:J157)</f>
        <v>3535.1999999999994</v>
      </c>
      <c r="K88" s="2"/>
    </row>
    <row r="89" spans="1:11" hidden="1" outlineLevel="1">
      <c r="A89" s="16"/>
      <c r="B89" s="14"/>
      <c r="C89" s="17" t="s">
        <v>10</v>
      </c>
      <c r="D89" s="18">
        <v>24.95</v>
      </c>
      <c r="E89" s="18" t="s">
        <v>0</v>
      </c>
      <c r="F89" s="18">
        <f>$I$12</f>
        <v>4</v>
      </c>
      <c r="G89" s="19">
        <f>PRODUCT(D89,E89,F89)</f>
        <v>99.8</v>
      </c>
      <c r="H89" s="20">
        <f>D89*I89</f>
        <v>49.9</v>
      </c>
      <c r="I89" s="18">
        <v>2</v>
      </c>
      <c r="J89" s="20">
        <f>IF(G89&gt;0,G89*I89,H89*I89)</f>
        <v>199.6</v>
      </c>
      <c r="K89" s="16"/>
    </row>
    <row r="90" spans="1:11" hidden="1" outlineLevel="1">
      <c r="A90" s="16"/>
      <c r="B90" s="14"/>
      <c r="C90" s="17" t="s">
        <v>11</v>
      </c>
      <c r="D90" s="18">
        <v>4.0999999999999996</v>
      </c>
      <c r="E90" s="18" t="s">
        <v>0</v>
      </c>
      <c r="F90" s="18">
        <f>$F$89</f>
        <v>4</v>
      </c>
      <c r="G90" s="19">
        <f>PRODUCT(D90,E90,F90)</f>
        <v>16.399999999999999</v>
      </c>
      <c r="H90" s="20">
        <f>D90*I90</f>
        <v>28.699999999999996</v>
      </c>
      <c r="I90" s="18">
        <v>7</v>
      </c>
      <c r="J90" s="20">
        <f>IF(G90&gt;0,G90*I90,H90*I90)</f>
        <v>114.79999999999998</v>
      </c>
      <c r="K90" s="16"/>
    </row>
    <row r="91" spans="1:11" hidden="1" outlineLevel="1">
      <c r="A91" s="16"/>
      <c r="B91" s="14"/>
      <c r="C91" s="17"/>
      <c r="D91" s="18"/>
      <c r="E91" s="18"/>
      <c r="F91" s="18" t="s">
        <v>0</v>
      </c>
      <c r="G91" s="19"/>
      <c r="H91" s="20"/>
      <c r="I91" s="18"/>
      <c r="J91" s="20"/>
      <c r="K91" s="16"/>
    </row>
    <row r="92" spans="1:11" hidden="1" outlineLevel="1">
      <c r="A92" s="16"/>
      <c r="B92" s="14"/>
      <c r="C92" s="17" t="s">
        <v>12</v>
      </c>
      <c r="D92" s="18">
        <v>10.95</v>
      </c>
      <c r="E92" s="18" t="s">
        <v>0</v>
      </c>
      <c r="F92" s="18">
        <f t="shared" ref="F92:F154" si="0">$F$89</f>
        <v>4</v>
      </c>
      <c r="G92" s="19">
        <f>PRODUCT(D92,E92,F92)</f>
        <v>43.8</v>
      </c>
      <c r="H92" s="20">
        <f t="shared" ref="H92:H116" si="1">D92*I92</f>
        <v>21.9</v>
      </c>
      <c r="I92" s="18">
        <v>2</v>
      </c>
      <c r="J92" s="20">
        <f t="shared" ref="J92:J116" si="2">IF(G92&gt;0,G92*I92,H92*I92)</f>
        <v>87.6</v>
      </c>
      <c r="K92" s="16"/>
    </row>
    <row r="93" spans="1:11" hidden="1" outlineLevel="1">
      <c r="A93" s="16"/>
      <c r="B93" s="14"/>
      <c r="C93" s="17" t="s">
        <v>13</v>
      </c>
      <c r="D93" s="18">
        <v>18</v>
      </c>
      <c r="E93" s="18" t="s">
        <v>0</v>
      </c>
      <c r="F93" s="18">
        <f t="shared" si="0"/>
        <v>4</v>
      </c>
      <c r="G93" s="19">
        <f>PRODUCT(D93,E93,F93)</f>
        <v>72</v>
      </c>
      <c r="H93" s="20">
        <f t="shared" si="1"/>
        <v>18</v>
      </c>
      <c r="I93" s="18">
        <v>1</v>
      </c>
      <c r="J93" s="20">
        <f t="shared" si="2"/>
        <v>72</v>
      </c>
      <c r="K93" s="16"/>
    </row>
    <row r="94" spans="1:11" hidden="1" outlineLevel="1">
      <c r="A94" s="16"/>
      <c r="B94" s="14"/>
      <c r="C94" s="17" t="s">
        <v>14</v>
      </c>
      <c r="D94" s="18">
        <v>2.95</v>
      </c>
      <c r="E94" s="18" t="s">
        <v>0</v>
      </c>
      <c r="F94" s="18">
        <f t="shared" si="0"/>
        <v>4</v>
      </c>
      <c r="G94" s="19">
        <f t="shared" ref="G94:G103" si="3">PRODUCT(D94,E94,F94)</f>
        <v>11.8</v>
      </c>
      <c r="H94" s="20">
        <f t="shared" si="1"/>
        <v>11.8</v>
      </c>
      <c r="I94" s="18">
        <v>4</v>
      </c>
      <c r="J94" s="20">
        <f t="shared" si="2"/>
        <v>47.2</v>
      </c>
      <c r="K94" s="16"/>
    </row>
    <row r="95" spans="1:11" hidden="1" outlineLevel="1">
      <c r="A95" s="16"/>
      <c r="B95" s="14"/>
      <c r="C95" s="17" t="s">
        <v>15</v>
      </c>
      <c r="D95" s="18">
        <v>3.8</v>
      </c>
      <c r="E95" s="18" t="s">
        <v>0</v>
      </c>
      <c r="F95" s="18">
        <f t="shared" si="0"/>
        <v>4</v>
      </c>
      <c r="G95" s="19">
        <f t="shared" si="3"/>
        <v>15.2</v>
      </c>
      <c r="H95" s="20">
        <f t="shared" si="1"/>
        <v>3.8</v>
      </c>
      <c r="I95" s="18">
        <v>1</v>
      </c>
      <c r="J95" s="20">
        <f t="shared" si="2"/>
        <v>15.2</v>
      </c>
      <c r="K95" s="16"/>
    </row>
    <row r="96" spans="1:11" hidden="1" outlineLevel="1">
      <c r="A96" s="16"/>
      <c r="B96" s="14"/>
      <c r="C96" s="17" t="s">
        <v>16</v>
      </c>
      <c r="D96" s="18">
        <v>3.2</v>
      </c>
      <c r="E96" s="18" t="s">
        <v>0</v>
      </c>
      <c r="F96" s="18">
        <f t="shared" si="0"/>
        <v>4</v>
      </c>
      <c r="G96" s="19">
        <f t="shared" si="3"/>
        <v>12.8</v>
      </c>
      <c r="H96" s="20">
        <f t="shared" si="1"/>
        <v>16</v>
      </c>
      <c r="I96" s="18">
        <v>5</v>
      </c>
      <c r="J96" s="20">
        <f t="shared" si="2"/>
        <v>64</v>
      </c>
      <c r="K96" s="16"/>
    </row>
    <row r="97" spans="1:11" hidden="1" outlineLevel="1">
      <c r="A97" s="16"/>
      <c r="B97" s="14"/>
      <c r="C97" s="17" t="s">
        <v>17</v>
      </c>
      <c r="D97" s="18">
        <v>5.3</v>
      </c>
      <c r="E97" s="18" t="s">
        <v>0</v>
      </c>
      <c r="F97" s="18">
        <f t="shared" si="0"/>
        <v>4</v>
      </c>
      <c r="G97" s="19">
        <f t="shared" si="3"/>
        <v>21.2</v>
      </c>
      <c r="H97" s="20">
        <f t="shared" si="1"/>
        <v>5.3</v>
      </c>
      <c r="I97" s="18">
        <v>1</v>
      </c>
      <c r="J97" s="20">
        <f t="shared" si="2"/>
        <v>21.2</v>
      </c>
      <c r="K97" s="16"/>
    </row>
    <row r="98" spans="1:11" hidden="1" outlineLevel="1">
      <c r="A98" s="16"/>
      <c r="B98" s="14"/>
      <c r="C98" s="17" t="s">
        <v>18</v>
      </c>
      <c r="D98" s="18">
        <v>11.25</v>
      </c>
      <c r="E98" s="18" t="s">
        <v>0</v>
      </c>
      <c r="F98" s="18">
        <f t="shared" si="0"/>
        <v>4</v>
      </c>
      <c r="G98" s="19">
        <f t="shared" si="3"/>
        <v>45</v>
      </c>
      <c r="H98" s="20">
        <f t="shared" si="1"/>
        <v>11.25</v>
      </c>
      <c r="I98" s="18">
        <v>1</v>
      </c>
      <c r="J98" s="20">
        <f t="shared" si="2"/>
        <v>45</v>
      </c>
      <c r="K98" s="16"/>
    </row>
    <row r="99" spans="1:11" hidden="1" outlineLevel="1">
      <c r="A99" s="16"/>
      <c r="B99" s="14"/>
      <c r="C99" s="17" t="s">
        <v>19</v>
      </c>
      <c r="D99" s="18">
        <v>5.3</v>
      </c>
      <c r="E99" s="18" t="s">
        <v>0</v>
      </c>
      <c r="F99" s="18">
        <f t="shared" si="0"/>
        <v>4</v>
      </c>
      <c r="G99" s="19">
        <f t="shared" si="3"/>
        <v>21.2</v>
      </c>
      <c r="H99" s="20">
        <f t="shared" si="1"/>
        <v>5.3</v>
      </c>
      <c r="I99" s="18">
        <v>1</v>
      </c>
      <c r="J99" s="20">
        <f t="shared" si="2"/>
        <v>21.2</v>
      </c>
      <c r="K99" s="16"/>
    </row>
    <row r="100" spans="1:11" hidden="1" outlineLevel="1">
      <c r="A100" s="16"/>
      <c r="B100" s="14"/>
      <c r="C100" s="17" t="s">
        <v>20</v>
      </c>
      <c r="D100" s="18">
        <v>10.3</v>
      </c>
      <c r="E100" s="18" t="s">
        <v>0</v>
      </c>
      <c r="F100" s="18">
        <f t="shared" si="0"/>
        <v>4</v>
      </c>
      <c r="G100" s="19">
        <f t="shared" si="3"/>
        <v>41.2</v>
      </c>
      <c r="H100" s="20">
        <f t="shared" si="1"/>
        <v>20.6</v>
      </c>
      <c r="I100" s="18">
        <v>2</v>
      </c>
      <c r="J100" s="20">
        <f t="shared" si="2"/>
        <v>82.4</v>
      </c>
      <c r="K100" s="16"/>
    </row>
    <row r="101" spans="1:11" hidden="1" outlineLevel="1">
      <c r="A101" s="16"/>
      <c r="B101" s="14"/>
      <c r="C101" s="17" t="s">
        <v>21</v>
      </c>
      <c r="D101" s="18">
        <v>2.35</v>
      </c>
      <c r="E101" s="18" t="s">
        <v>0</v>
      </c>
      <c r="F101" s="18">
        <f t="shared" si="0"/>
        <v>4</v>
      </c>
      <c r="G101" s="19">
        <f t="shared" si="3"/>
        <v>9.4</v>
      </c>
      <c r="H101" s="20">
        <f t="shared" si="1"/>
        <v>4.7</v>
      </c>
      <c r="I101" s="18">
        <v>2</v>
      </c>
      <c r="J101" s="20">
        <f t="shared" si="2"/>
        <v>18.8</v>
      </c>
      <c r="K101" s="16"/>
    </row>
    <row r="102" spans="1:11" hidden="1" outlineLevel="1">
      <c r="A102" s="16"/>
      <c r="B102" s="14"/>
      <c r="C102" s="17" t="s">
        <v>22</v>
      </c>
      <c r="D102" s="18">
        <v>7.5</v>
      </c>
      <c r="E102" s="18" t="s">
        <v>0</v>
      </c>
      <c r="F102" s="18">
        <f t="shared" si="0"/>
        <v>4</v>
      </c>
      <c r="G102" s="19">
        <f t="shared" si="3"/>
        <v>30</v>
      </c>
      <c r="H102" s="20">
        <f t="shared" si="1"/>
        <v>7.5</v>
      </c>
      <c r="I102" s="18">
        <v>1</v>
      </c>
      <c r="J102" s="20">
        <f t="shared" si="2"/>
        <v>30</v>
      </c>
      <c r="K102" s="16"/>
    </row>
    <row r="103" spans="1:11" hidden="1" outlineLevel="1">
      <c r="A103" s="16"/>
      <c r="B103" s="14"/>
      <c r="C103" s="17" t="s">
        <v>23</v>
      </c>
      <c r="D103" s="18">
        <v>14.2</v>
      </c>
      <c r="E103" s="18" t="s">
        <v>0</v>
      </c>
      <c r="F103" s="18">
        <f t="shared" si="0"/>
        <v>4</v>
      </c>
      <c r="G103" s="19">
        <f t="shared" si="3"/>
        <v>56.8</v>
      </c>
      <c r="H103" s="20">
        <f t="shared" si="1"/>
        <v>28.4</v>
      </c>
      <c r="I103" s="18">
        <v>2</v>
      </c>
      <c r="J103" s="20">
        <f t="shared" si="2"/>
        <v>113.6</v>
      </c>
      <c r="K103" s="16"/>
    </row>
    <row r="104" spans="1:11" hidden="1" outlineLevel="1">
      <c r="A104" s="16"/>
      <c r="B104" s="14"/>
      <c r="C104" s="17" t="s">
        <v>24</v>
      </c>
      <c r="D104" s="18">
        <v>23.25</v>
      </c>
      <c r="E104" s="18" t="s">
        <v>0</v>
      </c>
      <c r="F104" s="18">
        <f t="shared" si="0"/>
        <v>4</v>
      </c>
      <c r="G104" s="19">
        <f t="shared" ref="G104:G116" si="4">PRODUCT(D104,E104,F104)</f>
        <v>93</v>
      </c>
      <c r="H104" s="20">
        <f t="shared" si="1"/>
        <v>23.25</v>
      </c>
      <c r="I104" s="18">
        <v>1</v>
      </c>
      <c r="J104" s="20">
        <f t="shared" si="2"/>
        <v>93</v>
      </c>
      <c r="K104" s="16"/>
    </row>
    <row r="105" spans="1:11" hidden="1" outlineLevel="1">
      <c r="A105" s="16"/>
      <c r="B105" s="14"/>
      <c r="C105" s="17" t="s">
        <v>25</v>
      </c>
      <c r="D105" s="18">
        <v>29.85</v>
      </c>
      <c r="E105" s="18" t="s">
        <v>0</v>
      </c>
      <c r="F105" s="18">
        <f t="shared" si="0"/>
        <v>4</v>
      </c>
      <c r="G105" s="19">
        <f t="shared" si="4"/>
        <v>119.4</v>
      </c>
      <c r="H105" s="20">
        <f t="shared" si="1"/>
        <v>29.85</v>
      </c>
      <c r="I105" s="18">
        <v>1</v>
      </c>
      <c r="J105" s="20">
        <f t="shared" si="2"/>
        <v>119.4</v>
      </c>
      <c r="K105" s="16"/>
    </row>
    <row r="106" spans="1:11" hidden="1" outlineLevel="1">
      <c r="A106" s="16"/>
      <c r="B106" s="14"/>
      <c r="C106" s="17" t="s">
        <v>26</v>
      </c>
      <c r="D106" s="18">
        <v>15.85</v>
      </c>
      <c r="E106" s="18" t="s">
        <v>0</v>
      </c>
      <c r="F106" s="18">
        <f t="shared" si="0"/>
        <v>4</v>
      </c>
      <c r="G106" s="19">
        <f t="shared" si="4"/>
        <v>63.4</v>
      </c>
      <c r="H106" s="20">
        <f t="shared" si="1"/>
        <v>47.55</v>
      </c>
      <c r="I106" s="18">
        <v>3</v>
      </c>
      <c r="J106" s="20">
        <f t="shared" si="2"/>
        <v>190.2</v>
      </c>
      <c r="K106" s="16"/>
    </row>
    <row r="107" spans="1:11" hidden="1" outlineLevel="1">
      <c r="A107" s="16"/>
      <c r="B107" s="14"/>
      <c r="C107" s="17" t="s">
        <v>27</v>
      </c>
      <c r="D107" s="18">
        <v>8.35</v>
      </c>
      <c r="E107" s="18" t="s">
        <v>0</v>
      </c>
      <c r="F107" s="18">
        <f t="shared" si="0"/>
        <v>4</v>
      </c>
      <c r="G107" s="19">
        <f t="shared" si="4"/>
        <v>33.4</v>
      </c>
      <c r="H107" s="20">
        <f t="shared" si="1"/>
        <v>8.35</v>
      </c>
      <c r="I107" s="18">
        <v>1</v>
      </c>
      <c r="J107" s="20">
        <f t="shared" si="2"/>
        <v>33.4</v>
      </c>
      <c r="K107" s="16"/>
    </row>
    <row r="108" spans="1:11" hidden="1" outlineLevel="1">
      <c r="A108" s="16"/>
      <c r="B108" s="14"/>
      <c r="C108" s="17" t="s">
        <v>28</v>
      </c>
      <c r="D108" s="18">
        <v>18</v>
      </c>
      <c r="E108" s="18" t="s">
        <v>0</v>
      </c>
      <c r="F108" s="18">
        <f t="shared" si="0"/>
        <v>4</v>
      </c>
      <c r="G108" s="19">
        <f t="shared" si="4"/>
        <v>72</v>
      </c>
      <c r="H108" s="20">
        <f t="shared" si="1"/>
        <v>18</v>
      </c>
      <c r="I108" s="18">
        <v>1</v>
      </c>
      <c r="J108" s="20">
        <f t="shared" si="2"/>
        <v>72</v>
      </c>
      <c r="K108" s="16"/>
    </row>
    <row r="109" spans="1:11" hidden="1" outlineLevel="1">
      <c r="A109" s="16"/>
      <c r="B109" s="14"/>
      <c r="C109" s="17" t="s">
        <v>29</v>
      </c>
      <c r="D109" s="18">
        <v>3.05</v>
      </c>
      <c r="E109" s="18" t="s">
        <v>0</v>
      </c>
      <c r="F109" s="18">
        <f t="shared" si="0"/>
        <v>4</v>
      </c>
      <c r="G109" s="19">
        <f t="shared" si="4"/>
        <v>12.2</v>
      </c>
      <c r="H109" s="20">
        <f t="shared" si="1"/>
        <v>6.1</v>
      </c>
      <c r="I109" s="18">
        <v>2</v>
      </c>
      <c r="J109" s="20">
        <f t="shared" si="2"/>
        <v>24.4</v>
      </c>
      <c r="K109" s="16"/>
    </row>
    <row r="110" spans="1:11" hidden="1" outlineLevel="1">
      <c r="A110" s="16"/>
      <c r="B110" s="14"/>
      <c r="C110" s="17" t="s">
        <v>30</v>
      </c>
      <c r="D110" s="18">
        <v>10.75</v>
      </c>
      <c r="E110" s="18" t="s">
        <v>0</v>
      </c>
      <c r="F110" s="18">
        <f t="shared" si="0"/>
        <v>4</v>
      </c>
      <c r="G110" s="19">
        <f t="shared" si="4"/>
        <v>43</v>
      </c>
      <c r="H110" s="20">
        <f t="shared" si="1"/>
        <v>10.75</v>
      </c>
      <c r="I110" s="18">
        <v>1</v>
      </c>
      <c r="J110" s="20">
        <f t="shared" si="2"/>
        <v>43</v>
      </c>
      <c r="K110" s="16"/>
    </row>
    <row r="111" spans="1:11" hidden="1" outlineLevel="1">
      <c r="A111" s="16"/>
      <c r="B111" s="14"/>
      <c r="C111" s="17" t="s">
        <v>31</v>
      </c>
      <c r="D111" s="18">
        <v>15.7</v>
      </c>
      <c r="E111" s="18" t="s">
        <v>0</v>
      </c>
      <c r="F111" s="18">
        <f t="shared" si="0"/>
        <v>4</v>
      </c>
      <c r="G111" s="19">
        <f t="shared" si="4"/>
        <v>62.8</v>
      </c>
      <c r="H111" s="20">
        <f t="shared" si="1"/>
        <v>15.7</v>
      </c>
      <c r="I111" s="18">
        <v>1</v>
      </c>
      <c r="J111" s="20">
        <f t="shared" si="2"/>
        <v>62.8</v>
      </c>
      <c r="K111" s="16"/>
    </row>
    <row r="112" spans="1:11" hidden="1" outlineLevel="1">
      <c r="A112" s="16"/>
      <c r="B112" s="14"/>
      <c r="C112" s="17" t="s">
        <v>32</v>
      </c>
      <c r="D112" s="18">
        <v>10.85</v>
      </c>
      <c r="E112" s="18" t="s">
        <v>0</v>
      </c>
      <c r="F112" s="18">
        <f t="shared" si="0"/>
        <v>4</v>
      </c>
      <c r="G112" s="19">
        <f t="shared" si="4"/>
        <v>43.4</v>
      </c>
      <c r="H112" s="20">
        <f t="shared" si="1"/>
        <v>10.85</v>
      </c>
      <c r="I112" s="18">
        <v>1</v>
      </c>
      <c r="J112" s="20">
        <f t="shared" si="2"/>
        <v>43.4</v>
      </c>
      <c r="K112" s="16"/>
    </row>
    <row r="113" spans="1:11" hidden="1" outlineLevel="1">
      <c r="A113" s="16"/>
      <c r="B113" s="14"/>
      <c r="C113" s="17" t="s">
        <v>33</v>
      </c>
      <c r="D113" s="18">
        <v>8.75</v>
      </c>
      <c r="E113" s="18" t="s">
        <v>0</v>
      </c>
      <c r="F113" s="18">
        <f t="shared" si="0"/>
        <v>4</v>
      </c>
      <c r="G113" s="19">
        <f t="shared" si="4"/>
        <v>35</v>
      </c>
      <c r="H113" s="20">
        <f t="shared" si="1"/>
        <v>8.75</v>
      </c>
      <c r="I113" s="18">
        <v>1</v>
      </c>
      <c r="J113" s="20">
        <f t="shared" si="2"/>
        <v>35</v>
      </c>
      <c r="K113" s="16"/>
    </row>
    <row r="114" spans="1:11" hidden="1" outlineLevel="1">
      <c r="A114" s="16"/>
      <c r="B114" s="14"/>
      <c r="C114" s="17" t="s">
        <v>34</v>
      </c>
      <c r="D114" s="18">
        <v>4.3499999999999996</v>
      </c>
      <c r="E114" s="18" t="s">
        <v>0</v>
      </c>
      <c r="F114" s="18">
        <f t="shared" si="0"/>
        <v>4</v>
      </c>
      <c r="G114" s="19">
        <f t="shared" si="4"/>
        <v>17.399999999999999</v>
      </c>
      <c r="H114" s="20">
        <f t="shared" si="1"/>
        <v>8.6999999999999993</v>
      </c>
      <c r="I114" s="18">
        <v>2</v>
      </c>
      <c r="J114" s="20">
        <f t="shared" si="2"/>
        <v>34.799999999999997</v>
      </c>
      <c r="K114" s="16"/>
    </row>
    <row r="115" spans="1:11" hidden="1" outlineLevel="1">
      <c r="A115" s="16"/>
      <c r="B115" s="14"/>
      <c r="C115" s="17" t="s">
        <v>35</v>
      </c>
      <c r="D115" s="18">
        <v>17.95</v>
      </c>
      <c r="E115" s="18" t="s">
        <v>0</v>
      </c>
      <c r="F115" s="18">
        <f t="shared" si="0"/>
        <v>4</v>
      </c>
      <c r="G115" s="19">
        <f t="shared" si="4"/>
        <v>71.8</v>
      </c>
      <c r="H115" s="20">
        <f t="shared" si="1"/>
        <v>17.95</v>
      </c>
      <c r="I115" s="18">
        <v>1</v>
      </c>
      <c r="J115" s="20">
        <f t="shared" si="2"/>
        <v>71.8</v>
      </c>
      <c r="K115" s="16"/>
    </row>
    <row r="116" spans="1:11" hidden="1" outlineLevel="1">
      <c r="A116" s="16"/>
      <c r="B116" s="14"/>
      <c r="C116" s="17" t="s">
        <v>36</v>
      </c>
      <c r="D116" s="18">
        <v>3.05</v>
      </c>
      <c r="E116" s="18" t="s">
        <v>0</v>
      </c>
      <c r="F116" s="18">
        <f t="shared" si="0"/>
        <v>4</v>
      </c>
      <c r="G116" s="19">
        <f t="shared" si="4"/>
        <v>12.2</v>
      </c>
      <c r="H116" s="20">
        <f t="shared" si="1"/>
        <v>6.1</v>
      </c>
      <c r="I116" s="18">
        <v>2</v>
      </c>
      <c r="J116" s="20">
        <f t="shared" si="2"/>
        <v>24.4</v>
      </c>
      <c r="K116" s="16"/>
    </row>
    <row r="117" spans="1:11" hidden="1" outlineLevel="1">
      <c r="A117" s="16"/>
      <c r="B117" s="14"/>
      <c r="C117" s="17"/>
      <c r="D117" s="18"/>
      <c r="E117" s="18"/>
      <c r="F117" s="18" t="s">
        <v>0</v>
      </c>
      <c r="G117" s="19"/>
      <c r="H117" s="20"/>
      <c r="I117" s="18"/>
      <c r="J117" s="20"/>
      <c r="K117" s="16"/>
    </row>
    <row r="118" spans="1:11" hidden="1" outlineLevel="1">
      <c r="A118" s="16"/>
      <c r="B118" s="14"/>
      <c r="C118" s="17" t="s">
        <v>37</v>
      </c>
      <c r="D118" s="18">
        <v>33.549999999999997</v>
      </c>
      <c r="E118" s="18" t="s">
        <v>0</v>
      </c>
      <c r="F118" s="18">
        <f t="shared" si="0"/>
        <v>4</v>
      </c>
      <c r="G118" s="19">
        <f t="shared" ref="G118:G127" si="5">PRODUCT(D118,E118,F118)</f>
        <v>134.19999999999999</v>
      </c>
      <c r="H118" s="20">
        <f t="shared" ref="H118:H157" si="6">D118*I118</f>
        <v>33.549999999999997</v>
      </c>
      <c r="I118" s="18">
        <v>1</v>
      </c>
      <c r="J118" s="20">
        <f t="shared" ref="J118:J157" si="7">IF(G118&gt;0,G118*I118,H118*I118)</f>
        <v>134.19999999999999</v>
      </c>
      <c r="K118" s="16"/>
    </row>
    <row r="119" spans="1:11" hidden="1" outlineLevel="1">
      <c r="A119" s="16"/>
      <c r="B119" s="14"/>
      <c r="C119" s="17" t="s">
        <v>38</v>
      </c>
      <c r="D119" s="18">
        <v>6</v>
      </c>
      <c r="E119" s="18" t="s">
        <v>0</v>
      </c>
      <c r="F119" s="18">
        <f t="shared" si="0"/>
        <v>4</v>
      </c>
      <c r="G119" s="19">
        <f t="shared" si="5"/>
        <v>24</v>
      </c>
      <c r="H119" s="20">
        <f t="shared" si="6"/>
        <v>6</v>
      </c>
      <c r="I119" s="18">
        <v>1</v>
      </c>
      <c r="J119" s="20">
        <f t="shared" si="7"/>
        <v>24</v>
      </c>
      <c r="K119" s="16"/>
    </row>
    <row r="120" spans="1:11" hidden="1" outlineLevel="1">
      <c r="A120" s="16"/>
      <c r="B120" s="14"/>
      <c r="C120" s="17" t="s">
        <v>39</v>
      </c>
      <c r="D120" s="18">
        <v>6.4</v>
      </c>
      <c r="E120" s="18" t="s">
        <v>0</v>
      </c>
      <c r="F120" s="18">
        <f t="shared" si="0"/>
        <v>4</v>
      </c>
      <c r="G120" s="19">
        <f t="shared" si="5"/>
        <v>25.6</v>
      </c>
      <c r="H120" s="20">
        <f t="shared" si="6"/>
        <v>6.4</v>
      </c>
      <c r="I120" s="18">
        <v>1</v>
      </c>
      <c r="J120" s="20">
        <f t="shared" si="7"/>
        <v>25.6</v>
      </c>
      <c r="K120" s="16"/>
    </row>
    <row r="121" spans="1:11" hidden="1" outlineLevel="1">
      <c r="A121" s="16"/>
      <c r="B121" s="14"/>
      <c r="C121" s="17" t="s">
        <v>40</v>
      </c>
      <c r="D121" s="18">
        <v>7.15</v>
      </c>
      <c r="E121" s="18" t="s">
        <v>0</v>
      </c>
      <c r="F121" s="18">
        <f t="shared" si="0"/>
        <v>4</v>
      </c>
      <c r="G121" s="19">
        <f t="shared" si="5"/>
        <v>28.6</v>
      </c>
      <c r="H121" s="20">
        <f t="shared" si="6"/>
        <v>7.15</v>
      </c>
      <c r="I121" s="18">
        <v>1</v>
      </c>
      <c r="J121" s="20">
        <f t="shared" si="7"/>
        <v>28.6</v>
      </c>
      <c r="K121" s="16"/>
    </row>
    <row r="122" spans="1:11" hidden="1" outlineLevel="1">
      <c r="A122" s="16"/>
      <c r="B122" s="14"/>
      <c r="C122" s="17" t="s">
        <v>41</v>
      </c>
      <c r="D122" s="18">
        <v>9.15</v>
      </c>
      <c r="E122" s="18" t="s">
        <v>0</v>
      </c>
      <c r="F122" s="18">
        <f t="shared" si="0"/>
        <v>4</v>
      </c>
      <c r="G122" s="19">
        <f t="shared" si="5"/>
        <v>36.6</v>
      </c>
      <c r="H122" s="20">
        <f t="shared" si="6"/>
        <v>9.15</v>
      </c>
      <c r="I122" s="18">
        <v>1</v>
      </c>
      <c r="J122" s="20">
        <f t="shared" si="7"/>
        <v>36.6</v>
      </c>
      <c r="K122" s="16"/>
    </row>
    <row r="123" spans="1:11" hidden="1" outlineLevel="1">
      <c r="A123" s="16"/>
      <c r="B123" s="14"/>
      <c r="C123" s="17" t="s">
        <v>42</v>
      </c>
      <c r="D123" s="18">
        <v>7.75</v>
      </c>
      <c r="E123" s="18" t="s">
        <v>0</v>
      </c>
      <c r="F123" s="18">
        <f t="shared" si="0"/>
        <v>4</v>
      </c>
      <c r="G123" s="19">
        <f t="shared" si="5"/>
        <v>31</v>
      </c>
      <c r="H123" s="20">
        <f t="shared" si="6"/>
        <v>7.75</v>
      </c>
      <c r="I123" s="18">
        <v>1</v>
      </c>
      <c r="J123" s="20">
        <f t="shared" si="7"/>
        <v>31</v>
      </c>
      <c r="K123" s="16"/>
    </row>
    <row r="124" spans="1:11" hidden="1" outlineLevel="1">
      <c r="A124" s="16"/>
      <c r="B124" s="14"/>
      <c r="C124" s="17" t="s">
        <v>43</v>
      </c>
      <c r="D124" s="18">
        <v>13.55</v>
      </c>
      <c r="E124" s="18" t="s">
        <v>0</v>
      </c>
      <c r="F124" s="18">
        <f t="shared" si="0"/>
        <v>4</v>
      </c>
      <c r="G124" s="19">
        <f t="shared" si="5"/>
        <v>54.2</v>
      </c>
      <c r="H124" s="20">
        <f t="shared" si="6"/>
        <v>13.55</v>
      </c>
      <c r="I124" s="18">
        <v>1</v>
      </c>
      <c r="J124" s="20">
        <f t="shared" si="7"/>
        <v>54.2</v>
      </c>
      <c r="K124" s="16"/>
    </row>
    <row r="125" spans="1:11" hidden="1" outlineLevel="1">
      <c r="A125" s="16"/>
      <c r="B125" s="14"/>
      <c r="C125" s="17" t="s">
        <v>44</v>
      </c>
      <c r="D125" s="18">
        <v>1.65</v>
      </c>
      <c r="E125" s="18" t="s">
        <v>0</v>
      </c>
      <c r="F125" s="18">
        <f t="shared" si="0"/>
        <v>4</v>
      </c>
      <c r="G125" s="19">
        <f t="shared" si="5"/>
        <v>6.6</v>
      </c>
      <c r="H125" s="20">
        <f t="shared" si="6"/>
        <v>1.65</v>
      </c>
      <c r="I125" s="18">
        <v>1</v>
      </c>
      <c r="J125" s="20">
        <f t="shared" si="7"/>
        <v>6.6</v>
      </c>
      <c r="K125" s="16"/>
    </row>
    <row r="126" spans="1:11" hidden="1" outlineLevel="1">
      <c r="A126" s="16"/>
      <c r="B126" s="14"/>
      <c r="C126" s="17" t="s">
        <v>45</v>
      </c>
      <c r="D126" s="18">
        <v>2.5</v>
      </c>
      <c r="E126" s="18" t="s">
        <v>0</v>
      </c>
      <c r="F126" s="18">
        <f t="shared" si="0"/>
        <v>4</v>
      </c>
      <c r="G126" s="19">
        <f t="shared" si="5"/>
        <v>10</v>
      </c>
      <c r="H126" s="20">
        <f t="shared" si="6"/>
        <v>2.5</v>
      </c>
      <c r="I126" s="18">
        <v>1</v>
      </c>
      <c r="J126" s="20">
        <f t="shared" si="7"/>
        <v>10</v>
      </c>
      <c r="K126" s="16"/>
    </row>
    <row r="127" spans="1:11" hidden="1" outlineLevel="1">
      <c r="A127" s="16"/>
      <c r="B127" s="14"/>
      <c r="C127" s="17" t="s">
        <v>46</v>
      </c>
      <c r="D127" s="18">
        <v>4.1500000000000004</v>
      </c>
      <c r="E127" s="18" t="s">
        <v>0</v>
      </c>
      <c r="F127" s="18">
        <f t="shared" si="0"/>
        <v>4</v>
      </c>
      <c r="G127" s="19">
        <f t="shared" si="5"/>
        <v>16.600000000000001</v>
      </c>
      <c r="H127" s="20">
        <f t="shared" si="6"/>
        <v>4.1500000000000004</v>
      </c>
      <c r="I127" s="18">
        <v>1</v>
      </c>
      <c r="J127" s="20">
        <f t="shared" si="7"/>
        <v>16.600000000000001</v>
      </c>
      <c r="K127" s="16"/>
    </row>
    <row r="128" spans="1:11" hidden="1" outlineLevel="1">
      <c r="A128" s="16"/>
      <c r="B128" s="14"/>
      <c r="C128" s="17" t="s">
        <v>47</v>
      </c>
      <c r="D128" s="18">
        <v>3.2</v>
      </c>
      <c r="E128" s="18" t="s">
        <v>0</v>
      </c>
      <c r="F128" s="18">
        <f t="shared" si="0"/>
        <v>4</v>
      </c>
      <c r="G128" s="19">
        <f t="shared" ref="G128:G148" si="8">PRODUCT(D128,E128,F128)</f>
        <v>12.8</v>
      </c>
      <c r="H128" s="20">
        <f t="shared" si="6"/>
        <v>3.2</v>
      </c>
      <c r="I128" s="18">
        <v>1</v>
      </c>
      <c r="J128" s="20">
        <f t="shared" si="7"/>
        <v>12.8</v>
      </c>
      <c r="K128" s="16"/>
    </row>
    <row r="129" spans="1:11" hidden="1" outlineLevel="1">
      <c r="A129" s="16"/>
      <c r="B129" s="14"/>
      <c r="C129" s="17" t="s">
        <v>48</v>
      </c>
      <c r="D129" s="18">
        <v>3.15</v>
      </c>
      <c r="E129" s="18" t="s">
        <v>0</v>
      </c>
      <c r="F129" s="18">
        <f t="shared" si="0"/>
        <v>4</v>
      </c>
      <c r="G129" s="19">
        <f t="shared" si="8"/>
        <v>12.6</v>
      </c>
      <c r="H129" s="20">
        <f t="shared" si="6"/>
        <v>3.15</v>
      </c>
      <c r="I129" s="18">
        <v>1</v>
      </c>
      <c r="J129" s="20">
        <f t="shared" si="7"/>
        <v>12.6</v>
      </c>
      <c r="K129" s="16"/>
    </row>
    <row r="130" spans="1:11" hidden="1" outlineLevel="1">
      <c r="A130" s="16"/>
      <c r="B130" s="14"/>
      <c r="C130" s="17" t="s">
        <v>49</v>
      </c>
      <c r="D130" s="18">
        <v>2.5</v>
      </c>
      <c r="E130" s="18" t="s">
        <v>0</v>
      </c>
      <c r="F130" s="18">
        <f t="shared" si="0"/>
        <v>4</v>
      </c>
      <c r="G130" s="19">
        <f t="shared" si="8"/>
        <v>10</v>
      </c>
      <c r="H130" s="20">
        <f t="shared" si="6"/>
        <v>2.5</v>
      </c>
      <c r="I130" s="18">
        <v>1</v>
      </c>
      <c r="J130" s="20">
        <f t="shared" si="7"/>
        <v>10</v>
      </c>
      <c r="K130" s="16"/>
    </row>
    <row r="131" spans="1:11" hidden="1" outlineLevel="1">
      <c r="A131" s="16"/>
      <c r="B131" s="14"/>
      <c r="C131" s="17" t="s">
        <v>50</v>
      </c>
      <c r="D131" s="18">
        <v>7.35</v>
      </c>
      <c r="E131" s="18" t="s">
        <v>0</v>
      </c>
      <c r="F131" s="18">
        <f t="shared" si="0"/>
        <v>4</v>
      </c>
      <c r="G131" s="19">
        <f t="shared" si="8"/>
        <v>29.4</v>
      </c>
      <c r="H131" s="20">
        <f t="shared" si="6"/>
        <v>7.35</v>
      </c>
      <c r="I131" s="18">
        <v>1</v>
      </c>
      <c r="J131" s="20">
        <f t="shared" si="7"/>
        <v>29.4</v>
      </c>
      <c r="K131" s="16"/>
    </row>
    <row r="132" spans="1:11" hidden="1" outlineLevel="1">
      <c r="A132" s="16"/>
      <c r="B132" s="14"/>
      <c r="C132" s="17" t="s">
        <v>51</v>
      </c>
      <c r="D132" s="18">
        <v>5.8</v>
      </c>
      <c r="E132" s="18" t="s">
        <v>0</v>
      </c>
      <c r="F132" s="18">
        <f t="shared" si="0"/>
        <v>4</v>
      </c>
      <c r="G132" s="19">
        <f t="shared" si="8"/>
        <v>23.2</v>
      </c>
      <c r="H132" s="20">
        <f t="shared" si="6"/>
        <v>5.8</v>
      </c>
      <c r="I132" s="18">
        <v>1</v>
      </c>
      <c r="J132" s="20">
        <f t="shared" si="7"/>
        <v>23.2</v>
      </c>
      <c r="K132" s="16"/>
    </row>
    <row r="133" spans="1:11" hidden="1" outlineLevel="1">
      <c r="A133" s="16"/>
      <c r="B133" s="14"/>
      <c r="C133" s="17" t="s">
        <v>52</v>
      </c>
      <c r="D133" s="18">
        <v>3.15</v>
      </c>
      <c r="E133" s="18" t="s">
        <v>0</v>
      </c>
      <c r="F133" s="18">
        <f t="shared" si="0"/>
        <v>4</v>
      </c>
      <c r="G133" s="19">
        <f t="shared" si="8"/>
        <v>12.6</v>
      </c>
      <c r="H133" s="20">
        <f t="shared" si="6"/>
        <v>3.15</v>
      </c>
      <c r="I133" s="18">
        <v>1</v>
      </c>
      <c r="J133" s="20">
        <f t="shared" si="7"/>
        <v>12.6</v>
      </c>
      <c r="K133" s="16"/>
    </row>
    <row r="134" spans="1:11" hidden="1" outlineLevel="1">
      <c r="A134" s="16"/>
      <c r="B134" s="14"/>
      <c r="C134" s="17" t="s">
        <v>53</v>
      </c>
      <c r="D134" s="18">
        <v>5.8</v>
      </c>
      <c r="E134" s="18" t="s">
        <v>0</v>
      </c>
      <c r="F134" s="18">
        <f t="shared" si="0"/>
        <v>4</v>
      </c>
      <c r="G134" s="19">
        <f t="shared" si="8"/>
        <v>23.2</v>
      </c>
      <c r="H134" s="20">
        <f t="shared" si="6"/>
        <v>5.8</v>
      </c>
      <c r="I134" s="18">
        <v>1</v>
      </c>
      <c r="J134" s="20">
        <f t="shared" si="7"/>
        <v>23.2</v>
      </c>
      <c r="K134" s="16"/>
    </row>
    <row r="135" spans="1:11" hidden="1" outlineLevel="1">
      <c r="A135" s="16"/>
      <c r="B135" s="14"/>
      <c r="C135" s="17" t="s">
        <v>54</v>
      </c>
      <c r="D135" s="18">
        <v>1.75</v>
      </c>
      <c r="E135" s="18" t="s">
        <v>0</v>
      </c>
      <c r="F135" s="18">
        <f t="shared" si="0"/>
        <v>4</v>
      </c>
      <c r="G135" s="19">
        <f t="shared" si="8"/>
        <v>7</v>
      </c>
      <c r="H135" s="20">
        <f t="shared" si="6"/>
        <v>1.75</v>
      </c>
      <c r="I135" s="18">
        <v>1</v>
      </c>
      <c r="J135" s="20">
        <f t="shared" si="7"/>
        <v>7</v>
      </c>
      <c r="K135" s="16"/>
    </row>
    <row r="136" spans="1:11" hidden="1" outlineLevel="1">
      <c r="A136" s="16"/>
      <c r="B136" s="14"/>
      <c r="C136" s="17" t="s">
        <v>55</v>
      </c>
      <c r="D136" s="18">
        <v>13.7</v>
      </c>
      <c r="E136" s="18" t="s">
        <v>0</v>
      </c>
      <c r="F136" s="18">
        <f t="shared" si="0"/>
        <v>4</v>
      </c>
      <c r="G136" s="19">
        <f t="shared" si="8"/>
        <v>54.8</v>
      </c>
      <c r="H136" s="20">
        <f t="shared" si="6"/>
        <v>13.7</v>
      </c>
      <c r="I136" s="18">
        <v>1</v>
      </c>
      <c r="J136" s="20">
        <f t="shared" si="7"/>
        <v>54.8</v>
      </c>
      <c r="K136" s="16"/>
    </row>
    <row r="137" spans="1:11" hidden="1" outlineLevel="1">
      <c r="A137" s="16"/>
      <c r="B137" s="14"/>
      <c r="C137" s="17" t="s">
        <v>56</v>
      </c>
      <c r="D137" s="18">
        <v>33.6</v>
      </c>
      <c r="E137" s="18" t="s">
        <v>0</v>
      </c>
      <c r="F137" s="18">
        <f t="shared" si="0"/>
        <v>4</v>
      </c>
      <c r="G137" s="19">
        <f t="shared" si="8"/>
        <v>134.4</v>
      </c>
      <c r="H137" s="20">
        <f t="shared" si="6"/>
        <v>33.6</v>
      </c>
      <c r="I137" s="18">
        <v>1</v>
      </c>
      <c r="J137" s="20">
        <f t="shared" si="7"/>
        <v>134.4</v>
      </c>
      <c r="K137" s="16"/>
    </row>
    <row r="138" spans="1:11" hidden="1" outlineLevel="1">
      <c r="A138" s="16"/>
      <c r="B138" s="14"/>
      <c r="C138" s="17" t="s">
        <v>57</v>
      </c>
      <c r="D138" s="18">
        <v>22.4</v>
      </c>
      <c r="E138" s="18" t="s">
        <v>0</v>
      </c>
      <c r="F138" s="18">
        <f t="shared" si="0"/>
        <v>4</v>
      </c>
      <c r="G138" s="19">
        <f t="shared" si="8"/>
        <v>89.6</v>
      </c>
      <c r="H138" s="20">
        <f t="shared" si="6"/>
        <v>22.4</v>
      </c>
      <c r="I138" s="18">
        <v>1</v>
      </c>
      <c r="J138" s="20">
        <f t="shared" si="7"/>
        <v>89.6</v>
      </c>
      <c r="K138" s="16"/>
    </row>
    <row r="139" spans="1:11" hidden="1" outlineLevel="1">
      <c r="A139" s="16"/>
      <c r="B139" s="14"/>
      <c r="C139" s="17" t="s">
        <v>68</v>
      </c>
      <c r="D139" s="18">
        <v>2.2999999999999998</v>
      </c>
      <c r="E139" s="18" t="s">
        <v>0</v>
      </c>
      <c r="F139" s="18">
        <f t="shared" si="0"/>
        <v>4</v>
      </c>
      <c r="G139" s="19">
        <f t="shared" si="8"/>
        <v>9.1999999999999993</v>
      </c>
      <c r="H139" s="20">
        <f t="shared" si="6"/>
        <v>4.5999999999999996</v>
      </c>
      <c r="I139" s="18">
        <v>2</v>
      </c>
      <c r="J139" s="20">
        <f t="shared" si="7"/>
        <v>18.399999999999999</v>
      </c>
      <c r="K139" s="16"/>
    </row>
    <row r="140" spans="1:11" hidden="1" outlineLevel="1">
      <c r="A140" s="16"/>
      <c r="B140" s="14"/>
      <c r="C140" s="17" t="s">
        <v>58</v>
      </c>
      <c r="D140" s="18">
        <v>6.55</v>
      </c>
      <c r="E140" s="18" t="s">
        <v>0</v>
      </c>
      <c r="F140" s="18">
        <f t="shared" si="0"/>
        <v>4</v>
      </c>
      <c r="G140" s="19">
        <f t="shared" ref="G140:G147" si="9">PRODUCT(D140,E140,F140)</f>
        <v>26.2</v>
      </c>
      <c r="H140" s="20">
        <f t="shared" si="6"/>
        <v>32.75</v>
      </c>
      <c r="I140" s="18">
        <v>5</v>
      </c>
      <c r="J140" s="20">
        <f t="shared" si="7"/>
        <v>131</v>
      </c>
      <c r="K140" s="16"/>
    </row>
    <row r="141" spans="1:11" hidden="1" outlineLevel="1">
      <c r="A141" s="16"/>
      <c r="B141" s="14"/>
      <c r="C141" s="17" t="s">
        <v>59</v>
      </c>
      <c r="D141" s="18">
        <v>4.1500000000000004</v>
      </c>
      <c r="E141" s="18" t="s">
        <v>0</v>
      </c>
      <c r="F141" s="18">
        <f t="shared" si="0"/>
        <v>4</v>
      </c>
      <c r="G141" s="19">
        <f t="shared" si="9"/>
        <v>16.600000000000001</v>
      </c>
      <c r="H141" s="20">
        <f t="shared" si="6"/>
        <v>4.1500000000000004</v>
      </c>
      <c r="I141" s="18">
        <v>1</v>
      </c>
      <c r="J141" s="20">
        <f t="shared" si="7"/>
        <v>16.600000000000001</v>
      </c>
      <c r="K141" s="16"/>
    </row>
    <row r="142" spans="1:11" hidden="1" outlineLevel="1">
      <c r="A142" s="16"/>
      <c r="B142" s="14"/>
      <c r="C142" s="17" t="s">
        <v>60</v>
      </c>
      <c r="D142" s="18">
        <v>43.5</v>
      </c>
      <c r="E142" s="18" t="s">
        <v>0</v>
      </c>
      <c r="F142" s="18">
        <f t="shared" si="0"/>
        <v>4</v>
      </c>
      <c r="G142" s="19">
        <f t="shared" si="9"/>
        <v>174</v>
      </c>
      <c r="H142" s="20">
        <f t="shared" si="6"/>
        <v>43.5</v>
      </c>
      <c r="I142" s="18">
        <v>1</v>
      </c>
      <c r="J142" s="20">
        <f t="shared" si="7"/>
        <v>174</v>
      </c>
      <c r="K142" s="16"/>
    </row>
    <row r="143" spans="1:11" hidden="1" outlineLevel="1">
      <c r="A143" s="16"/>
      <c r="B143" s="14"/>
      <c r="C143" s="17" t="s">
        <v>61</v>
      </c>
      <c r="D143" s="18">
        <v>3</v>
      </c>
      <c r="E143" s="18" t="s">
        <v>0</v>
      </c>
      <c r="F143" s="18">
        <f t="shared" si="0"/>
        <v>4</v>
      </c>
      <c r="G143" s="19">
        <f t="shared" si="9"/>
        <v>12</v>
      </c>
      <c r="H143" s="20">
        <f t="shared" si="6"/>
        <v>3</v>
      </c>
      <c r="I143" s="18">
        <v>1</v>
      </c>
      <c r="J143" s="20">
        <f t="shared" si="7"/>
        <v>12</v>
      </c>
      <c r="K143" s="16"/>
    </row>
    <row r="144" spans="1:11" hidden="1" outlineLevel="1">
      <c r="A144" s="16"/>
      <c r="B144" s="14"/>
      <c r="C144" s="17" t="s">
        <v>62</v>
      </c>
      <c r="D144" s="18">
        <v>26.4</v>
      </c>
      <c r="E144" s="18" t="s">
        <v>0</v>
      </c>
      <c r="F144" s="18">
        <f t="shared" si="0"/>
        <v>4</v>
      </c>
      <c r="G144" s="19">
        <f t="shared" si="9"/>
        <v>105.6</v>
      </c>
      <c r="H144" s="20">
        <f t="shared" si="6"/>
        <v>26.4</v>
      </c>
      <c r="I144" s="18">
        <v>1</v>
      </c>
      <c r="J144" s="20">
        <f t="shared" si="7"/>
        <v>105.6</v>
      </c>
      <c r="K144" s="16"/>
    </row>
    <row r="145" spans="1:11" hidden="1" outlineLevel="1">
      <c r="A145" s="16"/>
      <c r="B145" s="14"/>
      <c r="C145" s="17" t="s">
        <v>63</v>
      </c>
      <c r="D145" s="18">
        <v>20.75</v>
      </c>
      <c r="E145" s="18" t="s">
        <v>0</v>
      </c>
      <c r="F145" s="18">
        <f t="shared" si="0"/>
        <v>4</v>
      </c>
      <c r="G145" s="19">
        <f t="shared" si="9"/>
        <v>83</v>
      </c>
      <c r="H145" s="20">
        <f t="shared" si="6"/>
        <v>20.75</v>
      </c>
      <c r="I145" s="18">
        <v>1</v>
      </c>
      <c r="J145" s="20">
        <f t="shared" si="7"/>
        <v>83</v>
      </c>
      <c r="K145" s="16"/>
    </row>
    <row r="146" spans="1:11" hidden="1" outlineLevel="1">
      <c r="A146" s="16"/>
      <c r="B146" s="14"/>
      <c r="C146" s="17" t="s">
        <v>64</v>
      </c>
      <c r="D146" s="18">
        <v>5.15</v>
      </c>
      <c r="E146" s="18" t="s">
        <v>0</v>
      </c>
      <c r="F146" s="18">
        <f t="shared" si="0"/>
        <v>4</v>
      </c>
      <c r="G146" s="19">
        <f t="shared" si="9"/>
        <v>20.6</v>
      </c>
      <c r="H146" s="20">
        <f t="shared" si="6"/>
        <v>10.3</v>
      </c>
      <c r="I146" s="18">
        <v>2</v>
      </c>
      <c r="J146" s="20">
        <f t="shared" si="7"/>
        <v>41.2</v>
      </c>
      <c r="K146" s="16"/>
    </row>
    <row r="147" spans="1:11" hidden="1" outlineLevel="1">
      <c r="A147" s="16"/>
      <c r="B147" s="14"/>
      <c r="C147" s="17" t="s">
        <v>65</v>
      </c>
      <c r="D147" s="18">
        <v>2.65</v>
      </c>
      <c r="E147" s="18" t="s">
        <v>0</v>
      </c>
      <c r="F147" s="18">
        <f t="shared" si="0"/>
        <v>4</v>
      </c>
      <c r="G147" s="19">
        <f t="shared" si="9"/>
        <v>10.6</v>
      </c>
      <c r="H147" s="20">
        <f t="shared" si="6"/>
        <v>10.6</v>
      </c>
      <c r="I147" s="18">
        <v>4</v>
      </c>
      <c r="J147" s="20">
        <f t="shared" si="7"/>
        <v>42.4</v>
      </c>
      <c r="K147" s="16"/>
    </row>
    <row r="148" spans="1:11" hidden="1" outlineLevel="1">
      <c r="A148" s="16"/>
      <c r="B148" s="14"/>
      <c r="C148" s="17" t="s">
        <v>66</v>
      </c>
      <c r="D148" s="18">
        <v>10.25</v>
      </c>
      <c r="E148" s="18" t="s">
        <v>0</v>
      </c>
      <c r="F148" s="18">
        <f t="shared" si="0"/>
        <v>4</v>
      </c>
      <c r="G148" s="19">
        <f t="shared" si="8"/>
        <v>41</v>
      </c>
      <c r="H148" s="20">
        <f t="shared" si="6"/>
        <v>10.25</v>
      </c>
      <c r="I148" s="18">
        <v>1</v>
      </c>
      <c r="J148" s="20">
        <f t="shared" si="7"/>
        <v>41</v>
      </c>
      <c r="K148" s="16"/>
    </row>
    <row r="149" spans="1:11" hidden="1" outlineLevel="1">
      <c r="A149" s="16"/>
      <c r="B149" s="14"/>
      <c r="C149" s="17" t="s">
        <v>67</v>
      </c>
      <c r="D149" s="18">
        <v>14.65</v>
      </c>
      <c r="E149" s="18" t="s">
        <v>0</v>
      </c>
      <c r="F149" s="18">
        <f t="shared" si="0"/>
        <v>4</v>
      </c>
      <c r="G149" s="19">
        <f>PRODUCT(D149,E149,F149)</f>
        <v>58.6</v>
      </c>
      <c r="H149" s="20">
        <f t="shared" si="6"/>
        <v>14.65</v>
      </c>
      <c r="I149" s="18">
        <v>1</v>
      </c>
      <c r="J149" s="20">
        <f t="shared" si="7"/>
        <v>58.6</v>
      </c>
      <c r="K149" s="16"/>
    </row>
    <row r="150" spans="1:11" hidden="1" outlineLevel="1">
      <c r="A150" s="16"/>
      <c r="B150" s="14"/>
      <c r="C150" s="17" t="s">
        <v>69</v>
      </c>
      <c r="D150" s="18">
        <v>7.8</v>
      </c>
      <c r="E150" s="18" t="s">
        <v>0</v>
      </c>
      <c r="F150" s="18">
        <f t="shared" si="0"/>
        <v>4</v>
      </c>
      <c r="G150" s="19">
        <f t="shared" ref="G150:G155" si="10">PRODUCT(D150,E150,F150)</f>
        <v>31.2</v>
      </c>
      <c r="H150" s="20">
        <f t="shared" si="6"/>
        <v>7.8</v>
      </c>
      <c r="I150" s="18">
        <v>1</v>
      </c>
      <c r="J150" s="20">
        <f t="shared" si="7"/>
        <v>31.2</v>
      </c>
      <c r="K150" s="16"/>
    </row>
    <row r="151" spans="1:11" hidden="1" outlineLevel="1">
      <c r="A151" s="16"/>
      <c r="B151" s="14"/>
      <c r="C151" s="17" t="s">
        <v>70</v>
      </c>
      <c r="D151" s="18">
        <v>5</v>
      </c>
      <c r="E151" s="18" t="s">
        <v>0</v>
      </c>
      <c r="F151" s="18">
        <f t="shared" si="0"/>
        <v>4</v>
      </c>
      <c r="G151" s="19">
        <f t="shared" si="10"/>
        <v>20</v>
      </c>
      <c r="H151" s="20">
        <f t="shared" si="6"/>
        <v>5</v>
      </c>
      <c r="I151" s="18">
        <v>1</v>
      </c>
      <c r="J151" s="20">
        <f t="shared" si="7"/>
        <v>20</v>
      </c>
      <c r="K151" s="16"/>
    </row>
    <row r="152" spans="1:11" hidden="1" outlineLevel="1">
      <c r="A152" s="16"/>
      <c r="B152" s="14"/>
      <c r="C152" s="17" t="s">
        <v>71</v>
      </c>
      <c r="D152" s="18">
        <v>12</v>
      </c>
      <c r="E152" s="18" t="s">
        <v>0</v>
      </c>
      <c r="F152" s="18">
        <f t="shared" si="0"/>
        <v>4</v>
      </c>
      <c r="G152" s="19">
        <f t="shared" si="10"/>
        <v>48</v>
      </c>
      <c r="H152" s="20">
        <f t="shared" si="6"/>
        <v>24</v>
      </c>
      <c r="I152" s="18">
        <v>2</v>
      </c>
      <c r="J152" s="20">
        <f t="shared" si="7"/>
        <v>96</v>
      </c>
      <c r="K152" s="16"/>
    </row>
    <row r="153" spans="1:11" hidden="1" outlineLevel="1">
      <c r="A153" s="16"/>
      <c r="B153" s="14"/>
      <c r="C153" s="17" t="s">
        <v>72</v>
      </c>
      <c r="D153" s="18">
        <v>6.35</v>
      </c>
      <c r="E153" s="18" t="s">
        <v>0</v>
      </c>
      <c r="F153" s="18">
        <f t="shared" si="0"/>
        <v>4</v>
      </c>
      <c r="G153" s="19">
        <f t="shared" si="10"/>
        <v>25.4</v>
      </c>
      <c r="H153" s="20">
        <f t="shared" si="6"/>
        <v>12.7</v>
      </c>
      <c r="I153" s="18">
        <v>2</v>
      </c>
      <c r="J153" s="20">
        <f t="shared" si="7"/>
        <v>50.8</v>
      </c>
      <c r="K153" s="16"/>
    </row>
    <row r="154" spans="1:11" hidden="1" outlineLevel="1">
      <c r="A154" s="16"/>
      <c r="B154" s="14"/>
      <c r="C154" s="17" t="s">
        <v>73</v>
      </c>
      <c r="D154" s="18">
        <v>1.55</v>
      </c>
      <c r="E154" s="18" t="s">
        <v>0</v>
      </c>
      <c r="F154" s="18">
        <f t="shared" si="0"/>
        <v>4</v>
      </c>
      <c r="G154" s="19">
        <f t="shared" si="10"/>
        <v>6.2</v>
      </c>
      <c r="H154" s="20">
        <f t="shared" si="6"/>
        <v>3.1</v>
      </c>
      <c r="I154" s="18">
        <v>2</v>
      </c>
      <c r="J154" s="20">
        <f t="shared" si="7"/>
        <v>12.4</v>
      </c>
      <c r="K154" s="16"/>
    </row>
    <row r="155" spans="1:11" hidden="1" outlineLevel="1">
      <c r="A155" s="16"/>
      <c r="B155" s="14"/>
      <c r="C155" s="17" t="s">
        <v>74</v>
      </c>
      <c r="D155" s="18">
        <v>3.15</v>
      </c>
      <c r="E155" s="18" t="s">
        <v>0</v>
      </c>
      <c r="F155" s="18">
        <f t="shared" ref="F155:F166" si="11">$F$89</f>
        <v>4</v>
      </c>
      <c r="G155" s="19">
        <f t="shared" si="10"/>
        <v>12.6</v>
      </c>
      <c r="H155" s="20">
        <f t="shared" si="6"/>
        <v>3.15</v>
      </c>
      <c r="I155" s="18">
        <v>1</v>
      </c>
      <c r="J155" s="20">
        <f t="shared" si="7"/>
        <v>12.6</v>
      </c>
      <c r="K155" s="16"/>
    </row>
    <row r="156" spans="1:11" hidden="1" outlineLevel="1">
      <c r="A156" s="16"/>
      <c r="B156" s="14"/>
      <c r="C156" s="17" t="s">
        <v>75</v>
      </c>
      <c r="D156" s="18">
        <v>2.15</v>
      </c>
      <c r="E156" s="18" t="s">
        <v>0</v>
      </c>
      <c r="F156" s="18">
        <f t="shared" si="11"/>
        <v>4</v>
      </c>
      <c r="G156" s="19">
        <f>PRODUCT(D156,E156,F156)</f>
        <v>8.6</v>
      </c>
      <c r="H156" s="20">
        <f t="shared" si="6"/>
        <v>2.15</v>
      </c>
      <c r="I156" s="18">
        <v>1</v>
      </c>
      <c r="J156" s="20">
        <f t="shared" si="7"/>
        <v>8.6</v>
      </c>
      <c r="K156" s="16"/>
    </row>
    <row r="157" spans="1:11" hidden="1" outlineLevel="1">
      <c r="A157" s="16"/>
      <c r="B157" s="14"/>
      <c r="C157" s="17" t="s">
        <v>76</v>
      </c>
      <c r="D157" s="18">
        <v>5.65</v>
      </c>
      <c r="E157" s="18" t="s">
        <v>0</v>
      </c>
      <c r="F157" s="18">
        <f t="shared" si="11"/>
        <v>4</v>
      </c>
      <c r="G157" s="19">
        <f>PRODUCT(D157,E157,F157)</f>
        <v>22.6</v>
      </c>
      <c r="H157" s="20">
        <f t="shared" si="6"/>
        <v>5.65</v>
      </c>
      <c r="I157" s="18">
        <v>1</v>
      </c>
      <c r="J157" s="20">
        <f t="shared" si="7"/>
        <v>22.6</v>
      </c>
      <c r="K157" s="16"/>
    </row>
    <row r="158" spans="1:11" collapsed="1">
      <c r="A158" s="16"/>
      <c r="B158" s="14"/>
      <c r="C158" s="24" t="s">
        <v>151</v>
      </c>
      <c r="D158" s="18"/>
      <c r="E158" s="18"/>
      <c r="F158" s="18" t="s">
        <v>0</v>
      </c>
      <c r="G158" s="19"/>
      <c r="H158" s="20"/>
      <c r="I158" s="18"/>
      <c r="J158" s="15">
        <f>SUM(J159:J166)</f>
        <v>383.40000000000003</v>
      </c>
      <c r="K158" s="16"/>
    </row>
    <row r="159" spans="1:11" hidden="1" outlineLevel="1">
      <c r="A159" s="16"/>
      <c r="B159" s="14"/>
      <c r="C159" s="17" t="s">
        <v>78</v>
      </c>
      <c r="D159" s="18">
        <v>7.9</v>
      </c>
      <c r="E159" s="18" t="s">
        <v>0</v>
      </c>
      <c r="F159" s="18">
        <f t="shared" si="11"/>
        <v>4</v>
      </c>
      <c r="G159" s="19">
        <f t="shared" ref="G159:G166" si="12">PRODUCT(D159,E159,F159)</f>
        <v>31.6</v>
      </c>
      <c r="H159" s="20">
        <f t="shared" ref="H159:H166" si="13">D159*I159</f>
        <v>7.9</v>
      </c>
      <c r="I159" s="18">
        <v>1</v>
      </c>
      <c r="J159" s="20">
        <f t="shared" ref="J159:J166" si="14">IF(G159&gt;0,G159*I159,H159*I159)</f>
        <v>31.6</v>
      </c>
      <c r="K159" s="16"/>
    </row>
    <row r="160" spans="1:11" hidden="1" outlineLevel="1">
      <c r="A160" s="16"/>
      <c r="B160" s="14"/>
      <c r="C160" s="17" t="s">
        <v>79</v>
      </c>
      <c r="D160" s="18">
        <v>2.5</v>
      </c>
      <c r="E160" s="18" t="s">
        <v>0</v>
      </c>
      <c r="F160" s="18">
        <f t="shared" si="11"/>
        <v>4</v>
      </c>
      <c r="G160" s="19">
        <f t="shared" si="12"/>
        <v>10</v>
      </c>
      <c r="H160" s="20">
        <f t="shared" si="13"/>
        <v>10</v>
      </c>
      <c r="I160" s="18">
        <v>4</v>
      </c>
      <c r="J160" s="20">
        <f t="shared" si="14"/>
        <v>40</v>
      </c>
      <c r="K160" s="16"/>
    </row>
    <row r="161" spans="1:11" hidden="1" outlineLevel="1">
      <c r="A161" s="16"/>
      <c r="B161" s="14"/>
      <c r="C161" s="17" t="s">
        <v>80</v>
      </c>
      <c r="D161" s="18">
        <v>6.3</v>
      </c>
      <c r="E161" s="18" t="s">
        <v>0</v>
      </c>
      <c r="F161" s="18">
        <f t="shared" si="11"/>
        <v>4</v>
      </c>
      <c r="G161" s="19">
        <f t="shared" si="12"/>
        <v>25.2</v>
      </c>
      <c r="H161" s="20">
        <f t="shared" si="13"/>
        <v>6.3</v>
      </c>
      <c r="I161" s="18">
        <v>1</v>
      </c>
      <c r="J161" s="20">
        <f t="shared" si="14"/>
        <v>25.2</v>
      </c>
      <c r="K161" s="16"/>
    </row>
    <row r="162" spans="1:11" hidden="1" outlineLevel="1">
      <c r="A162" s="16"/>
      <c r="B162" s="14"/>
      <c r="C162" s="17" t="s">
        <v>81</v>
      </c>
      <c r="D162" s="18">
        <v>6.25</v>
      </c>
      <c r="E162" s="18" t="s">
        <v>0</v>
      </c>
      <c r="F162" s="18">
        <f t="shared" si="11"/>
        <v>4</v>
      </c>
      <c r="G162" s="19">
        <f t="shared" si="12"/>
        <v>25</v>
      </c>
      <c r="H162" s="20">
        <f t="shared" si="13"/>
        <v>12.5</v>
      </c>
      <c r="I162" s="18">
        <v>2</v>
      </c>
      <c r="J162" s="20">
        <f t="shared" si="14"/>
        <v>50</v>
      </c>
      <c r="K162" s="16"/>
    </row>
    <row r="163" spans="1:11" hidden="1" outlineLevel="1">
      <c r="A163" s="16"/>
      <c r="B163" s="14"/>
      <c r="C163" s="17" t="s">
        <v>82</v>
      </c>
      <c r="D163" s="18">
        <v>6.9</v>
      </c>
      <c r="E163" s="18" t="s">
        <v>0</v>
      </c>
      <c r="F163" s="18">
        <f t="shared" si="11"/>
        <v>4</v>
      </c>
      <c r="G163" s="19">
        <f t="shared" si="12"/>
        <v>27.6</v>
      </c>
      <c r="H163" s="20">
        <f t="shared" si="13"/>
        <v>6.9</v>
      </c>
      <c r="I163" s="18">
        <v>1</v>
      </c>
      <c r="J163" s="20">
        <f t="shared" si="14"/>
        <v>27.6</v>
      </c>
      <c r="K163" s="16"/>
    </row>
    <row r="164" spans="1:11" hidden="1" outlineLevel="1">
      <c r="A164" s="16"/>
      <c r="B164" s="14"/>
      <c r="C164" s="17" t="s">
        <v>83</v>
      </c>
      <c r="D164" s="18">
        <v>39.35</v>
      </c>
      <c r="E164" s="18" t="s">
        <v>0</v>
      </c>
      <c r="F164" s="18">
        <f t="shared" si="11"/>
        <v>4</v>
      </c>
      <c r="G164" s="19">
        <f t="shared" si="12"/>
        <v>157.4</v>
      </c>
      <c r="H164" s="20">
        <f t="shared" si="13"/>
        <v>39.35</v>
      </c>
      <c r="I164" s="18">
        <v>1</v>
      </c>
      <c r="J164" s="20">
        <f t="shared" si="14"/>
        <v>157.4</v>
      </c>
      <c r="K164" s="16"/>
    </row>
    <row r="165" spans="1:11" hidden="1" outlineLevel="1">
      <c r="A165" s="16"/>
      <c r="B165" s="14"/>
      <c r="C165" s="17" t="s">
        <v>84</v>
      </c>
      <c r="D165" s="18">
        <v>3</v>
      </c>
      <c r="E165" s="18" t="s">
        <v>0</v>
      </c>
      <c r="F165" s="18">
        <f t="shared" si="11"/>
        <v>4</v>
      </c>
      <c r="G165" s="19">
        <f t="shared" si="12"/>
        <v>12</v>
      </c>
      <c r="H165" s="20">
        <f t="shared" si="13"/>
        <v>3</v>
      </c>
      <c r="I165" s="18">
        <v>1</v>
      </c>
      <c r="J165" s="20">
        <f t="shared" si="14"/>
        <v>12</v>
      </c>
      <c r="K165" s="16"/>
    </row>
    <row r="166" spans="1:11" hidden="1" outlineLevel="1">
      <c r="A166" s="16"/>
      <c r="B166" s="14"/>
      <c r="C166" s="17" t="s">
        <v>85</v>
      </c>
      <c r="D166" s="18">
        <v>9.9</v>
      </c>
      <c r="E166" s="18" t="s">
        <v>0</v>
      </c>
      <c r="F166" s="18">
        <f t="shared" si="11"/>
        <v>4</v>
      </c>
      <c r="G166" s="19">
        <f t="shared" si="12"/>
        <v>39.6</v>
      </c>
      <c r="H166" s="20">
        <f t="shared" si="13"/>
        <v>9.9</v>
      </c>
      <c r="I166" s="18">
        <v>1</v>
      </c>
      <c r="J166" s="20">
        <f t="shared" si="14"/>
        <v>39.6</v>
      </c>
      <c r="K166" s="16"/>
    </row>
    <row r="167" spans="1:11" collapsed="1">
      <c r="A167" s="2"/>
      <c r="B167" s="21"/>
      <c r="C167" s="22"/>
      <c r="D167" s="13"/>
      <c r="E167" s="13"/>
      <c r="F167" s="13"/>
      <c r="G167" s="13"/>
      <c r="H167" s="13"/>
      <c r="I167" s="13"/>
      <c r="J167" s="13"/>
      <c r="K167" s="2"/>
    </row>
    <row r="168" spans="1:11">
      <c r="B168" s="528" t="s">
        <v>87</v>
      </c>
      <c r="C168" s="1017" t="s">
        <v>88</v>
      </c>
      <c r="D168" s="1017" t="s">
        <v>0</v>
      </c>
      <c r="E168" s="1017" t="s">
        <v>0</v>
      </c>
      <c r="F168" s="1017" t="s">
        <v>0</v>
      </c>
      <c r="G168" s="1017" t="s">
        <v>0</v>
      </c>
      <c r="H168" s="1017" t="s">
        <v>0</v>
      </c>
      <c r="I168" s="1017" t="s">
        <v>0</v>
      </c>
      <c r="J168" s="529">
        <f>SUM(J170:J178)</f>
        <v>298.99</v>
      </c>
    </row>
    <row r="169" spans="1:11">
      <c r="B169" s="14"/>
      <c r="C169" s="527" t="s">
        <v>77</v>
      </c>
      <c r="D169" s="515"/>
      <c r="E169" s="515"/>
      <c r="F169" s="515"/>
      <c r="G169" s="515"/>
      <c r="H169" s="515"/>
      <c r="I169" s="515"/>
      <c r="J169" s="15"/>
    </row>
    <row r="170" spans="1:11" hidden="1" outlineLevel="1">
      <c r="B170" s="14"/>
      <c r="C170" s="17" t="s">
        <v>89</v>
      </c>
      <c r="D170" s="18">
        <v>9.35</v>
      </c>
      <c r="E170" s="18" t="s">
        <v>0</v>
      </c>
      <c r="F170" s="18">
        <v>3.5</v>
      </c>
      <c r="G170" s="19">
        <f t="shared" ref="G170:G178" si="15">PRODUCT(D170,E170,F170)</f>
        <v>32.725000000000001</v>
      </c>
      <c r="H170" s="20">
        <f t="shared" ref="H170:H178" si="16">D170*I170</f>
        <v>28.049999999999997</v>
      </c>
      <c r="I170" s="18">
        <v>3</v>
      </c>
      <c r="J170" s="20">
        <f t="shared" ref="J170:J178" si="17">IF(G170&gt;0,G170*I170,H170*I170)</f>
        <v>98.175000000000011</v>
      </c>
    </row>
    <row r="171" spans="1:11" hidden="1" outlineLevel="1">
      <c r="B171" s="14"/>
      <c r="C171" s="17" t="s">
        <v>90</v>
      </c>
      <c r="D171" s="18">
        <v>5.8</v>
      </c>
      <c r="E171" s="18" t="s">
        <v>0</v>
      </c>
      <c r="F171" s="18">
        <f t="shared" ref="F171:F176" si="18">$F$170</f>
        <v>3.5</v>
      </c>
      <c r="G171" s="19">
        <f t="shared" si="15"/>
        <v>20.3</v>
      </c>
      <c r="H171" s="20">
        <f t="shared" si="16"/>
        <v>5.8</v>
      </c>
      <c r="I171" s="18">
        <v>1</v>
      </c>
      <c r="J171" s="20">
        <f t="shared" si="17"/>
        <v>20.3</v>
      </c>
    </row>
    <row r="172" spans="1:11" hidden="1" outlineLevel="1">
      <c r="B172" s="14"/>
      <c r="C172" s="17" t="s">
        <v>91</v>
      </c>
      <c r="D172" s="18">
        <v>2.95</v>
      </c>
      <c r="E172" s="18" t="s">
        <v>0</v>
      </c>
      <c r="F172" s="18">
        <f t="shared" si="18"/>
        <v>3.5</v>
      </c>
      <c r="G172" s="19">
        <f t="shared" si="15"/>
        <v>10.325000000000001</v>
      </c>
      <c r="H172" s="20">
        <f t="shared" si="16"/>
        <v>2.95</v>
      </c>
      <c r="I172" s="18">
        <v>1</v>
      </c>
      <c r="J172" s="20">
        <f t="shared" si="17"/>
        <v>10.325000000000001</v>
      </c>
    </row>
    <row r="173" spans="1:11" hidden="1" outlineLevel="1">
      <c r="B173" s="14"/>
      <c r="C173" s="17" t="s">
        <v>92</v>
      </c>
      <c r="D173" s="18">
        <v>9.25</v>
      </c>
      <c r="E173" s="18" t="s">
        <v>0</v>
      </c>
      <c r="F173" s="18">
        <f t="shared" si="18"/>
        <v>3.5</v>
      </c>
      <c r="G173" s="19">
        <f t="shared" si="15"/>
        <v>32.375</v>
      </c>
      <c r="H173" s="20">
        <f t="shared" si="16"/>
        <v>18.5</v>
      </c>
      <c r="I173" s="18">
        <v>2</v>
      </c>
      <c r="J173" s="20">
        <f t="shared" si="17"/>
        <v>64.75</v>
      </c>
    </row>
    <row r="174" spans="1:11" hidden="1" outlineLevel="1">
      <c r="B174" s="14"/>
      <c r="C174" s="17" t="s">
        <v>93</v>
      </c>
      <c r="D174" s="18">
        <v>5.75</v>
      </c>
      <c r="E174" s="18" t="s">
        <v>0</v>
      </c>
      <c r="F174" s="18">
        <f t="shared" si="18"/>
        <v>3.5</v>
      </c>
      <c r="G174" s="19">
        <f t="shared" si="15"/>
        <v>20.125</v>
      </c>
      <c r="H174" s="20">
        <f t="shared" si="16"/>
        <v>5.75</v>
      </c>
      <c r="I174" s="18">
        <v>1</v>
      </c>
      <c r="J174" s="20">
        <f t="shared" si="17"/>
        <v>20.125</v>
      </c>
    </row>
    <row r="175" spans="1:11" hidden="1" outlineLevel="1">
      <c r="B175" s="14"/>
      <c r="C175" s="17" t="s">
        <v>94</v>
      </c>
      <c r="D175" s="18">
        <v>3.5</v>
      </c>
      <c r="E175" s="18" t="s">
        <v>0</v>
      </c>
      <c r="F175" s="18">
        <f t="shared" si="18"/>
        <v>3.5</v>
      </c>
      <c r="G175" s="19">
        <f t="shared" si="15"/>
        <v>12.25</v>
      </c>
      <c r="H175" s="20">
        <f t="shared" si="16"/>
        <v>3.5</v>
      </c>
      <c r="I175" s="18">
        <v>1</v>
      </c>
      <c r="J175" s="20">
        <f t="shared" si="17"/>
        <v>12.25</v>
      </c>
    </row>
    <row r="176" spans="1:11" hidden="1" outlineLevel="1">
      <c r="B176" s="14"/>
      <c r="C176" s="17" t="s">
        <v>95</v>
      </c>
      <c r="D176" s="18">
        <v>2.15</v>
      </c>
      <c r="E176" s="18" t="s">
        <v>0</v>
      </c>
      <c r="F176" s="18">
        <f t="shared" si="18"/>
        <v>3.5</v>
      </c>
      <c r="G176" s="19">
        <f>PRODUCT(D176,E176,F176)</f>
        <v>7.5249999999999995</v>
      </c>
      <c r="H176" s="20">
        <f t="shared" si="16"/>
        <v>2.15</v>
      </c>
      <c r="I176" s="18">
        <v>1</v>
      </c>
      <c r="J176" s="20">
        <f t="shared" si="17"/>
        <v>7.5249999999999995</v>
      </c>
    </row>
    <row r="177" spans="2:10" hidden="1" outlineLevel="1">
      <c r="B177" s="14"/>
      <c r="C177" s="17" t="s">
        <v>96</v>
      </c>
      <c r="D177" s="18">
        <v>11.35</v>
      </c>
      <c r="E177" s="18" t="s">
        <v>0</v>
      </c>
      <c r="F177" s="18">
        <v>1.45</v>
      </c>
      <c r="G177" s="19">
        <f>PRODUCT(D177,E177,F177)</f>
        <v>16.4575</v>
      </c>
      <c r="H177" s="20">
        <f t="shared" si="16"/>
        <v>22.7</v>
      </c>
      <c r="I177" s="18">
        <v>2</v>
      </c>
      <c r="J177" s="20">
        <f t="shared" si="17"/>
        <v>32.914999999999999</v>
      </c>
    </row>
    <row r="178" spans="2:10" hidden="1" outlineLevel="1">
      <c r="B178" s="14"/>
      <c r="C178" s="17" t="s">
        <v>97</v>
      </c>
      <c r="D178" s="18">
        <v>11.25</v>
      </c>
      <c r="E178" s="18" t="s">
        <v>0</v>
      </c>
      <c r="F178" s="18">
        <f>$F$177</f>
        <v>1.45</v>
      </c>
      <c r="G178" s="19">
        <f t="shared" si="15"/>
        <v>16.3125</v>
      </c>
      <c r="H178" s="20">
        <f t="shared" si="16"/>
        <v>22.5</v>
      </c>
      <c r="I178" s="18">
        <v>2</v>
      </c>
      <c r="J178" s="20">
        <f t="shared" si="17"/>
        <v>32.625</v>
      </c>
    </row>
    <row r="179" spans="2:10" collapsed="1"/>
    <row r="180" spans="2:10">
      <c r="B180" s="21" t="s">
        <v>98</v>
      </c>
      <c r="C180" s="1004" t="s">
        <v>99</v>
      </c>
      <c r="D180" s="1004" t="s">
        <v>0</v>
      </c>
      <c r="E180" s="1004" t="s">
        <v>0</v>
      </c>
      <c r="F180" s="1004" t="s">
        <v>0</v>
      </c>
      <c r="G180" s="1004" t="s">
        <v>0</v>
      </c>
      <c r="H180" s="1004" t="s">
        <v>0</v>
      </c>
      <c r="I180" s="1004" t="s">
        <v>0</v>
      </c>
      <c r="J180" s="530">
        <f>SUM(J182:J192)</f>
        <v>536.53</v>
      </c>
    </row>
    <row r="181" spans="2:10">
      <c r="B181" s="528"/>
      <c r="C181" s="531" t="s">
        <v>77</v>
      </c>
      <c r="D181" s="532"/>
      <c r="E181" s="532"/>
      <c r="F181" s="532"/>
      <c r="G181" s="532"/>
      <c r="H181" s="532"/>
      <c r="I181" s="532"/>
      <c r="J181" s="529"/>
    </row>
    <row r="182" spans="2:10" hidden="1" outlineLevel="1">
      <c r="B182" s="14"/>
      <c r="C182" s="226" t="s">
        <v>89</v>
      </c>
      <c r="D182" s="71">
        <v>13.55</v>
      </c>
      <c r="E182" s="71" t="s">
        <v>0</v>
      </c>
      <c r="F182" s="71">
        <v>3.5</v>
      </c>
      <c r="G182" s="79">
        <f t="shared" ref="G182:G192" si="19">PRODUCT(D182,E182,F182)</f>
        <v>47.425000000000004</v>
      </c>
      <c r="H182" s="73">
        <f t="shared" ref="H182:H192" si="20">D182*I182</f>
        <v>13.55</v>
      </c>
      <c r="I182" s="71">
        <v>1</v>
      </c>
      <c r="J182" s="73">
        <f t="shared" ref="J182:J192" si="21">IF(G182&gt;0,G182*I182,H182*I182)</f>
        <v>47.425000000000004</v>
      </c>
    </row>
    <row r="183" spans="2:10" hidden="1" outlineLevel="1">
      <c r="B183" s="14"/>
      <c r="C183" s="17" t="s">
        <v>90</v>
      </c>
      <c r="D183" s="18">
        <v>5.9</v>
      </c>
      <c r="E183" s="18" t="s">
        <v>0</v>
      </c>
      <c r="F183" s="18">
        <f>$F$182</f>
        <v>3.5</v>
      </c>
      <c r="G183" s="19">
        <f t="shared" si="19"/>
        <v>20.650000000000002</v>
      </c>
      <c r="H183" s="20">
        <f t="shared" si="20"/>
        <v>5.9</v>
      </c>
      <c r="I183" s="18">
        <v>1</v>
      </c>
      <c r="J183" s="20">
        <f t="shared" si="21"/>
        <v>20.650000000000002</v>
      </c>
    </row>
    <row r="184" spans="2:10" hidden="1" outlineLevel="1">
      <c r="B184" s="14"/>
      <c r="C184" s="17" t="s">
        <v>91</v>
      </c>
      <c r="D184" s="18">
        <v>19.45</v>
      </c>
      <c r="E184" s="18" t="s">
        <v>0</v>
      </c>
      <c r="F184" s="18">
        <f>$F$182</f>
        <v>3.5</v>
      </c>
      <c r="G184" s="19">
        <f t="shared" si="19"/>
        <v>68.075000000000003</v>
      </c>
      <c r="H184" s="20">
        <f t="shared" si="20"/>
        <v>19.45</v>
      </c>
      <c r="I184" s="18">
        <v>1</v>
      </c>
      <c r="J184" s="20">
        <f t="shared" si="21"/>
        <v>68.075000000000003</v>
      </c>
    </row>
    <row r="185" spans="2:10" hidden="1" outlineLevel="1">
      <c r="B185" s="14"/>
      <c r="C185" s="17" t="s">
        <v>100</v>
      </c>
      <c r="D185" s="18">
        <v>12.75</v>
      </c>
      <c r="E185" s="18" t="s">
        <v>0</v>
      </c>
      <c r="F185" s="18">
        <v>1</v>
      </c>
      <c r="G185" s="19">
        <f>PRODUCT(D185,E185,F185)</f>
        <v>12.75</v>
      </c>
      <c r="H185" s="20">
        <f t="shared" si="20"/>
        <v>12.75</v>
      </c>
      <c r="I185" s="18">
        <v>1</v>
      </c>
      <c r="J185" s="20">
        <f t="shared" si="21"/>
        <v>12.75</v>
      </c>
    </row>
    <row r="186" spans="2:10" hidden="1" outlineLevel="1">
      <c r="B186" s="14"/>
      <c r="C186" s="17" t="s">
        <v>101</v>
      </c>
      <c r="D186" s="18">
        <v>13.55</v>
      </c>
      <c r="E186" s="18" t="s">
        <v>0</v>
      </c>
      <c r="F186" s="18">
        <f>$F$185</f>
        <v>1</v>
      </c>
      <c r="G186" s="19">
        <f t="shared" si="19"/>
        <v>13.55</v>
      </c>
      <c r="H186" s="20">
        <f t="shared" si="20"/>
        <v>27.1</v>
      </c>
      <c r="I186" s="18">
        <v>2</v>
      </c>
      <c r="J186" s="20">
        <f t="shared" si="21"/>
        <v>27.1</v>
      </c>
    </row>
    <row r="187" spans="2:10" hidden="1" outlineLevel="1">
      <c r="B187" s="14"/>
      <c r="C187" s="17" t="s">
        <v>102</v>
      </c>
      <c r="D187" s="18">
        <v>6.9</v>
      </c>
      <c r="E187" s="18" t="s">
        <v>0</v>
      </c>
      <c r="F187" s="18">
        <f>$F$185</f>
        <v>1</v>
      </c>
      <c r="G187" s="19">
        <f>PRODUCT(D187,E187,F187)</f>
        <v>6.9</v>
      </c>
      <c r="H187" s="20">
        <f t="shared" si="20"/>
        <v>6.9</v>
      </c>
      <c r="I187" s="18">
        <v>1</v>
      </c>
      <c r="J187" s="20">
        <f t="shared" si="21"/>
        <v>6.9</v>
      </c>
    </row>
    <row r="188" spans="2:10" hidden="1" outlineLevel="1">
      <c r="B188" s="14"/>
      <c r="C188" s="17" t="s">
        <v>92</v>
      </c>
      <c r="D188" s="18">
        <v>10.95</v>
      </c>
      <c r="E188" s="18" t="s">
        <v>0</v>
      </c>
      <c r="F188" s="18">
        <f>$F$182</f>
        <v>3.5</v>
      </c>
      <c r="G188" s="19">
        <f t="shared" si="19"/>
        <v>38.324999999999996</v>
      </c>
      <c r="H188" s="20">
        <f t="shared" si="20"/>
        <v>32.849999999999994</v>
      </c>
      <c r="I188" s="18">
        <v>3</v>
      </c>
      <c r="J188" s="20">
        <f t="shared" si="21"/>
        <v>114.97499999999999</v>
      </c>
    </row>
    <row r="189" spans="2:10" hidden="1" outlineLevel="1">
      <c r="B189" s="14"/>
      <c r="C189" s="17" t="s">
        <v>93</v>
      </c>
      <c r="D189" s="18">
        <v>3.3</v>
      </c>
      <c r="E189" s="18" t="s">
        <v>0</v>
      </c>
      <c r="F189" s="18">
        <f>$F$182</f>
        <v>3.5</v>
      </c>
      <c r="G189" s="19">
        <f t="shared" si="19"/>
        <v>11.549999999999999</v>
      </c>
      <c r="H189" s="20">
        <f t="shared" si="20"/>
        <v>26.4</v>
      </c>
      <c r="I189" s="18">
        <v>8</v>
      </c>
      <c r="J189" s="20">
        <f t="shared" si="21"/>
        <v>92.399999999999991</v>
      </c>
    </row>
    <row r="190" spans="2:10" hidden="1" outlineLevel="1">
      <c r="B190" s="14"/>
      <c r="C190" s="17" t="s">
        <v>94</v>
      </c>
      <c r="D190" s="18">
        <v>7.65</v>
      </c>
      <c r="E190" s="18" t="s">
        <v>0</v>
      </c>
      <c r="F190" s="18">
        <f>$F$182</f>
        <v>3.5</v>
      </c>
      <c r="G190" s="19">
        <f t="shared" si="19"/>
        <v>26.775000000000002</v>
      </c>
      <c r="H190" s="20">
        <f t="shared" si="20"/>
        <v>7.65</v>
      </c>
      <c r="I190" s="18">
        <v>1</v>
      </c>
      <c r="J190" s="20">
        <f t="shared" si="21"/>
        <v>26.775000000000002</v>
      </c>
    </row>
    <row r="191" spans="2:10" hidden="1" outlineLevel="1">
      <c r="B191" s="14"/>
      <c r="C191" s="17" t="s">
        <v>96</v>
      </c>
      <c r="D191" s="18">
        <v>28.25</v>
      </c>
      <c r="E191" s="18" t="s">
        <v>0</v>
      </c>
      <c r="F191" s="18">
        <v>1.45</v>
      </c>
      <c r="G191" s="19">
        <f t="shared" si="19"/>
        <v>40.962499999999999</v>
      </c>
      <c r="H191" s="20">
        <f t="shared" si="20"/>
        <v>56.5</v>
      </c>
      <c r="I191" s="18">
        <v>2</v>
      </c>
      <c r="J191" s="20">
        <f t="shared" si="21"/>
        <v>81.924999999999997</v>
      </c>
    </row>
    <row r="192" spans="2:10" hidden="1" outlineLevel="1">
      <c r="B192" s="14"/>
      <c r="C192" s="17" t="s">
        <v>97</v>
      </c>
      <c r="D192" s="18">
        <v>12.95</v>
      </c>
      <c r="E192" s="18" t="s">
        <v>0</v>
      </c>
      <c r="F192" s="18">
        <f>$F$191</f>
        <v>1.45</v>
      </c>
      <c r="G192" s="19">
        <f t="shared" si="19"/>
        <v>18.7775</v>
      </c>
      <c r="H192" s="20">
        <f t="shared" si="20"/>
        <v>25.9</v>
      </c>
      <c r="I192" s="18">
        <v>2</v>
      </c>
      <c r="J192" s="20">
        <f t="shared" si="21"/>
        <v>37.555</v>
      </c>
    </row>
    <row r="193" spans="2:10" collapsed="1"/>
    <row r="194" spans="2:10">
      <c r="B194" s="14" t="s">
        <v>104</v>
      </c>
      <c r="C194" s="1004" t="s">
        <v>105</v>
      </c>
      <c r="D194" s="1004" t="s">
        <v>0</v>
      </c>
      <c r="E194" s="1004" t="s">
        <v>0</v>
      </c>
      <c r="F194" s="1004" t="s">
        <v>0</v>
      </c>
      <c r="G194" s="1004" t="s">
        <v>0</v>
      </c>
      <c r="H194" s="1004" t="s">
        <v>0</v>
      </c>
      <c r="I194" s="1004" t="s">
        <v>0</v>
      </c>
      <c r="J194" s="15">
        <f>SUM(J196:J219)</f>
        <v>1057.2750000000001</v>
      </c>
    </row>
    <row r="195" spans="2:10">
      <c r="B195" s="528"/>
      <c r="C195" s="531" t="s">
        <v>77</v>
      </c>
      <c r="D195" s="532"/>
      <c r="E195" s="532"/>
      <c r="F195" s="532"/>
      <c r="G195" s="532"/>
      <c r="H195" s="532"/>
      <c r="I195" s="532"/>
      <c r="J195" s="529"/>
    </row>
    <row r="196" spans="2:10" hidden="1" outlineLevel="1">
      <c r="B196" s="14"/>
      <c r="C196" s="17" t="s">
        <v>89</v>
      </c>
      <c r="D196" s="18">
        <v>10.8</v>
      </c>
      <c r="E196" s="18" t="s">
        <v>0</v>
      </c>
      <c r="F196" s="18">
        <v>3.5</v>
      </c>
      <c r="G196" s="19">
        <f t="shared" ref="G196:G219" si="22">PRODUCT(D196,E196,F196)</f>
        <v>37.800000000000004</v>
      </c>
      <c r="H196" s="20">
        <f t="shared" ref="H196:H219" si="23">D196*I196</f>
        <v>10.8</v>
      </c>
      <c r="I196" s="18">
        <v>1</v>
      </c>
      <c r="J196" s="20">
        <f t="shared" ref="J196:J219" si="24">IF(G196&gt;0,G196*I196,H196*I196)</f>
        <v>37.800000000000004</v>
      </c>
    </row>
    <row r="197" spans="2:10" hidden="1" outlineLevel="1">
      <c r="B197" s="14"/>
      <c r="C197" s="17" t="s">
        <v>90</v>
      </c>
      <c r="D197" s="18">
        <v>4.3499999999999996</v>
      </c>
      <c r="E197" s="18" t="s">
        <v>0</v>
      </c>
      <c r="F197" s="18">
        <f>$F$196</f>
        <v>3.5</v>
      </c>
      <c r="G197" s="19">
        <f t="shared" si="22"/>
        <v>15.224999999999998</v>
      </c>
      <c r="H197" s="20">
        <f t="shared" si="23"/>
        <v>30.449999999999996</v>
      </c>
      <c r="I197" s="18">
        <v>7</v>
      </c>
      <c r="J197" s="20">
        <f t="shared" si="24"/>
        <v>106.57499999999999</v>
      </c>
    </row>
    <row r="198" spans="2:10" hidden="1" outlineLevel="1">
      <c r="B198" s="14"/>
      <c r="C198" s="17" t="s">
        <v>91</v>
      </c>
      <c r="D198" s="18">
        <v>4.3</v>
      </c>
      <c r="E198" s="18" t="s">
        <v>0</v>
      </c>
      <c r="F198" s="18">
        <f>$F$196</f>
        <v>3.5</v>
      </c>
      <c r="G198" s="19">
        <f t="shared" si="22"/>
        <v>15.049999999999999</v>
      </c>
      <c r="H198" s="20">
        <f t="shared" si="23"/>
        <v>17.2</v>
      </c>
      <c r="I198" s="18">
        <v>4</v>
      </c>
      <c r="J198" s="20">
        <f t="shared" si="24"/>
        <v>60.199999999999996</v>
      </c>
    </row>
    <row r="199" spans="2:10" hidden="1" outlineLevel="1">
      <c r="B199" s="14"/>
      <c r="C199" s="17" t="s">
        <v>100</v>
      </c>
      <c r="D199" s="18">
        <v>12.6</v>
      </c>
      <c r="E199" s="18" t="s">
        <v>0</v>
      </c>
      <c r="F199" s="18">
        <f>$F$196</f>
        <v>3.5</v>
      </c>
      <c r="G199" s="19">
        <f t="shared" si="22"/>
        <v>44.1</v>
      </c>
      <c r="H199" s="20">
        <f t="shared" si="23"/>
        <v>25.2</v>
      </c>
      <c r="I199" s="18">
        <v>2</v>
      </c>
      <c r="J199" s="20">
        <f t="shared" si="24"/>
        <v>88.2</v>
      </c>
    </row>
    <row r="200" spans="2:10" hidden="1" outlineLevel="1">
      <c r="B200" s="14"/>
      <c r="C200" s="17" t="s">
        <v>101</v>
      </c>
      <c r="D200" s="18">
        <v>2.1</v>
      </c>
      <c r="E200" s="18" t="s">
        <v>0</v>
      </c>
      <c r="F200" s="18">
        <f>$F$196</f>
        <v>3.5</v>
      </c>
      <c r="G200" s="19">
        <f t="shared" si="22"/>
        <v>7.3500000000000005</v>
      </c>
      <c r="H200" s="20">
        <f t="shared" si="23"/>
        <v>2.1</v>
      </c>
      <c r="I200" s="18">
        <v>1</v>
      </c>
      <c r="J200" s="20">
        <f t="shared" si="24"/>
        <v>7.3500000000000005</v>
      </c>
    </row>
    <row r="201" spans="2:10" hidden="1" outlineLevel="1">
      <c r="B201" s="14"/>
      <c r="C201" s="17" t="s">
        <v>102</v>
      </c>
      <c r="D201" s="18">
        <v>19.100000000000001</v>
      </c>
      <c r="E201" s="18" t="s">
        <v>0</v>
      </c>
      <c r="F201" s="18">
        <f>$F$196</f>
        <v>3.5</v>
      </c>
      <c r="G201" s="19">
        <f t="shared" si="22"/>
        <v>66.850000000000009</v>
      </c>
      <c r="H201" s="20">
        <f t="shared" si="23"/>
        <v>19.100000000000001</v>
      </c>
      <c r="I201" s="18">
        <v>1</v>
      </c>
      <c r="J201" s="20">
        <f t="shared" si="24"/>
        <v>66.850000000000009</v>
      </c>
    </row>
    <row r="202" spans="2:10" hidden="1" outlineLevel="1">
      <c r="B202" s="14"/>
      <c r="C202" s="17" t="s">
        <v>106</v>
      </c>
      <c r="D202" s="18">
        <v>2.4</v>
      </c>
      <c r="E202" s="18" t="s">
        <v>0</v>
      </c>
      <c r="F202" s="18">
        <v>2.2000000000000002</v>
      </c>
      <c r="G202" s="19">
        <f>PRODUCT(D202,E202,F202)</f>
        <v>5.28</v>
      </c>
      <c r="H202" s="20">
        <f t="shared" si="23"/>
        <v>9.6</v>
      </c>
      <c r="I202" s="18">
        <v>4</v>
      </c>
      <c r="J202" s="20">
        <f t="shared" si="24"/>
        <v>21.12</v>
      </c>
    </row>
    <row r="203" spans="2:10" hidden="1" outlineLevel="1">
      <c r="B203" s="14"/>
      <c r="C203" s="17" t="s">
        <v>107</v>
      </c>
      <c r="D203" s="18">
        <v>2.5499999999999998</v>
      </c>
      <c r="E203" s="18" t="s">
        <v>0</v>
      </c>
      <c r="F203" s="18">
        <f>$F$202</f>
        <v>2.2000000000000002</v>
      </c>
      <c r="G203" s="19">
        <f t="shared" si="22"/>
        <v>5.61</v>
      </c>
      <c r="H203" s="20">
        <f t="shared" si="23"/>
        <v>5.0999999999999996</v>
      </c>
      <c r="I203" s="18">
        <v>2</v>
      </c>
      <c r="J203" s="20">
        <f t="shared" si="24"/>
        <v>11.22</v>
      </c>
    </row>
    <row r="204" spans="2:10" hidden="1" outlineLevel="1">
      <c r="B204" s="14"/>
      <c r="C204" s="17" t="s">
        <v>92</v>
      </c>
      <c r="D204" s="18">
        <v>15.65</v>
      </c>
      <c r="E204" s="18" t="s">
        <v>0</v>
      </c>
      <c r="F204" s="18">
        <f>$F$202</f>
        <v>2.2000000000000002</v>
      </c>
      <c r="G204" s="19">
        <f t="shared" si="22"/>
        <v>34.430000000000007</v>
      </c>
      <c r="H204" s="20">
        <f t="shared" si="23"/>
        <v>15.65</v>
      </c>
      <c r="I204" s="18">
        <v>1</v>
      </c>
      <c r="J204" s="20">
        <f t="shared" si="24"/>
        <v>34.430000000000007</v>
      </c>
    </row>
    <row r="205" spans="2:10" hidden="1" outlineLevel="1">
      <c r="B205" s="14"/>
      <c r="C205" s="17" t="s">
        <v>93</v>
      </c>
      <c r="D205" s="18">
        <v>10.9</v>
      </c>
      <c r="E205" s="18" t="s">
        <v>0</v>
      </c>
      <c r="F205" s="18">
        <f>$F$202</f>
        <v>2.2000000000000002</v>
      </c>
      <c r="G205" s="19">
        <f t="shared" si="22"/>
        <v>23.980000000000004</v>
      </c>
      <c r="H205" s="20">
        <f t="shared" si="23"/>
        <v>10.9</v>
      </c>
      <c r="I205" s="18">
        <v>1</v>
      </c>
      <c r="J205" s="20">
        <f t="shared" si="24"/>
        <v>23.980000000000004</v>
      </c>
    </row>
    <row r="206" spans="2:10" hidden="1" outlineLevel="1">
      <c r="B206" s="14"/>
      <c r="C206" s="17" t="s">
        <v>94</v>
      </c>
      <c r="D206" s="18">
        <v>21.95</v>
      </c>
      <c r="E206" s="18" t="s">
        <v>0</v>
      </c>
      <c r="F206" s="18">
        <f t="shared" ref="F206:F215" si="25">$F$196</f>
        <v>3.5</v>
      </c>
      <c r="G206" s="19">
        <f t="shared" ref="G206:G214" si="26">PRODUCT(D206,E206,F206)</f>
        <v>76.825000000000003</v>
      </c>
      <c r="H206" s="20">
        <f t="shared" si="23"/>
        <v>43.9</v>
      </c>
      <c r="I206" s="18">
        <v>2</v>
      </c>
      <c r="J206" s="20">
        <f t="shared" si="24"/>
        <v>153.65</v>
      </c>
    </row>
    <row r="207" spans="2:10" hidden="1" outlineLevel="1">
      <c r="B207" s="14"/>
      <c r="C207" s="17" t="s">
        <v>95</v>
      </c>
      <c r="D207" s="18">
        <v>2.4500000000000002</v>
      </c>
      <c r="E207" s="18" t="s">
        <v>0</v>
      </c>
      <c r="F207" s="18">
        <f t="shared" si="25"/>
        <v>3.5</v>
      </c>
      <c r="G207" s="19">
        <f>PRODUCT(D207,E207,F207)</f>
        <v>8.5750000000000011</v>
      </c>
      <c r="H207" s="20">
        <f t="shared" si="23"/>
        <v>4.9000000000000004</v>
      </c>
      <c r="I207" s="18">
        <v>2</v>
      </c>
      <c r="J207" s="20">
        <f t="shared" si="24"/>
        <v>17.150000000000002</v>
      </c>
    </row>
    <row r="208" spans="2:10" hidden="1" outlineLevel="1">
      <c r="B208" s="14"/>
      <c r="C208" s="17" t="s">
        <v>108</v>
      </c>
      <c r="D208" s="18">
        <v>2.5499999999999998</v>
      </c>
      <c r="E208" s="18" t="s">
        <v>0</v>
      </c>
      <c r="F208" s="18">
        <f t="shared" si="25"/>
        <v>3.5</v>
      </c>
      <c r="G208" s="19">
        <f t="shared" si="26"/>
        <v>8.9249999999999989</v>
      </c>
      <c r="H208" s="20">
        <f t="shared" si="23"/>
        <v>5.0999999999999996</v>
      </c>
      <c r="I208" s="18">
        <v>2</v>
      </c>
      <c r="J208" s="20">
        <f t="shared" si="24"/>
        <v>17.849999999999998</v>
      </c>
    </row>
    <row r="209" spans="2:10" hidden="1" outlineLevel="1">
      <c r="B209" s="14"/>
      <c r="C209" s="17" t="s">
        <v>109</v>
      </c>
      <c r="D209" s="18">
        <v>2.1</v>
      </c>
      <c r="E209" s="18" t="s">
        <v>0</v>
      </c>
      <c r="F209" s="18">
        <f t="shared" si="25"/>
        <v>3.5</v>
      </c>
      <c r="G209" s="19">
        <f t="shared" si="26"/>
        <v>7.3500000000000005</v>
      </c>
      <c r="H209" s="20">
        <f t="shared" si="23"/>
        <v>2.1</v>
      </c>
      <c r="I209" s="18">
        <v>1</v>
      </c>
      <c r="J209" s="20">
        <f t="shared" si="24"/>
        <v>7.3500000000000005</v>
      </c>
    </row>
    <row r="210" spans="2:10" hidden="1" outlineLevel="1">
      <c r="B210" s="14"/>
      <c r="C210" s="17" t="s">
        <v>110</v>
      </c>
      <c r="D210" s="18">
        <v>12.55</v>
      </c>
      <c r="E210" s="18" t="s">
        <v>0</v>
      </c>
      <c r="F210" s="18">
        <f t="shared" si="25"/>
        <v>3.5</v>
      </c>
      <c r="G210" s="19">
        <f>PRODUCT(D210,E210,F210)</f>
        <v>43.925000000000004</v>
      </c>
      <c r="H210" s="20">
        <f t="shared" si="23"/>
        <v>12.55</v>
      </c>
      <c r="I210" s="18">
        <v>1</v>
      </c>
      <c r="J210" s="20">
        <f t="shared" si="24"/>
        <v>43.925000000000004</v>
      </c>
    </row>
    <row r="211" spans="2:10" hidden="1" outlineLevel="1">
      <c r="B211" s="14"/>
      <c r="C211" s="17" t="s">
        <v>111</v>
      </c>
      <c r="D211" s="18">
        <v>2.2000000000000002</v>
      </c>
      <c r="E211" s="18" t="s">
        <v>0</v>
      </c>
      <c r="F211" s="18">
        <f t="shared" si="25"/>
        <v>3.5</v>
      </c>
      <c r="G211" s="19">
        <f t="shared" si="26"/>
        <v>7.7000000000000011</v>
      </c>
      <c r="H211" s="20">
        <f t="shared" si="23"/>
        <v>2.2000000000000002</v>
      </c>
      <c r="I211" s="18">
        <v>1</v>
      </c>
      <c r="J211" s="20">
        <f t="shared" si="24"/>
        <v>7.7000000000000011</v>
      </c>
    </row>
    <row r="212" spans="2:10" hidden="1" outlineLevel="1">
      <c r="B212" s="14"/>
      <c r="C212" s="17" t="s">
        <v>112</v>
      </c>
      <c r="D212" s="18">
        <v>15.05</v>
      </c>
      <c r="E212" s="18" t="s">
        <v>0</v>
      </c>
      <c r="F212" s="18">
        <f t="shared" si="25"/>
        <v>3.5</v>
      </c>
      <c r="G212" s="19">
        <f>PRODUCT(D212,E212,F212)</f>
        <v>52.675000000000004</v>
      </c>
      <c r="H212" s="20">
        <f t="shared" si="23"/>
        <v>15.05</v>
      </c>
      <c r="I212" s="18">
        <v>1</v>
      </c>
      <c r="J212" s="20">
        <f t="shared" si="24"/>
        <v>52.675000000000004</v>
      </c>
    </row>
    <row r="213" spans="2:10" hidden="1" outlineLevel="1">
      <c r="B213" s="14"/>
      <c r="C213" s="17" t="s">
        <v>113</v>
      </c>
      <c r="D213" s="18">
        <v>3.75</v>
      </c>
      <c r="E213" s="18" t="s">
        <v>0</v>
      </c>
      <c r="F213" s="18">
        <f t="shared" si="25"/>
        <v>3.5</v>
      </c>
      <c r="G213" s="19">
        <f t="shared" si="26"/>
        <v>13.125</v>
      </c>
      <c r="H213" s="20">
        <f t="shared" si="23"/>
        <v>3.75</v>
      </c>
      <c r="I213" s="18">
        <v>1</v>
      </c>
      <c r="J213" s="20">
        <f t="shared" si="24"/>
        <v>13.125</v>
      </c>
    </row>
    <row r="214" spans="2:10" hidden="1" outlineLevel="1">
      <c r="B214" s="14"/>
      <c r="C214" s="17" t="s">
        <v>114</v>
      </c>
      <c r="D214" s="18">
        <v>10.1</v>
      </c>
      <c r="E214" s="18" t="s">
        <v>0</v>
      </c>
      <c r="F214" s="18">
        <f t="shared" si="25"/>
        <v>3.5</v>
      </c>
      <c r="G214" s="19">
        <f t="shared" si="26"/>
        <v>35.35</v>
      </c>
      <c r="H214" s="20">
        <f t="shared" si="23"/>
        <v>30.299999999999997</v>
      </c>
      <c r="I214" s="18">
        <v>3</v>
      </c>
      <c r="J214" s="20">
        <f t="shared" si="24"/>
        <v>106.05000000000001</v>
      </c>
    </row>
    <row r="215" spans="2:10" hidden="1" outlineLevel="1">
      <c r="B215" s="14"/>
      <c r="C215" s="17" t="s">
        <v>115</v>
      </c>
      <c r="D215" s="18">
        <v>9.4</v>
      </c>
      <c r="E215" s="18" t="s">
        <v>0</v>
      </c>
      <c r="F215" s="18">
        <f t="shared" si="25"/>
        <v>3.5</v>
      </c>
      <c r="G215" s="19">
        <f t="shared" si="22"/>
        <v>32.9</v>
      </c>
      <c r="H215" s="20">
        <f t="shared" si="23"/>
        <v>9.4</v>
      </c>
      <c r="I215" s="18">
        <v>1</v>
      </c>
      <c r="J215" s="20">
        <f t="shared" si="24"/>
        <v>32.9</v>
      </c>
    </row>
    <row r="216" spans="2:10" hidden="1" outlineLevel="1">
      <c r="B216" s="14"/>
      <c r="C216" s="17" t="s">
        <v>96</v>
      </c>
      <c r="D216" s="18">
        <v>12.8</v>
      </c>
      <c r="E216" s="18" t="s">
        <v>0</v>
      </c>
      <c r="F216" s="18">
        <v>1.45</v>
      </c>
      <c r="G216" s="19">
        <f>PRODUCT(D216,E216,F216)</f>
        <v>18.559999999999999</v>
      </c>
      <c r="H216" s="20">
        <f t="shared" si="23"/>
        <v>25.6</v>
      </c>
      <c r="I216" s="18">
        <v>2</v>
      </c>
      <c r="J216" s="20">
        <f t="shared" si="24"/>
        <v>37.119999999999997</v>
      </c>
    </row>
    <row r="217" spans="2:10" hidden="1" outlineLevel="1">
      <c r="B217" s="14"/>
      <c r="C217" s="17" t="s">
        <v>116</v>
      </c>
      <c r="D217" s="18">
        <v>8.3000000000000007</v>
      </c>
      <c r="E217" s="18" t="s">
        <v>0</v>
      </c>
      <c r="F217" s="18">
        <f>$F$216</f>
        <v>1.45</v>
      </c>
      <c r="G217" s="19">
        <f t="shared" si="22"/>
        <v>12.035</v>
      </c>
      <c r="H217" s="20">
        <f t="shared" si="23"/>
        <v>16.600000000000001</v>
      </c>
      <c r="I217" s="18">
        <v>2</v>
      </c>
      <c r="J217" s="20">
        <f t="shared" si="24"/>
        <v>24.07</v>
      </c>
    </row>
    <row r="218" spans="2:10" hidden="1" outlineLevel="1">
      <c r="B218" s="14"/>
      <c r="C218" s="17" t="s">
        <v>97</v>
      </c>
      <c r="D218" s="18">
        <v>23.95</v>
      </c>
      <c r="E218" s="18" t="s">
        <v>0</v>
      </c>
      <c r="F218" s="18">
        <f>$F$216</f>
        <v>1.45</v>
      </c>
      <c r="G218" s="19">
        <f>PRODUCT(D218,E218,F218)</f>
        <v>34.727499999999999</v>
      </c>
      <c r="H218" s="20">
        <f t="shared" si="23"/>
        <v>47.9</v>
      </c>
      <c r="I218" s="18">
        <v>2</v>
      </c>
      <c r="J218" s="20">
        <f t="shared" si="24"/>
        <v>69.454999999999998</v>
      </c>
    </row>
    <row r="219" spans="2:10" hidden="1" outlineLevel="1">
      <c r="B219" s="14"/>
      <c r="C219" s="17" t="s">
        <v>117</v>
      </c>
      <c r="D219" s="18">
        <v>11.4</v>
      </c>
      <c r="E219" s="18" t="s">
        <v>0</v>
      </c>
      <c r="F219" s="18">
        <f>$F$216</f>
        <v>1.45</v>
      </c>
      <c r="G219" s="19">
        <f t="shared" si="22"/>
        <v>16.53</v>
      </c>
      <c r="H219" s="20">
        <f t="shared" si="23"/>
        <v>11.4</v>
      </c>
      <c r="I219" s="18">
        <v>1</v>
      </c>
      <c r="J219" s="20">
        <f t="shared" si="24"/>
        <v>16.53</v>
      </c>
    </row>
    <row r="220" spans="2:10" collapsed="1"/>
    <row r="221" spans="2:10">
      <c r="B221" s="14" t="s">
        <v>118</v>
      </c>
      <c r="C221" s="1004" t="s">
        <v>119</v>
      </c>
      <c r="D221" s="1004" t="s">
        <v>0</v>
      </c>
      <c r="E221" s="1004" t="s">
        <v>0</v>
      </c>
      <c r="F221" s="1004" t="s">
        <v>0</v>
      </c>
      <c r="G221" s="1004" t="s">
        <v>0</v>
      </c>
      <c r="H221" s="1004" t="s">
        <v>0</v>
      </c>
      <c r="I221" s="1004" t="s">
        <v>0</v>
      </c>
      <c r="J221" s="15">
        <f>SUM(J223:J251)</f>
        <v>929.73749999999995</v>
      </c>
    </row>
    <row r="222" spans="2:10">
      <c r="B222" s="528"/>
      <c r="C222" s="531" t="s">
        <v>77</v>
      </c>
      <c r="D222" s="532"/>
      <c r="E222" s="532"/>
      <c r="F222" s="532"/>
      <c r="G222" s="532"/>
      <c r="H222" s="532"/>
      <c r="I222" s="532"/>
      <c r="J222" s="529"/>
    </row>
    <row r="223" spans="2:10" hidden="1" outlineLevel="1">
      <c r="B223" s="14"/>
      <c r="C223" s="17" t="s">
        <v>89</v>
      </c>
      <c r="D223" s="18">
        <v>26.4</v>
      </c>
      <c r="E223" s="18" t="s">
        <v>0</v>
      </c>
      <c r="F223" s="18">
        <v>3.5</v>
      </c>
      <c r="G223" s="19">
        <f t="shared" ref="G223:G251" si="27">PRODUCT(D223,E223,F223)</f>
        <v>92.399999999999991</v>
      </c>
      <c r="H223" s="20">
        <f t="shared" ref="H223:H251" si="28">D223*I223</f>
        <v>26.4</v>
      </c>
      <c r="I223" s="18">
        <v>1</v>
      </c>
      <c r="J223" s="20">
        <f t="shared" ref="J223:J251" si="29">IF(G223&gt;0,G223*I223,H223*I223)</f>
        <v>92.399999999999991</v>
      </c>
    </row>
    <row r="224" spans="2:10" hidden="1" outlineLevel="1">
      <c r="B224" s="14"/>
      <c r="C224" s="17" t="s">
        <v>90</v>
      </c>
      <c r="D224" s="18">
        <v>7.9</v>
      </c>
      <c r="E224" s="18" t="s">
        <v>0</v>
      </c>
      <c r="F224" s="18">
        <f>$F$223</f>
        <v>3.5</v>
      </c>
      <c r="G224" s="19">
        <f t="shared" si="27"/>
        <v>27.650000000000002</v>
      </c>
      <c r="H224" s="20">
        <f t="shared" si="28"/>
        <v>7.9</v>
      </c>
      <c r="I224" s="18">
        <v>1</v>
      </c>
      <c r="J224" s="20">
        <f t="shared" si="29"/>
        <v>27.650000000000002</v>
      </c>
    </row>
    <row r="225" spans="2:10" hidden="1" outlineLevel="1">
      <c r="B225" s="14"/>
      <c r="C225" s="17" t="s">
        <v>91</v>
      </c>
      <c r="D225" s="18">
        <v>5.3</v>
      </c>
      <c r="E225" s="18" t="s">
        <v>0</v>
      </c>
      <c r="F225" s="18">
        <f t="shared" ref="F225:F243" si="30">$F$223</f>
        <v>3.5</v>
      </c>
      <c r="G225" s="19">
        <f t="shared" si="27"/>
        <v>18.55</v>
      </c>
      <c r="H225" s="20">
        <f t="shared" si="28"/>
        <v>15.899999999999999</v>
      </c>
      <c r="I225" s="18">
        <v>3</v>
      </c>
      <c r="J225" s="20">
        <f t="shared" si="29"/>
        <v>55.650000000000006</v>
      </c>
    </row>
    <row r="226" spans="2:10" hidden="1" outlineLevel="1">
      <c r="B226" s="14"/>
      <c r="C226" s="17" t="s">
        <v>100</v>
      </c>
      <c r="D226" s="18">
        <v>4.3</v>
      </c>
      <c r="E226" s="18" t="s">
        <v>0</v>
      </c>
      <c r="F226" s="18">
        <f t="shared" si="30"/>
        <v>3.5</v>
      </c>
      <c r="G226" s="19">
        <f t="shared" si="27"/>
        <v>15.049999999999999</v>
      </c>
      <c r="H226" s="20">
        <f t="shared" si="28"/>
        <v>21.5</v>
      </c>
      <c r="I226" s="18">
        <v>5</v>
      </c>
      <c r="J226" s="20">
        <f t="shared" si="29"/>
        <v>75.25</v>
      </c>
    </row>
    <row r="227" spans="2:10" hidden="1" outlineLevel="1">
      <c r="B227" s="14"/>
      <c r="C227" s="17" t="s">
        <v>101</v>
      </c>
      <c r="D227" s="18">
        <v>1.95</v>
      </c>
      <c r="E227" s="18" t="s">
        <v>0</v>
      </c>
      <c r="F227" s="18">
        <f t="shared" si="30"/>
        <v>3.5</v>
      </c>
      <c r="G227" s="19">
        <f t="shared" si="27"/>
        <v>6.8250000000000002</v>
      </c>
      <c r="H227" s="20">
        <f t="shared" si="28"/>
        <v>1.95</v>
      </c>
      <c r="I227" s="18">
        <v>1</v>
      </c>
      <c r="J227" s="20">
        <f t="shared" si="29"/>
        <v>6.8250000000000002</v>
      </c>
    </row>
    <row r="228" spans="2:10" hidden="1" outlineLevel="1">
      <c r="B228" s="14"/>
      <c r="C228" s="17" t="s">
        <v>102</v>
      </c>
      <c r="D228" s="18">
        <v>5.7</v>
      </c>
      <c r="E228" s="18" t="s">
        <v>0</v>
      </c>
      <c r="F228" s="18">
        <f t="shared" si="30"/>
        <v>3.5</v>
      </c>
      <c r="G228" s="19">
        <f t="shared" si="27"/>
        <v>19.95</v>
      </c>
      <c r="H228" s="20">
        <f t="shared" si="28"/>
        <v>5.7</v>
      </c>
      <c r="I228" s="18">
        <v>1</v>
      </c>
      <c r="J228" s="20">
        <f t="shared" si="29"/>
        <v>19.95</v>
      </c>
    </row>
    <row r="229" spans="2:10" hidden="1" outlineLevel="1">
      <c r="B229" s="14"/>
      <c r="C229" s="17" t="s">
        <v>106</v>
      </c>
      <c r="D229" s="18">
        <v>2.15</v>
      </c>
      <c r="E229" s="18" t="s">
        <v>0</v>
      </c>
      <c r="F229" s="18">
        <f t="shared" si="30"/>
        <v>3.5</v>
      </c>
      <c r="G229" s="19">
        <f t="shared" si="27"/>
        <v>7.5249999999999995</v>
      </c>
      <c r="H229" s="20">
        <f t="shared" si="28"/>
        <v>4.3</v>
      </c>
      <c r="I229" s="18">
        <v>2</v>
      </c>
      <c r="J229" s="20">
        <f t="shared" si="29"/>
        <v>15.049999999999999</v>
      </c>
    </row>
    <row r="230" spans="2:10" hidden="1" outlineLevel="1">
      <c r="B230" s="14"/>
      <c r="C230" s="17" t="s">
        <v>107</v>
      </c>
      <c r="D230" s="18">
        <v>4.1500000000000004</v>
      </c>
      <c r="E230" s="18" t="s">
        <v>0</v>
      </c>
      <c r="F230" s="18">
        <f t="shared" si="30"/>
        <v>3.5</v>
      </c>
      <c r="G230" s="19">
        <f t="shared" si="27"/>
        <v>14.525000000000002</v>
      </c>
      <c r="H230" s="20">
        <f t="shared" si="28"/>
        <v>4.1500000000000004</v>
      </c>
      <c r="I230" s="18">
        <v>1</v>
      </c>
      <c r="J230" s="20">
        <f t="shared" si="29"/>
        <v>14.525000000000002</v>
      </c>
    </row>
    <row r="231" spans="2:10" hidden="1" outlineLevel="1">
      <c r="B231" s="14"/>
      <c r="C231" s="17" t="s">
        <v>120</v>
      </c>
      <c r="D231" s="18">
        <v>14.75</v>
      </c>
      <c r="E231" s="18" t="s">
        <v>0</v>
      </c>
      <c r="F231" s="18">
        <f t="shared" si="30"/>
        <v>3.5</v>
      </c>
      <c r="G231" s="19">
        <f>PRODUCT(D231,E231,F231)</f>
        <v>51.625</v>
      </c>
      <c r="H231" s="20">
        <f t="shared" si="28"/>
        <v>14.75</v>
      </c>
      <c r="I231" s="18">
        <v>1</v>
      </c>
      <c r="J231" s="20">
        <f t="shared" si="29"/>
        <v>51.625</v>
      </c>
    </row>
    <row r="232" spans="2:10" hidden="1" outlineLevel="1">
      <c r="B232" s="14"/>
      <c r="C232" s="17" t="s">
        <v>121</v>
      </c>
      <c r="D232" s="18">
        <v>5.9</v>
      </c>
      <c r="E232" s="18" t="s">
        <v>0</v>
      </c>
      <c r="F232" s="18">
        <f t="shared" si="30"/>
        <v>3.5</v>
      </c>
      <c r="G232" s="19">
        <f t="shared" si="27"/>
        <v>20.650000000000002</v>
      </c>
      <c r="H232" s="20">
        <f t="shared" si="28"/>
        <v>5.9</v>
      </c>
      <c r="I232" s="18">
        <v>1</v>
      </c>
      <c r="J232" s="20">
        <f t="shared" si="29"/>
        <v>20.650000000000002</v>
      </c>
    </row>
    <row r="233" spans="2:10" hidden="1" outlineLevel="1">
      <c r="B233" s="14"/>
      <c r="C233" s="17" t="s">
        <v>92</v>
      </c>
      <c r="D233" s="18">
        <v>9.4</v>
      </c>
      <c r="E233" s="18" t="s">
        <v>0</v>
      </c>
      <c r="F233" s="18">
        <f t="shared" si="30"/>
        <v>3.5</v>
      </c>
      <c r="G233" s="19">
        <f t="shared" si="27"/>
        <v>32.9</v>
      </c>
      <c r="H233" s="20">
        <f t="shared" si="28"/>
        <v>9.4</v>
      </c>
      <c r="I233" s="18">
        <v>1</v>
      </c>
      <c r="J233" s="20">
        <f t="shared" si="29"/>
        <v>32.9</v>
      </c>
    </row>
    <row r="234" spans="2:10" hidden="1" outlineLevel="1">
      <c r="B234" s="14"/>
      <c r="C234" s="17" t="s">
        <v>93</v>
      </c>
      <c r="D234" s="18">
        <v>2.5499999999999998</v>
      </c>
      <c r="E234" s="18" t="s">
        <v>0</v>
      </c>
      <c r="F234" s="18">
        <f t="shared" si="30"/>
        <v>3.5</v>
      </c>
      <c r="G234" s="19">
        <f t="shared" si="27"/>
        <v>8.9249999999999989</v>
      </c>
      <c r="H234" s="20">
        <f t="shared" si="28"/>
        <v>2.5499999999999998</v>
      </c>
      <c r="I234" s="18">
        <v>1</v>
      </c>
      <c r="J234" s="20">
        <f t="shared" si="29"/>
        <v>8.9249999999999989</v>
      </c>
    </row>
    <row r="235" spans="2:10" hidden="1" outlineLevel="1">
      <c r="B235" s="14"/>
      <c r="C235" s="17" t="s">
        <v>94</v>
      </c>
      <c r="D235" s="18">
        <v>17.399999999999999</v>
      </c>
      <c r="E235" s="18" t="s">
        <v>0</v>
      </c>
      <c r="F235" s="18">
        <f t="shared" si="30"/>
        <v>3.5</v>
      </c>
      <c r="G235" s="19">
        <f t="shared" si="27"/>
        <v>60.899999999999991</v>
      </c>
      <c r="H235" s="20">
        <f t="shared" si="28"/>
        <v>17.399999999999999</v>
      </c>
      <c r="I235" s="18">
        <v>1</v>
      </c>
      <c r="J235" s="20">
        <f t="shared" si="29"/>
        <v>60.899999999999991</v>
      </c>
    </row>
    <row r="236" spans="2:10" hidden="1" outlineLevel="1">
      <c r="B236" s="14"/>
      <c r="C236" s="17" t="s">
        <v>95</v>
      </c>
      <c r="D236" s="18">
        <v>2.4</v>
      </c>
      <c r="E236" s="18" t="s">
        <v>0</v>
      </c>
      <c r="F236" s="18">
        <f t="shared" si="30"/>
        <v>3.5</v>
      </c>
      <c r="G236" s="19">
        <f t="shared" si="27"/>
        <v>8.4</v>
      </c>
      <c r="H236" s="20">
        <f t="shared" si="28"/>
        <v>2.4</v>
      </c>
      <c r="I236" s="18">
        <v>1</v>
      </c>
      <c r="J236" s="20">
        <f t="shared" si="29"/>
        <v>8.4</v>
      </c>
    </row>
    <row r="237" spans="2:10" hidden="1" outlineLevel="1">
      <c r="B237" s="14"/>
      <c r="C237" s="17" t="s">
        <v>108</v>
      </c>
      <c r="D237" s="18">
        <v>3.65</v>
      </c>
      <c r="E237" s="18" t="s">
        <v>0</v>
      </c>
      <c r="F237" s="18">
        <f t="shared" si="30"/>
        <v>3.5</v>
      </c>
      <c r="G237" s="19">
        <f t="shared" si="27"/>
        <v>12.775</v>
      </c>
      <c r="H237" s="20">
        <f t="shared" si="28"/>
        <v>3.65</v>
      </c>
      <c r="I237" s="18">
        <v>1</v>
      </c>
      <c r="J237" s="20">
        <f t="shared" si="29"/>
        <v>12.775</v>
      </c>
    </row>
    <row r="238" spans="2:10" hidden="1" outlineLevel="1">
      <c r="B238" s="14"/>
      <c r="C238" s="17" t="s">
        <v>109</v>
      </c>
      <c r="D238" s="18">
        <v>1.9</v>
      </c>
      <c r="E238" s="18" t="s">
        <v>0</v>
      </c>
      <c r="F238" s="18">
        <f t="shared" si="30"/>
        <v>3.5</v>
      </c>
      <c r="G238" s="19">
        <f t="shared" si="27"/>
        <v>6.6499999999999995</v>
      </c>
      <c r="H238" s="20">
        <f t="shared" si="28"/>
        <v>1.9</v>
      </c>
      <c r="I238" s="18">
        <v>1</v>
      </c>
      <c r="J238" s="20">
        <f t="shared" si="29"/>
        <v>6.6499999999999995</v>
      </c>
    </row>
    <row r="239" spans="2:10" hidden="1" outlineLevel="1">
      <c r="B239" s="14"/>
      <c r="C239" s="17" t="s">
        <v>110</v>
      </c>
      <c r="D239" s="18">
        <v>13.15</v>
      </c>
      <c r="E239" s="18" t="s">
        <v>0</v>
      </c>
      <c r="F239" s="18">
        <f t="shared" si="30"/>
        <v>3.5</v>
      </c>
      <c r="G239" s="19">
        <f t="shared" si="27"/>
        <v>46.024999999999999</v>
      </c>
      <c r="H239" s="20">
        <f t="shared" si="28"/>
        <v>13.15</v>
      </c>
      <c r="I239" s="18">
        <v>1</v>
      </c>
      <c r="J239" s="20">
        <f t="shared" si="29"/>
        <v>46.024999999999999</v>
      </c>
    </row>
    <row r="240" spans="2:10" hidden="1" outlineLevel="1">
      <c r="B240" s="14"/>
      <c r="C240" s="17" t="s">
        <v>111</v>
      </c>
      <c r="D240" s="18">
        <v>21.95</v>
      </c>
      <c r="E240" s="18" t="s">
        <v>0</v>
      </c>
      <c r="F240" s="18">
        <f t="shared" si="30"/>
        <v>3.5</v>
      </c>
      <c r="G240" s="19">
        <f t="shared" si="27"/>
        <v>76.825000000000003</v>
      </c>
      <c r="H240" s="20">
        <f t="shared" si="28"/>
        <v>21.95</v>
      </c>
      <c r="I240" s="18">
        <v>1</v>
      </c>
      <c r="J240" s="20">
        <f t="shared" si="29"/>
        <v>76.825000000000003</v>
      </c>
    </row>
    <row r="241" spans="1:10" hidden="1" outlineLevel="1">
      <c r="B241" s="14"/>
      <c r="C241" s="17" t="s">
        <v>112</v>
      </c>
      <c r="D241" s="18">
        <v>8.4499999999999993</v>
      </c>
      <c r="E241" s="18" t="s">
        <v>0</v>
      </c>
      <c r="F241" s="18">
        <f t="shared" si="30"/>
        <v>3.5</v>
      </c>
      <c r="G241" s="19">
        <f t="shared" si="27"/>
        <v>29.574999999999996</v>
      </c>
      <c r="H241" s="20">
        <f t="shared" si="28"/>
        <v>16.899999999999999</v>
      </c>
      <c r="I241" s="18">
        <v>2</v>
      </c>
      <c r="J241" s="20">
        <f t="shared" si="29"/>
        <v>59.149999999999991</v>
      </c>
    </row>
    <row r="242" spans="1:10" hidden="1" outlineLevel="1">
      <c r="B242" s="14"/>
      <c r="C242" s="17" t="s">
        <v>113</v>
      </c>
      <c r="D242" s="18">
        <v>2.4500000000000002</v>
      </c>
      <c r="E242" s="18" t="s">
        <v>0</v>
      </c>
      <c r="F242" s="18">
        <f t="shared" si="30"/>
        <v>3.5</v>
      </c>
      <c r="G242" s="19">
        <f t="shared" si="27"/>
        <v>8.5750000000000011</v>
      </c>
      <c r="H242" s="20">
        <f t="shared" si="28"/>
        <v>2.4500000000000002</v>
      </c>
      <c r="I242" s="18">
        <v>1</v>
      </c>
      <c r="J242" s="20">
        <f t="shared" si="29"/>
        <v>8.5750000000000011</v>
      </c>
    </row>
    <row r="243" spans="1:10" hidden="1" outlineLevel="1">
      <c r="B243" s="14"/>
      <c r="C243" s="17" t="s">
        <v>114</v>
      </c>
      <c r="D243" s="18">
        <v>15</v>
      </c>
      <c r="E243" s="18" t="s">
        <v>0</v>
      </c>
      <c r="F243" s="18">
        <f t="shared" si="30"/>
        <v>3.5</v>
      </c>
      <c r="G243" s="19">
        <f t="shared" si="27"/>
        <v>52.5</v>
      </c>
      <c r="H243" s="20">
        <f t="shared" si="28"/>
        <v>15</v>
      </c>
      <c r="I243" s="18">
        <v>1</v>
      </c>
      <c r="J243" s="20">
        <f t="shared" si="29"/>
        <v>52.5</v>
      </c>
    </row>
    <row r="244" spans="1:10" hidden="1" outlineLevel="1">
      <c r="B244" s="14"/>
      <c r="C244" s="17" t="s">
        <v>96</v>
      </c>
      <c r="D244" s="18">
        <v>28.4</v>
      </c>
      <c r="E244" s="18" t="s">
        <v>0</v>
      </c>
      <c r="F244" s="18">
        <v>1.45</v>
      </c>
      <c r="G244" s="19">
        <f t="shared" si="27"/>
        <v>41.18</v>
      </c>
      <c r="H244" s="20">
        <f t="shared" si="28"/>
        <v>28.4</v>
      </c>
      <c r="I244" s="18">
        <v>1</v>
      </c>
      <c r="J244" s="20">
        <f t="shared" si="29"/>
        <v>41.18</v>
      </c>
    </row>
    <row r="245" spans="1:10" hidden="1" outlineLevel="1">
      <c r="A245" s="25" t="s">
        <v>122</v>
      </c>
      <c r="B245" s="14"/>
      <c r="C245" s="17" t="s">
        <v>116</v>
      </c>
      <c r="D245" s="18">
        <v>5.7</v>
      </c>
      <c r="E245" s="18" t="s">
        <v>0</v>
      </c>
      <c r="F245" s="18">
        <f t="shared" ref="F245:F251" si="31">$F$216</f>
        <v>1.45</v>
      </c>
      <c r="G245" s="19">
        <f t="shared" si="27"/>
        <v>8.2650000000000006</v>
      </c>
      <c r="H245" s="20">
        <f t="shared" si="28"/>
        <v>5.7</v>
      </c>
      <c r="I245" s="18">
        <v>1</v>
      </c>
      <c r="J245" s="20">
        <f t="shared" si="29"/>
        <v>8.2650000000000006</v>
      </c>
    </row>
    <row r="246" spans="1:10" hidden="1" outlineLevel="1">
      <c r="B246" s="14"/>
      <c r="C246" s="17" t="s">
        <v>123</v>
      </c>
      <c r="D246" s="18">
        <v>14.75</v>
      </c>
      <c r="E246" s="18" t="s">
        <v>0</v>
      </c>
      <c r="F246" s="18">
        <f t="shared" si="31"/>
        <v>1.45</v>
      </c>
      <c r="G246" s="19">
        <f>PRODUCT(D246,E246,F246)</f>
        <v>21.387499999999999</v>
      </c>
      <c r="H246" s="20">
        <f t="shared" si="28"/>
        <v>14.75</v>
      </c>
      <c r="I246" s="18">
        <v>1</v>
      </c>
      <c r="J246" s="20">
        <f t="shared" si="29"/>
        <v>21.387499999999999</v>
      </c>
    </row>
    <row r="247" spans="1:10" hidden="1" outlineLevel="1">
      <c r="B247" s="14"/>
      <c r="C247" s="17" t="s">
        <v>124</v>
      </c>
      <c r="D247" s="18">
        <v>7.95</v>
      </c>
      <c r="E247" s="18" t="s">
        <v>0</v>
      </c>
      <c r="F247" s="18">
        <f t="shared" si="31"/>
        <v>1.45</v>
      </c>
      <c r="G247" s="19">
        <f t="shared" si="27"/>
        <v>11.5275</v>
      </c>
      <c r="H247" s="20">
        <f t="shared" si="28"/>
        <v>7.95</v>
      </c>
      <c r="I247" s="18">
        <v>1</v>
      </c>
      <c r="J247" s="20">
        <f t="shared" si="29"/>
        <v>11.5275</v>
      </c>
    </row>
    <row r="248" spans="1:10" hidden="1" outlineLevel="1">
      <c r="B248" s="14"/>
      <c r="C248" s="17" t="s">
        <v>97</v>
      </c>
      <c r="D248" s="18">
        <v>11.8</v>
      </c>
      <c r="E248" s="18" t="s">
        <v>0</v>
      </c>
      <c r="F248" s="18">
        <f t="shared" si="31"/>
        <v>1.45</v>
      </c>
      <c r="G248" s="19">
        <f t="shared" si="27"/>
        <v>17.11</v>
      </c>
      <c r="H248" s="20">
        <f t="shared" si="28"/>
        <v>11.8</v>
      </c>
      <c r="I248" s="18">
        <v>1</v>
      </c>
      <c r="J248" s="20">
        <f t="shared" si="29"/>
        <v>17.11</v>
      </c>
    </row>
    <row r="249" spans="1:10" hidden="1" outlineLevel="1">
      <c r="B249" s="14"/>
      <c r="C249" s="17" t="s">
        <v>117</v>
      </c>
      <c r="D249" s="18">
        <v>12.25</v>
      </c>
      <c r="E249" s="18" t="s">
        <v>0</v>
      </c>
      <c r="F249" s="18">
        <f t="shared" si="31"/>
        <v>1.45</v>
      </c>
      <c r="G249" s="19">
        <f t="shared" si="27"/>
        <v>17.762499999999999</v>
      </c>
      <c r="H249" s="20">
        <f t="shared" si="28"/>
        <v>12.25</v>
      </c>
      <c r="I249" s="18">
        <v>1</v>
      </c>
      <c r="J249" s="20">
        <f t="shared" si="29"/>
        <v>17.762499999999999</v>
      </c>
    </row>
    <row r="250" spans="1:10" hidden="1" outlineLevel="1">
      <c r="B250" s="14"/>
      <c r="C250" s="17" t="s">
        <v>125</v>
      </c>
      <c r="D250" s="18">
        <v>23.9</v>
      </c>
      <c r="E250" s="18" t="s">
        <v>0</v>
      </c>
      <c r="F250" s="18">
        <f t="shared" si="31"/>
        <v>1.45</v>
      </c>
      <c r="G250" s="19">
        <f>PRODUCT(D250,E250,F250)</f>
        <v>34.654999999999994</v>
      </c>
      <c r="H250" s="20">
        <f t="shared" si="28"/>
        <v>23.9</v>
      </c>
      <c r="I250" s="18">
        <v>1</v>
      </c>
      <c r="J250" s="20">
        <f t="shared" si="29"/>
        <v>34.654999999999994</v>
      </c>
    </row>
    <row r="251" spans="1:10" hidden="1" outlineLevel="1">
      <c r="B251" s="14"/>
      <c r="C251" s="17" t="s">
        <v>126</v>
      </c>
      <c r="D251" s="18">
        <v>17</v>
      </c>
      <c r="E251" s="18" t="s">
        <v>0</v>
      </c>
      <c r="F251" s="18">
        <f t="shared" si="31"/>
        <v>1.45</v>
      </c>
      <c r="G251" s="19">
        <f t="shared" si="27"/>
        <v>24.65</v>
      </c>
      <c r="H251" s="20">
        <f t="shared" si="28"/>
        <v>17</v>
      </c>
      <c r="I251" s="18">
        <v>1</v>
      </c>
      <c r="J251" s="20">
        <f t="shared" si="29"/>
        <v>24.65</v>
      </c>
    </row>
    <row r="252" spans="1:10" collapsed="1"/>
    <row r="253" spans="1:10">
      <c r="B253" s="14" t="s">
        <v>127</v>
      </c>
      <c r="C253" s="1004" t="s">
        <v>128</v>
      </c>
      <c r="D253" s="1004" t="s">
        <v>0</v>
      </c>
      <c r="E253" s="1004" t="s">
        <v>0</v>
      </c>
      <c r="F253" s="1004" t="s">
        <v>0</v>
      </c>
      <c r="G253" s="1004" t="s">
        <v>0</v>
      </c>
      <c r="H253" s="1004" t="s">
        <v>0</v>
      </c>
      <c r="I253" s="1004" t="s">
        <v>0</v>
      </c>
      <c r="J253" s="15">
        <f>SUM(J254:J258)</f>
        <v>546.13499999999999</v>
      </c>
    </row>
    <row r="254" spans="1:10" hidden="1" outlineLevel="1">
      <c r="B254" s="14"/>
      <c r="C254" s="17" t="s">
        <v>89</v>
      </c>
      <c r="D254" s="18">
        <v>20.399999999999999</v>
      </c>
      <c r="E254" s="18" t="s">
        <v>0</v>
      </c>
      <c r="F254" s="18">
        <v>3.5</v>
      </c>
      <c r="G254" s="19">
        <f>PRODUCT(D254,E254,F254)</f>
        <v>71.399999999999991</v>
      </c>
      <c r="H254" s="20">
        <f>D254*I254</f>
        <v>40.799999999999997</v>
      </c>
      <c r="I254" s="18">
        <v>2</v>
      </c>
      <c r="J254" s="20">
        <f>IF(G254&gt;0,G254*I254,H254*I254)</f>
        <v>142.79999999999998</v>
      </c>
    </row>
    <row r="255" spans="1:10" hidden="1" outlineLevel="1">
      <c r="B255" s="14"/>
      <c r="C255" s="17" t="s">
        <v>90</v>
      </c>
      <c r="D255" s="18">
        <v>3.05</v>
      </c>
      <c r="E255" s="18" t="s">
        <v>0</v>
      </c>
      <c r="F255" s="18">
        <f>$F$254</f>
        <v>3.5</v>
      </c>
      <c r="G255" s="19">
        <f>PRODUCT(D255,E255,F255)</f>
        <v>10.674999999999999</v>
      </c>
      <c r="H255" s="20">
        <f>D255*I255</f>
        <v>3.05</v>
      </c>
      <c r="I255" s="18">
        <v>1</v>
      </c>
      <c r="J255" s="20">
        <f>IF(G255&gt;0,G255*I255,H255*I255)</f>
        <v>10.674999999999999</v>
      </c>
    </row>
    <row r="256" spans="1:10" hidden="1" outlineLevel="1">
      <c r="B256" s="14"/>
      <c r="C256" s="17" t="s">
        <v>92</v>
      </c>
      <c r="D256" s="18">
        <v>5.8</v>
      </c>
      <c r="E256" s="18" t="s">
        <v>0</v>
      </c>
      <c r="F256" s="18">
        <f>$F$254</f>
        <v>3.5</v>
      </c>
      <c r="G256" s="19">
        <f>PRODUCT(D256,E256,F256)</f>
        <v>20.3</v>
      </c>
      <c r="H256" s="20">
        <f>D256*I256</f>
        <v>29</v>
      </c>
      <c r="I256" s="18">
        <v>5</v>
      </c>
      <c r="J256" s="20">
        <f>IF(G256&gt;0,G256*I256,H256*I256)</f>
        <v>101.5</v>
      </c>
    </row>
    <row r="257" spans="2:10" hidden="1" outlineLevel="1">
      <c r="B257" s="14"/>
      <c r="C257" s="17" t="s">
        <v>96</v>
      </c>
      <c r="D257" s="18">
        <v>22.4</v>
      </c>
      <c r="E257" s="18" t="s">
        <v>0</v>
      </c>
      <c r="F257" s="18">
        <v>1.45</v>
      </c>
      <c r="G257" s="19">
        <f>PRODUCT(D257,E257,F257)</f>
        <v>32.479999999999997</v>
      </c>
      <c r="H257" s="20">
        <f>D257*I257</f>
        <v>44.8</v>
      </c>
      <c r="I257" s="18">
        <v>2</v>
      </c>
      <c r="J257" s="20">
        <f>IF(G257&gt;0,G257*I257,H257*I257)</f>
        <v>64.959999999999994</v>
      </c>
    </row>
    <row r="258" spans="2:10" hidden="1" outlineLevel="1">
      <c r="B258" s="14"/>
      <c r="C258" s="17" t="s">
        <v>97</v>
      </c>
      <c r="D258" s="18">
        <v>78</v>
      </c>
      <c r="E258" s="18" t="s">
        <v>0</v>
      </c>
      <c r="F258" s="18">
        <f>$F$191</f>
        <v>1.45</v>
      </c>
      <c r="G258" s="19">
        <f>PRODUCT(D258,E258,F258)</f>
        <v>113.1</v>
      </c>
      <c r="H258" s="20">
        <f>D258*I258</f>
        <v>156</v>
      </c>
      <c r="I258" s="18">
        <v>2</v>
      </c>
      <c r="J258" s="20">
        <f>IF(G258&gt;0,G258*I258,H258*I258)</f>
        <v>226.2</v>
      </c>
    </row>
    <row r="259" spans="2:10" collapsed="1"/>
    <row r="260" spans="2:10">
      <c r="B260" s="14" t="s">
        <v>129</v>
      </c>
      <c r="C260" s="1004" t="s">
        <v>130</v>
      </c>
      <c r="D260" s="1004"/>
      <c r="E260" s="1004"/>
      <c r="F260" s="1004"/>
      <c r="G260" s="1004"/>
      <c r="H260" s="1004"/>
      <c r="I260" s="1004"/>
      <c r="J260" s="15"/>
    </row>
    <row r="261" spans="2:10">
      <c r="B261" s="14"/>
      <c r="C261" s="24" t="s">
        <v>77</v>
      </c>
      <c r="D261" s="18"/>
      <c r="E261" s="18"/>
      <c r="F261" s="18"/>
      <c r="G261" s="19"/>
      <c r="H261" s="20"/>
      <c r="I261" s="18"/>
      <c r="J261" s="23">
        <f>SUM(J262:J321)</f>
        <v>2833.3999999999992</v>
      </c>
    </row>
    <row r="262" spans="2:10" hidden="1" outlineLevel="1">
      <c r="B262" s="14"/>
      <c r="C262" s="17" t="s">
        <v>10</v>
      </c>
      <c r="D262" s="18">
        <v>15</v>
      </c>
      <c r="E262" s="18" t="s">
        <v>0</v>
      </c>
      <c r="F262" s="18">
        <f>$I$12</f>
        <v>4</v>
      </c>
      <c r="G262" s="19">
        <f t="shared" ref="G262:G270" si="32">PRODUCT(D262,E262,F262)</f>
        <v>60</v>
      </c>
      <c r="H262" s="20">
        <f t="shared" ref="H262:H277" si="33">D262*I262</f>
        <v>15</v>
      </c>
      <c r="I262" s="18">
        <v>1</v>
      </c>
      <c r="J262" s="20">
        <f t="shared" ref="J262:J277" si="34">IF(G262&gt;0,G262*I262,H262*I262)</f>
        <v>60</v>
      </c>
    </row>
    <row r="263" spans="2:10" hidden="1" outlineLevel="1">
      <c r="B263" s="14"/>
      <c r="C263" s="17" t="s">
        <v>131</v>
      </c>
      <c r="D263" s="18">
        <v>5.3</v>
      </c>
      <c r="E263" s="18" t="s">
        <v>0</v>
      </c>
      <c r="F263" s="18">
        <f t="shared" ref="F263:F277" si="35">$F$262</f>
        <v>4</v>
      </c>
      <c r="G263" s="19">
        <f t="shared" si="32"/>
        <v>21.2</v>
      </c>
      <c r="H263" s="20">
        <f t="shared" si="33"/>
        <v>5.3</v>
      </c>
      <c r="I263" s="18">
        <v>1</v>
      </c>
      <c r="J263" s="20">
        <f t="shared" si="34"/>
        <v>21.2</v>
      </c>
    </row>
    <row r="264" spans="2:10" hidden="1" outlineLevel="1">
      <c r="B264" s="14"/>
      <c r="C264" s="17" t="s">
        <v>132</v>
      </c>
      <c r="D264" s="18">
        <v>10.75</v>
      </c>
      <c r="E264" s="18" t="s">
        <v>0</v>
      </c>
      <c r="F264" s="18">
        <f t="shared" si="35"/>
        <v>4</v>
      </c>
      <c r="G264" s="19">
        <f t="shared" si="32"/>
        <v>43</v>
      </c>
      <c r="H264" s="20">
        <f t="shared" si="33"/>
        <v>21.5</v>
      </c>
      <c r="I264" s="18">
        <v>2</v>
      </c>
      <c r="J264" s="20">
        <f t="shared" si="34"/>
        <v>86</v>
      </c>
    </row>
    <row r="265" spans="2:10" hidden="1" outlineLevel="1">
      <c r="B265" s="14"/>
      <c r="C265" s="17" t="s">
        <v>133</v>
      </c>
      <c r="D265" s="18">
        <v>3.8</v>
      </c>
      <c r="E265" s="18" t="s">
        <v>0</v>
      </c>
      <c r="F265" s="18">
        <f t="shared" si="35"/>
        <v>4</v>
      </c>
      <c r="G265" s="19">
        <f t="shared" si="32"/>
        <v>15.2</v>
      </c>
      <c r="H265" s="20">
        <f t="shared" si="33"/>
        <v>3.8</v>
      </c>
      <c r="I265" s="18">
        <v>1</v>
      </c>
      <c r="J265" s="20">
        <f t="shared" si="34"/>
        <v>15.2</v>
      </c>
    </row>
    <row r="266" spans="2:10" hidden="1" outlineLevel="1">
      <c r="B266" s="14"/>
      <c r="C266" s="17" t="s">
        <v>134</v>
      </c>
      <c r="D266" s="18">
        <v>3.2</v>
      </c>
      <c r="E266" s="18" t="s">
        <v>0</v>
      </c>
      <c r="F266" s="18">
        <f t="shared" si="35"/>
        <v>4</v>
      </c>
      <c r="G266" s="19">
        <f t="shared" si="32"/>
        <v>12.8</v>
      </c>
      <c r="H266" s="20">
        <f t="shared" si="33"/>
        <v>16</v>
      </c>
      <c r="I266" s="18">
        <v>5</v>
      </c>
      <c r="J266" s="20">
        <f t="shared" si="34"/>
        <v>64</v>
      </c>
    </row>
    <row r="267" spans="2:10" hidden="1" outlineLevel="1">
      <c r="B267" s="14"/>
      <c r="C267" s="17" t="s">
        <v>135</v>
      </c>
      <c r="D267" s="18">
        <v>3.8</v>
      </c>
      <c r="E267" s="18" t="s">
        <v>0</v>
      </c>
      <c r="F267" s="18">
        <f t="shared" si="35"/>
        <v>4</v>
      </c>
      <c r="G267" s="19">
        <f t="shared" si="32"/>
        <v>15.2</v>
      </c>
      <c r="H267" s="20">
        <f t="shared" si="33"/>
        <v>3.8</v>
      </c>
      <c r="I267" s="18">
        <v>1</v>
      </c>
      <c r="J267" s="20">
        <f t="shared" si="34"/>
        <v>15.2</v>
      </c>
    </row>
    <row r="268" spans="2:10" hidden="1" outlineLevel="1">
      <c r="B268" s="14"/>
      <c r="C268" s="17" t="s">
        <v>136</v>
      </c>
      <c r="D268" s="18">
        <v>1.85</v>
      </c>
      <c r="E268" s="18" t="s">
        <v>0</v>
      </c>
      <c r="F268" s="18">
        <f t="shared" si="35"/>
        <v>4</v>
      </c>
      <c r="G268" s="19">
        <f t="shared" si="32"/>
        <v>7.4</v>
      </c>
      <c r="H268" s="20">
        <f t="shared" si="33"/>
        <v>1.85</v>
      </c>
      <c r="I268" s="18">
        <v>1</v>
      </c>
      <c r="J268" s="20">
        <f t="shared" si="34"/>
        <v>7.4</v>
      </c>
    </row>
    <row r="269" spans="2:10" hidden="1" outlineLevel="1">
      <c r="B269" s="14"/>
      <c r="C269" s="17" t="s">
        <v>137</v>
      </c>
      <c r="D269" s="18">
        <v>4.25</v>
      </c>
      <c r="E269" s="18" t="s">
        <v>0</v>
      </c>
      <c r="F269" s="18">
        <f t="shared" si="35"/>
        <v>4</v>
      </c>
      <c r="G269" s="19">
        <f t="shared" si="32"/>
        <v>17</v>
      </c>
      <c r="H269" s="20">
        <f t="shared" si="33"/>
        <v>4.25</v>
      </c>
      <c r="I269" s="18">
        <v>1</v>
      </c>
      <c r="J269" s="20">
        <f t="shared" si="34"/>
        <v>17</v>
      </c>
    </row>
    <row r="270" spans="2:10" hidden="1" outlineLevel="1">
      <c r="B270" s="14"/>
      <c r="C270" s="17" t="s">
        <v>11</v>
      </c>
      <c r="D270" s="18">
        <v>23.75</v>
      </c>
      <c r="E270" s="18" t="s">
        <v>0</v>
      </c>
      <c r="F270" s="18">
        <f t="shared" si="35"/>
        <v>4</v>
      </c>
      <c r="G270" s="19">
        <f t="shared" si="32"/>
        <v>95</v>
      </c>
      <c r="H270" s="20">
        <f t="shared" si="33"/>
        <v>23.75</v>
      </c>
      <c r="I270" s="18">
        <v>1</v>
      </c>
      <c r="J270" s="20">
        <f t="shared" si="34"/>
        <v>95</v>
      </c>
    </row>
    <row r="271" spans="2:10" hidden="1" outlineLevel="1">
      <c r="B271" s="14"/>
      <c r="C271" s="17" t="s">
        <v>138</v>
      </c>
      <c r="D271" s="18">
        <v>15.85</v>
      </c>
      <c r="E271" s="18" t="s">
        <v>0</v>
      </c>
      <c r="F271" s="18">
        <f t="shared" si="35"/>
        <v>4</v>
      </c>
      <c r="G271" s="19">
        <f t="shared" ref="G271:G277" si="36">PRODUCT(D271,E271,F271)</f>
        <v>63.4</v>
      </c>
      <c r="H271" s="20">
        <f t="shared" si="33"/>
        <v>47.55</v>
      </c>
      <c r="I271" s="18">
        <v>3</v>
      </c>
      <c r="J271" s="20">
        <f t="shared" si="34"/>
        <v>190.2</v>
      </c>
    </row>
    <row r="272" spans="2:10" hidden="1" outlineLevel="1">
      <c r="B272" s="14"/>
      <c r="C272" s="17" t="s">
        <v>139</v>
      </c>
      <c r="D272" s="18">
        <v>18</v>
      </c>
      <c r="E272" s="18" t="s">
        <v>0</v>
      </c>
      <c r="F272" s="18">
        <f t="shared" si="35"/>
        <v>4</v>
      </c>
      <c r="G272" s="19">
        <f t="shared" si="36"/>
        <v>72</v>
      </c>
      <c r="H272" s="20">
        <f t="shared" si="33"/>
        <v>18</v>
      </c>
      <c r="I272" s="18">
        <v>1</v>
      </c>
      <c r="J272" s="20">
        <f t="shared" si="34"/>
        <v>72</v>
      </c>
    </row>
    <row r="273" spans="2:10" hidden="1" outlineLevel="1">
      <c r="B273" s="14"/>
      <c r="C273" s="17" t="s">
        <v>140</v>
      </c>
      <c r="D273" s="18">
        <v>3.05</v>
      </c>
      <c r="E273" s="18" t="s">
        <v>0</v>
      </c>
      <c r="F273" s="18">
        <f t="shared" si="35"/>
        <v>4</v>
      </c>
      <c r="G273" s="19">
        <f>PRODUCT(D273,E273,F273)</f>
        <v>12.2</v>
      </c>
      <c r="H273" s="20">
        <f t="shared" si="33"/>
        <v>6.1</v>
      </c>
      <c r="I273" s="18">
        <v>2</v>
      </c>
      <c r="J273" s="20">
        <f t="shared" si="34"/>
        <v>24.4</v>
      </c>
    </row>
    <row r="274" spans="2:10" hidden="1" outlineLevel="1">
      <c r="B274" s="14"/>
      <c r="C274" s="17" t="s">
        <v>141</v>
      </c>
      <c r="D274" s="18">
        <v>10.75</v>
      </c>
      <c r="E274" s="18" t="s">
        <v>0</v>
      </c>
      <c r="F274" s="18">
        <f t="shared" si="35"/>
        <v>4</v>
      </c>
      <c r="G274" s="19">
        <f t="shared" si="36"/>
        <v>43</v>
      </c>
      <c r="H274" s="20">
        <f t="shared" si="33"/>
        <v>10.75</v>
      </c>
      <c r="I274" s="18">
        <v>1</v>
      </c>
      <c r="J274" s="20">
        <f t="shared" si="34"/>
        <v>43</v>
      </c>
    </row>
    <row r="275" spans="2:10" hidden="1" outlineLevel="1">
      <c r="B275" s="14"/>
      <c r="C275" s="17" t="s">
        <v>142</v>
      </c>
      <c r="D275" s="18">
        <v>3.05</v>
      </c>
      <c r="E275" s="18" t="s">
        <v>0</v>
      </c>
      <c r="F275" s="18">
        <f t="shared" si="35"/>
        <v>4</v>
      </c>
      <c r="G275" s="19">
        <f>PRODUCT(D275,E275,F275)</f>
        <v>12.2</v>
      </c>
      <c r="H275" s="20">
        <f t="shared" si="33"/>
        <v>6.1</v>
      </c>
      <c r="I275" s="18">
        <v>2</v>
      </c>
      <c r="J275" s="20">
        <f t="shared" si="34"/>
        <v>24.4</v>
      </c>
    </row>
    <row r="276" spans="2:10" hidden="1" outlineLevel="1">
      <c r="B276" s="14"/>
      <c r="C276" s="17" t="s">
        <v>143</v>
      </c>
      <c r="D276" s="18">
        <v>3.5</v>
      </c>
      <c r="E276" s="18" t="s">
        <v>0</v>
      </c>
      <c r="F276" s="18">
        <f t="shared" si="35"/>
        <v>4</v>
      </c>
      <c r="G276" s="19">
        <f>PRODUCT(D276,E276,F276)</f>
        <v>14</v>
      </c>
      <c r="H276" s="20">
        <f t="shared" si="33"/>
        <v>3.5</v>
      </c>
      <c r="I276" s="18">
        <v>1</v>
      </c>
      <c r="J276" s="20">
        <f t="shared" si="34"/>
        <v>14</v>
      </c>
    </row>
    <row r="277" spans="2:10" hidden="1" outlineLevel="1">
      <c r="B277" s="14"/>
      <c r="C277" s="17" t="s">
        <v>148</v>
      </c>
      <c r="D277" s="18">
        <v>15.3</v>
      </c>
      <c r="E277" s="18" t="s">
        <v>0</v>
      </c>
      <c r="F277" s="18">
        <f t="shared" si="35"/>
        <v>4</v>
      </c>
      <c r="G277" s="19">
        <f t="shared" si="36"/>
        <v>61.2</v>
      </c>
      <c r="H277" s="20">
        <f t="shared" si="33"/>
        <v>15.3</v>
      </c>
      <c r="I277" s="18">
        <v>1</v>
      </c>
      <c r="J277" s="20">
        <f t="shared" si="34"/>
        <v>61.2</v>
      </c>
    </row>
    <row r="278" spans="2:10" hidden="1" outlineLevel="1">
      <c r="B278" s="14"/>
      <c r="C278" s="17"/>
      <c r="D278" s="18"/>
      <c r="E278" s="18"/>
      <c r="F278" s="18"/>
      <c r="G278" s="19"/>
      <c r="H278" s="20"/>
      <c r="I278" s="18"/>
      <c r="J278" s="20"/>
    </row>
    <row r="279" spans="2:10" hidden="1" outlineLevel="1">
      <c r="B279" s="14"/>
      <c r="C279" s="17" t="s">
        <v>37</v>
      </c>
      <c r="D279" s="18">
        <v>2.5</v>
      </c>
      <c r="E279" s="18" t="s">
        <v>0</v>
      </c>
      <c r="F279" s="18">
        <f t="shared" ref="F279:F321" si="37">$F$262</f>
        <v>4</v>
      </c>
      <c r="G279" s="19">
        <f t="shared" ref="G279:G321" si="38">PRODUCT(D279,E279,F279)</f>
        <v>10</v>
      </c>
      <c r="H279" s="20">
        <f t="shared" ref="H279:H321" si="39">D279*I279</f>
        <v>5</v>
      </c>
      <c r="I279" s="18">
        <v>2</v>
      </c>
      <c r="J279" s="20">
        <f t="shared" ref="J279:J321" si="40">IF(G279&gt;0,G279*I279,H279*I279)</f>
        <v>20</v>
      </c>
    </row>
    <row r="280" spans="2:10" hidden="1" outlineLevel="1">
      <c r="B280" s="14"/>
      <c r="C280" s="17" t="s">
        <v>38</v>
      </c>
      <c r="D280" s="18">
        <v>11.75</v>
      </c>
      <c r="E280" s="18" t="s">
        <v>0</v>
      </c>
      <c r="F280" s="18">
        <f t="shared" si="37"/>
        <v>4</v>
      </c>
      <c r="G280" s="19">
        <f t="shared" si="38"/>
        <v>47</v>
      </c>
      <c r="H280" s="20">
        <f t="shared" si="39"/>
        <v>11.75</v>
      </c>
      <c r="I280" s="18">
        <v>1</v>
      </c>
      <c r="J280" s="20">
        <f t="shared" si="40"/>
        <v>47</v>
      </c>
    </row>
    <row r="281" spans="2:10" hidden="1" outlineLevel="1">
      <c r="B281" s="14"/>
      <c r="C281" s="17" t="s">
        <v>39</v>
      </c>
      <c r="D281" s="18">
        <v>3.75</v>
      </c>
      <c r="E281" s="18" t="s">
        <v>0</v>
      </c>
      <c r="F281" s="18">
        <f t="shared" si="37"/>
        <v>4</v>
      </c>
      <c r="G281" s="19">
        <f t="shared" si="38"/>
        <v>15</v>
      </c>
      <c r="H281" s="20">
        <f t="shared" si="39"/>
        <v>7.5</v>
      </c>
      <c r="I281" s="18">
        <v>2</v>
      </c>
      <c r="J281" s="20">
        <f t="shared" si="40"/>
        <v>30</v>
      </c>
    </row>
    <row r="282" spans="2:10" hidden="1" outlineLevel="1">
      <c r="B282" s="14"/>
      <c r="C282" s="17" t="s">
        <v>40</v>
      </c>
      <c r="D282" s="18">
        <v>18.8</v>
      </c>
      <c r="E282" s="18" t="s">
        <v>0</v>
      </c>
      <c r="F282" s="18">
        <f t="shared" si="37"/>
        <v>4</v>
      </c>
      <c r="G282" s="19">
        <f t="shared" si="38"/>
        <v>75.2</v>
      </c>
      <c r="H282" s="20">
        <f t="shared" si="39"/>
        <v>18.8</v>
      </c>
      <c r="I282" s="18">
        <v>1</v>
      </c>
      <c r="J282" s="20">
        <f t="shared" si="40"/>
        <v>75.2</v>
      </c>
    </row>
    <row r="283" spans="2:10" hidden="1" outlineLevel="1">
      <c r="B283" s="14"/>
      <c r="C283" s="17" t="s">
        <v>41</v>
      </c>
      <c r="D283" s="18">
        <v>3.15</v>
      </c>
      <c r="E283" s="18" t="s">
        <v>0</v>
      </c>
      <c r="F283" s="18">
        <f t="shared" si="37"/>
        <v>4</v>
      </c>
      <c r="G283" s="19">
        <f t="shared" si="38"/>
        <v>12.6</v>
      </c>
      <c r="H283" s="20">
        <f t="shared" si="39"/>
        <v>6.3</v>
      </c>
      <c r="I283" s="18">
        <v>2</v>
      </c>
      <c r="J283" s="20">
        <f t="shared" si="40"/>
        <v>25.2</v>
      </c>
    </row>
    <row r="284" spans="2:10" hidden="1" outlineLevel="1">
      <c r="B284" s="14"/>
      <c r="C284" s="17" t="s">
        <v>42</v>
      </c>
      <c r="D284" s="18">
        <v>7.4</v>
      </c>
      <c r="E284" s="18" t="s">
        <v>0</v>
      </c>
      <c r="F284" s="18">
        <f t="shared" si="37"/>
        <v>4</v>
      </c>
      <c r="G284" s="19">
        <f t="shared" si="38"/>
        <v>29.6</v>
      </c>
      <c r="H284" s="20">
        <f t="shared" si="39"/>
        <v>51.800000000000004</v>
      </c>
      <c r="I284" s="18">
        <v>7</v>
      </c>
      <c r="J284" s="20">
        <f t="shared" si="40"/>
        <v>207.20000000000002</v>
      </c>
    </row>
    <row r="285" spans="2:10" hidden="1" outlineLevel="1">
      <c r="B285" s="14"/>
      <c r="C285" s="17" t="s">
        <v>43</v>
      </c>
      <c r="D285" s="18">
        <v>2.8</v>
      </c>
      <c r="E285" s="18" t="s">
        <v>0</v>
      </c>
      <c r="F285" s="18">
        <f t="shared" si="37"/>
        <v>4</v>
      </c>
      <c r="G285" s="19">
        <f t="shared" si="38"/>
        <v>11.2</v>
      </c>
      <c r="H285" s="20">
        <f t="shared" si="39"/>
        <v>11.2</v>
      </c>
      <c r="I285" s="18">
        <v>4</v>
      </c>
      <c r="J285" s="20">
        <f t="shared" si="40"/>
        <v>44.8</v>
      </c>
    </row>
    <row r="286" spans="2:10" hidden="1" outlineLevel="1">
      <c r="B286" s="14"/>
      <c r="C286" s="17" t="s">
        <v>44</v>
      </c>
      <c r="D286" s="18">
        <v>3.4</v>
      </c>
      <c r="E286" s="18" t="s">
        <v>0</v>
      </c>
      <c r="F286" s="18">
        <f t="shared" si="37"/>
        <v>4</v>
      </c>
      <c r="G286" s="19">
        <f>PRODUCT(D286,E286,F286)</f>
        <v>13.6</v>
      </c>
      <c r="H286" s="20">
        <f t="shared" si="39"/>
        <v>6.8</v>
      </c>
      <c r="I286" s="18">
        <v>2</v>
      </c>
      <c r="J286" s="20">
        <f t="shared" si="40"/>
        <v>27.2</v>
      </c>
    </row>
    <row r="287" spans="2:10" hidden="1" outlineLevel="1">
      <c r="B287" s="14"/>
      <c r="C287" s="17" t="s">
        <v>45</v>
      </c>
      <c r="D287" s="18">
        <v>11.3</v>
      </c>
      <c r="E287" s="18" t="s">
        <v>0</v>
      </c>
      <c r="F287" s="18">
        <f t="shared" si="37"/>
        <v>4</v>
      </c>
      <c r="G287" s="19">
        <f t="shared" si="38"/>
        <v>45.2</v>
      </c>
      <c r="H287" s="20">
        <f t="shared" si="39"/>
        <v>11.3</v>
      </c>
      <c r="I287" s="18">
        <v>1</v>
      </c>
      <c r="J287" s="20">
        <f t="shared" si="40"/>
        <v>45.2</v>
      </c>
    </row>
    <row r="288" spans="2:10" hidden="1" outlineLevel="1">
      <c r="B288" s="14"/>
      <c r="C288" s="17" t="s">
        <v>46</v>
      </c>
      <c r="D288" s="18">
        <v>1.95</v>
      </c>
      <c r="E288" s="18" t="s">
        <v>0</v>
      </c>
      <c r="F288" s="18">
        <f t="shared" si="37"/>
        <v>4</v>
      </c>
      <c r="G288" s="19">
        <f t="shared" si="38"/>
        <v>7.8</v>
      </c>
      <c r="H288" s="20">
        <f t="shared" si="39"/>
        <v>1.95</v>
      </c>
      <c r="I288" s="18">
        <v>1</v>
      </c>
      <c r="J288" s="20">
        <f t="shared" si="40"/>
        <v>7.8</v>
      </c>
    </row>
    <row r="289" spans="2:10" hidden="1" outlineLevel="1">
      <c r="B289" s="14"/>
      <c r="C289" s="17" t="s">
        <v>47</v>
      </c>
      <c r="D289" s="18">
        <v>17.399999999999999</v>
      </c>
      <c r="E289" s="18" t="s">
        <v>0</v>
      </c>
      <c r="F289" s="18">
        <f t="shared" si="37"/>
        <v>4</v>
      </c>
      <c r="G289" s="19">
        <f>PRODUCT(D289,E289,F289)</f>
        <v>69.599999999999994</v>
      </c>
      <c r="H289" s="20">
        <f t="shared" si="39"/>
        <v>17.399999999999999</v>
      </c>
      <c r="I289" s="18">
        <v>1</v>
      </c>
      <c r="J289" s="20">
        <f t="shared" si="40"/>
        <v>69.599999999999994</v>
      </c>
    </row>
    <row r="290" spans="2:10" hidden="1" outlineLevel="1">
      <c r="B290" s="14"/>
      <c r="C290" s="17" t="s">
        <v>48</v>
      </c>
      <c r="D290" s="18">
        <v>18.8</v>
      </c>
      <c r="E290" s="18" t="s">
        <v>0</v>
      </c>
      <c r="F290" s="18">
        <f t="shared" si="37"/>
        <v>4</v>
      </c>
      <c r="G290" s="19">
        <f t="shared" si="38"/>
        <v>75.2</v>
      </c>
      <c r="H290" s="20">
        <f t="shared" si="39"/>
        <v>56.400000000000006</v>
      </c>
      <c r="I290" s="18">
        <v>3</v>
      </c>
      <c r="J290" s="20">
        <f t="shared" si="40"/>
        <v>225.60000000000002</v>
      </c>
    </row>
    <row r="291" spans="2:10" hidden="1" outlineLevel="1">
      <c r="B291" s="14"/>
      <c r="C291" s="17" t="s">
        <v>49</v>
      </c>
      <c r="D291" s="18">
        <v>5.25</v>
      </c>
      <c r="E291" s="18" t="s">
        <v>0</v>
      </c>
      <c r="F291" s="18">
        <f t="shared" si="37"/>
        <v>4</v>
      </c>
      <c r="G291" s="19">
        <f>PRODUCT(D291,E291,F291)</f>
        <v>21</v>
      </c>
      <c r="H291" s="20">
        <f t="shared" si="39"/>
        <v>15.75</v>
      </c>
      <c r="I291" s="18">
        <v>3</v>
      </c>
      <c r="J291" s="20">
        <f t="shared" si="40"/>
        <v>63</v>
      </c>
    </row>
    <row r="292" spans="2:10" hidden="1" outlineLevel="1">
      <c r="B292" s="14"/>
      <c r="C292" s="17" t="s">
        <v>50</v>
      </c>
      <c r="D292" s="18">
        <v>3.5</v>
      </c>
      <c r="E292" s="18" t="s">
        <v>0</v>
      </c>
      <c r="F292" s="18">
        <f t="shared" si="37"/>
        <v>4</v>
      </c>
      <c r="G292" s="19">
        <f t="shared" si="38"/>
        <v>14</v>
      </c>
      <c r="H292" s="20">
        <f t="shared" si="39"/>
        <v>3.5</v>
      </c>
      <c r="I292" s="18">
        <v>1</v>
      </c>
      <c r="J292" s="20">
        <f t="shared" si="40"/>
        <v>14</v>
      </c>
    </row>
    <row r="293" spans="2:10" hidden="1" outlineLevel="1">
      <c r="B293" s="14"/>
      <c r="C293" s="17" t="s">
        <v>51</v>
      </c>
      <c r="D293" s="18">
        <v>15.65</v>
      </c>
      <c r="E293" s="18" t="s">
        <v>0</v>
      </c>
      <c r="F293" s="18">
        <f t="shared" si="37"/>
        <v>4</v>
      </c>
      <c r="G293" s="19">
        <f>PRODUCT(D293,E293,F293)</f>
        <v>62.6</v>
      </c>
      <c r="H293" s="20">
        <f t="shared" si="39"/>
        <v>15.65</v>
      </c>
      <c r="I293" s="18">
        <v>1</v>
      </c>
      <c r="J293" s="20">
        <f t="shared" si="40"/>
        <v>62.6</v>
      </c>
    </row>
    <row r="294" spans="2:10" hidden="1" outlineLevel="1">
      <c r="B294" s="14"/>
      <c r="C294" s="17" t="s">
        <v>52</v>
      </c>
      <c r="D294" s="18">
        <v>2.0499999999999998</v>
      </c>
      <c r="E294" s="18" t="s">
        <v>0</v>
      </c>
      <c r="F294" s="18">
        <f t="shared" si="37"/>
        <v>4</v>
      </c>
      <c r="G294" s="19">
        <f t="shared" si="38"/>
        <v>8.1999999999999993</v>
      </c>
      <c r="H294" s="20">
        <f t="shared" si="39"/>
        <v>2.0499999999999998</v>
      </c>
      <c r="I294" s="18">
        <v>1</v>
      </c>
      <c r="J294" s="20">
        <f t="shared" si="40"/>
        <v>8.1999999999999993</v>
      </c>
    </row>
    <row r="295" spans="2:10" hidden="1" outlineLevel="1">
      <c r="B295" s="14"/>
      <c r="C295" s="17" t="s">
        <v>53</v>
      </c>
      <c r="D295" s="18">
        <v>9.4</v>
      </c>
      <c r="E295" s="18" t="s">
        <v>0</v>
      </c>
      <c r="F295" s="18">
        <f t="shared" si="37"/>
        <v>4</v>
      </c>
      <c r="G295" s="19">
        <f>PRODUCT(D295,E295,F295)</f>
        <v>37.6</v>
      </c>
      <c r="H295" s="20">
        <f t="shared" si="39"/>
        <v>9.4</v>
      </c>
      <c r="I295" s="18">
        <v>1</v>
      </c>
      <c r="J295" s="20">
        <f t="shared" si="40"/>
        <v>37.6</v>
      </c>
    </row>
    <row r="296" spans="2:10" hidden="1" outlineLevel="1">
      <c r="B296" s="14"/>
      <c r="C296" s="17" t="s">
        <v>54</v>
      </c>
      <c r="D296" s="18">
        <v>1.75</v>
      </c>
      <c r="E296" s="18" t="s">
        <v>0</v>
      </c>
      <c r="F296" s="18">
        <f t="shared" si="37"/>
        <v>4</v>
      </c>
      <c r="G296" s="19">
        <f t="shared" si="38"/>
        <v>7</v>
      </c>
      <c r="H296" s="20">
        <f t="shared" si="39"/>
        <v>1.75</v>
      </c>
      <c r="I296" s="18">
        <v>1</v>
      </c>
      <c r="J296" s="20">
        <f t="shared" si="40"/>
        <v>7</v>
      </c>
    </row>
    <row r="297" spans="2:10" hidden="1" outlineLevel="1">
      <c r="B297" s="14"/>
      <c r="C297" s="17" t="s">
        <v>55</v>
      </c>
      <c r="D297" s="18">
        <v>15.05</v>
      </c>
      <c r="E297" s="18" t="s">
        <v>0</v>
      </c>
      <c r="F297" s="18">
        <f t="shared" si="37"/>
        <v>4</v>
      </c>
      <c r="G297" s="19">
        <f>PRODUCT(D297,E297,F297)</f>
        <v>60.2</v>
      </c>
      <c r="H297" s="20">
        <f t="shared" si="39"/>
        <v>15.05</v>
      </c>
      <c r="I297" s="18">
        <v>1</v>
      </c>
      <c r="J297" s="20">
        <f t="shared" si="40"/>
        <v>60.2</v>
      </c>
    </row>
    <row r="298" spans="2:10" hidden="1" outlineLevel="1">
      <c r="B298" s="14"/>
      <c r="C298" s="17" t="s">
        <v>56</v>
      </c>
      <c r="D298" s="18">
        <v>2.2999999999999998</v>
      </c>
      <c r="E298" s="18" t="s">
        <v>0</v>
      </c>
      <c r="F298" s="18">
        <f t="shared" si="37"/>
        <v>4</v>
      </c>
      <c r="G298" s="19">
        <f>PRODUCT(D298,E298,F298)</f>
        <v>9.1999999999999993</v>
      </c>
      <c r="H298" s="20">
        <f t="shared" si="39"/>
        <v>6.8999999999999995</v>
      </c>
      <c r="I298" s="18">
        <v>3</v>
      </c>
      <c r="J298" s="20">
        <f t="shared" si="40"/>
        <v>27.599999999999998</v>
      </c>
    </row>
    <row r="299" spans="2:10" hidden="1" outlineLevel="1">
      <c r="B299" s="14"/>
      <c r="C299" s="17" t="s">
        <v>57</v>
      </c>
      <c r="D299" s="18">
        <v>2.4</v>
      </c>
      <c r="E299" s="18" t="s">
        <v>0</v>
      </c>
      <c r="F299" s="18">
        <f t="shared" si="37"/>
        <v>4</v>
      </c>
      <c r="G299" s="19">
        <f t="shared" si="38"/>
        <v>9.6</v>
      </c>
      <c r="H299" s="20">
        <f t="shared" si="39"/>
        <v>4.8</v>
      </c>
      <c r="I299" s="18">
        <v>2</v>
      </c>
      <c r="J299" s="20">
        <f t="shared" si="40"/>
        <v>19.2</v>
      </c>
    </row>
    <row r="300" spans="2:10" hidden="1" outlineLevel="1">
      <c r="B300" s="14"/>
      <c r="C300" s="17" t="s">
        <v>58</v>
      </c>
      <c r="D300" s="18">
        <v>4.8499999999999996</v>
      </c>
      <c r="E300" s="18" t="s">
        <v>0</v>
      </c>
      <c r="F300" s="18">
        <f t="shared" si="37"/>
        <v>4</v>
      </c>
      <c r="G300" s="19">
        <f t="shared" si="38"/>
        <v>19.399999999999999</v>
      </c>
      <c r="H300" s="20">
        <f t="shared" si="39"/>
        <v>4.8499999999999996</v>
      </c>
      <c r="I300" s="18">
        <v>1</v>
      </c>
      <c r="J300" s="20">
        <f t="shared" si="40"/>
        <v>19.399999999999999</v>
      </c>
    </row>
    <row r="301" spans="2:10" hidden="1" outlineLevel="1">
      <c r="B301" s="14"/>
      <c r="C301" s="17" t="s">
        <v>59</v>
      </c>
      <c r="D301" s="18">
        <v>7.05</v>
      </c>
      <c r="E301" s="18" t="s">
        <v>0</v>
      </c>
      <c r="F301" s="18">
        <f t="shared" si="37"/>
        <v>4</v>
      </c>
      <c r="G301" s="19">
        <f t="shared" si="38"/>
        <v>28.2</v>
      </c>
      <c r="H301" s="20">
        <f t="shared" si="39"/>
        <v>21.15</v>
      </c>
      <c r="I301" s="18">
        <v>3</v>
      </c>
      <c r="J301" s="20">
        <f t="shared" si="40"/>
        <v>84.6</v>
      </c>
    </row>
    <row r="302" spans="2:10" hidden="1" outlineLevel="1">
      <c r="B302" s="14"/>
      <c r="C302" s="17" t="s">
        <v>60</v>
      </c>
      <c r="D302" s="18">
        <v>8.9</v>
      </c>
      <c r="E302" s="18" t="s">
        <v>0</v>
      </c>
      <c r="F302" s="18">
        <f t="shared" si="37"/>
        <v>4</v>
      </c>
      <c r="G302" s="19">
        <f t="shared" si="38"/>
        <v>35.6</v>
      </c>
      <c r="H302" s="20">
        <f t="shared" si="39"/>
        <v>26.700000000000003</v>
      </c>
      <c r="I302" s="18">
        <v>3</v>
      </c>
      <c r="J302" s="20">
        <f t="shared" si="40"/>
        <v>106.80000000000001</v>
      </c>
    </row>
    <row r="303" spans="2:10" hidden="1" outlineLevel="1">
      <c r="B303" s="14"/>
      <c r="C303" s="17" t="s">
        <v>61</v>
      </c>
      <c r="D303" s="18">
        <v>2.0499999999999998</v>
      </c>
      <c r="E303" s="18" t="s">
        <v>0</v>
      </c>
      <c r="F303" s="18">
        <f t="shared" si="37"/>
        <v>4</v>
      </c>
      <c r="G303" s="19">
        <f t="shared" si="38"/>
        <v>8.1999999999999993</v>
      </c>
      <c r="H303" s="20">
        <f t="shared" si="39"/>
        <v>16.399999999999999</v>
      </c>
      <c r="I303" s="18">
        <v>8</v>
      </c>
      <c r="J303" s="20">
        <f t="shared" si="40"/>
        <v>65.599999999999994</v>
      </c>
    </row>
    <row r="304" spans="2:10" hidden="1" outlineLevel="1">
      <c r="B304" s="14"/>
      <c r="C304" s="17" t="s">
        <v>62</v>
      </c>
      <c r="D304" s="18">
        <v>4.45</v>
      </c>
      <c r="E304" s="18" t="s">
        <v>0</v>
      </c>
      <c r="F304" s="18">
        <f t="shared" si="37"/>
        <v>4</v>
      </c>
      <c r="G304" s="19">
        <f t="shared" si="38"/>
        <v>17.8</v>
      </c>
      <c r="H304" s="20">
        <f t="shared" si="39"/>
        <v>17.8</v>
      </c>
      <c r="I304" s="18">
        <v>4</v>
      </c>
      <c r="J304" s="20">
        <f t="shared" si="40"/>
        <v>71.2</v>
      </c>
    </row>
    <row r="305" spans="2:10" hidden="1" outlineLevel="1">
      <c r="B305" s="14"/>
      <c r="C305" s="17" t="s">
        <v>63</v>
      </c>
      <c r="D305" s="18">
        <v>1.75</v>
      </c>
      <c r="E305" s="18" t="s">
        <v>0</v>
      </c>
      <c r="F305" s="18">
        <f t="shared" si="37"/>
        <v>4</v>
      </c>
      <c r="G305" s="19">
        <f t="shared" si="38"/>
        <v>7</v>
      </c>
      <c r="H305" s="20">
        <f t="shared" si="39"/>
        <v>3.5</v>
      </c>
      <c r="I305" s="18">
        <v>2</v>
      </c>
      <c r="J305" s="20">
        <f t="shared" si="40"/>
        <v>14</v>
      </c>
    </row>
    <row r="306" spans="2:10" hidden="1" outlineLevel="1">
      <c r="B306" s="14"/>
      <c r="C306" s="17" t="s">
        <v>64</v>
      </c>
      <c r="D306" s="18">
        <v>18.3</v>
      </c>
      <c r="E306" s="18" t="s">
        <v>0</v>
      </c>
      <c r="F306" s="18">
        <f t="shared" si="37"/>
        <v>4</v>
      </c>
      <c r="G306" s="19">
        <f t="shared" si="38"/>
        <v>73.2</v>
      </c>
      <c r="H306" s="20">
        <f t="shared" si="39"/>
        <v>18.3</v>
      </c>
      <c r="I306" s="18">
        <v>1</v>
      </c>
      <c r="J306" s="20">
        <f t="shared" si="40"/>
        <v>73.2</v>
      </c>
    </row>
    <row r="307" spans="2:10" hidden="1" outlineLevel="1">
      <c r="B307" s="14"/>
      <c r="C307" s="17" t="s">
        <v>65</v>
      </c>
      <c r="D307" s="18">
        <v>3.5</v>
      </c>
      <c r="E307" s="18" t="s">
        <v>0</v>
      </c>
      <c r="F307" s="18">
        <f t="shared" si="37"/>
        <v>4</v>
      </c>
      <c r="G307" s="19">
        <f t="shared" si="38"/>
        <v>14</v>
      </c>
      <c r="H307" s="20">
        <f t="shared" si="39"/>
        <v>7</v>
      </c>
      <c r="I307" s="18">
        <v>2</v>
      </c>
      <c r="J307" s="20">
        <f t="shared" si="40"/>
        <v>28</v>
      </c>
    </row>
    <row r="308" spans="2:10" hidden="1" outlineLevel="1">
      <c r="B308" s="14"/>
      <c r="C308" s="17" t="s">
        <v>66</v>
      </c>
      <c r="D308" s="18">
        <v>2.15</v>
      </c>
      <c r="E308" s="18" t="s">
        <v>0</v>
      </c>
      <c r="F308" s="18">
        <f t="shared" si="37"/>
        <v>4</v>
      </c>
      <c r="G308" s="19">
        <f t="shared" si="38"/>
        <v>8.6</v>
      </c>
      <c r="H308" s="20">
        <f t="shared" si="39"/>
        <v>2.15</v>
      </c>
      <c r="I308" s="18">
        <v>1</v>
      </c>
      <c r="J308" s="20">
        <f t="shared" si="40"/>
        <v>8.6</v>
      </c>
    </row>
    <row r="309" spans="2:10" hidden="1" outlineLevel="1">
      <c r="B309" s="14"/>
      <c r="C309" s="17" t="s">
        <v>67</v>
      </c>
      <c r="D309" s="18">
        <v>4.45</v>
      </c>
      <c r="E309" s="18" t="s">
        <v>0</v>
      </c>
      <c r="F309" s="18">
        <f t="shared" si="37"/>
        <v>4</v>
      </c>
      <c r="G309" s="19">
        <f>PRODUCT(D309,E309,F309)</f>
        <v>17.8</v>
      </c>
      <c r="H309" s="20">
        <f t="shared" si="39"/>
        <v>4.45</v>
      </c>
      <c r="I309" s="18">
        <v>1</v>
      </c>
      <c r="J309" s="20">
        <f t="shared" si="40"/>
        <v>17.8</v>
      </c>
    </row>
    <row r="310" spans="2:10" hidden="1" outlineLevel="1">
      <c r="B310" s="14"/>
      <c r="C310" s="17" t="s">
        <v>69</v>
      </c>
      <c r="D310" s="18">
        <v>21.3</v>
      </c>
      <c r="E310" s="18" t="s">
        <v>0</v>
      </c>
      <c r="F310" s="18">
        <f t="shared" si="37"/>
        <v>4</v>
      </c>
      <c r="G310" s="19">
        <f t="shared" si="38"/>
        <v>85.2</v>
      </c>
      <c r="H310" s="20">
        <f t="shared" si="39"/>
        <v>21.3</v>
      </c>
      <c r="I310" s="18">
        <v>1</v>
      </c>
      <c r="J310" s="20">
        <f t="shared" si="40"/>
        <v>85.2</v>
      </c>
    </row>
    <row r="311" spans="2:10" hidden="1" outlineLevel="1">
      <c r="B311" s="14"/>
      <c r="C311" s="17" t="s">
        <v>70</v>
      </c>
      <c r="D311" s="18">
        <v>2.9</v>
      </c>
      <c r="E311" s="18" t="s">
        <v>0</v>
      </c>
      <c r="F311" s="18">
        <f t="shared" si="37"/>
        <v>4</v>
      </c>
      <c r="G311" s="19">
        <f>PRODUCT(D311,E311,F311)</f>
        <v>11.6</v>
      </c>
      <c r="H311" s="20">
        <f t="shared" si="39"/>
        <v>2.9</v>
      </c>
      <c r="I311" s="18">
        <v>1</v>
      </c>
      <c r="J311" s="20">
        <f t="shared" si="40"/>
        <v>11.6</v>
      </c>
    </row>
    <row r="312" spans="2:10" hidden="1" outlineLevel="1">
      <c r="B312" s="14"/>
      <c r="C312" s="17" t="s">
        <v>71</v>
      </c>
      <c r="D312" s="18">
        <v>12.1</v>
      </c>
      <c r="E312" s="18" t="s">
        <v>0</v>
      </c>
      <c r="F312" s="18">
        <f t="shared" si="37"/>
        <v>4</v>
      </c>
      <c r="G312" s="19">
        <f t="shared" si="38"/>
        <v>48.4</v>
      </c>
      <c r="H312" s="20">
        <f t="shared" si="39"/>
        <v>12.1</v>
      </c>
      <c r="I312" s="18">
        <v>1</v>
      </c>
      <c r="J312" s="20">
        <f t="shared" si="40"/>
        <v>48.4</v>
      </c>
    </row>
    <row r="313" spans="2:10" hidden="1" outlineLevel="1">
      <c r="B313" s="14"/>
      <c r="C313" s="17" t="s">
        <v>72</v>
      </c>
      <c r="D313" s="18">
        <v>2.65</v>
      </c>
      <c r="E313" s="18" t="s">
        <v>0</v>
      </c>
      <c r="F313" s="18">
        <f t="shared" si="37"/>
        <v>4</v>
      </c>
      <c r="G313" s="19">
        <f t="shared" ref="G313:G320" si="41">PRODUCT(D313,E313,F313)</f>
        <v>10.6</v>
      </c>
      <c r="H313" s="20">
        <f t="shared" si="39"/>
        <v>5.3</v>
      </c>
      <c r="I313" s="18">
        <v>2</v>
      </c>
      <c r="J313" s="20">
        <f t="shared" si="40"/>
        <v>21.2</v>
      </c>
    </row>
    <row r="314" spans="2:10" hidden="1" outlineLevel="1">
      <c r="B314" s="14"/>
      <c r="C314" s="17" t="s">
        <v>73</v>
      </c>
      <c r="D314" s="18">
        <v>6.95</v>
      </c>
      <c r="E314" s="18" t="s">
        <v>0</v>
      </c>
      <c r="F314" s="18">
        <f t="shared" si="37"/>
        <v>4</v>
      </c>
      <c r="G314" s="19">
        <f t="shared" si="41"/>
        <v>27.8</v>
      </c>
      <c r="H314" s="20">
        <f t="shared" si="39"/>
        <v>6.95</v>
      </c>
      <c r="I314" s="18">
        <v>1</v>
      </c>
      <c r="J314" s="20">
        <f t="shared" si="40"/>
        <v>27.8</v>
      </c>
    </row>
    <row r="315" spans="2:10" hidden="1" outlineLevel="1">
      <c r="B315" s="14"/>
      <c r="C315" s="17" t="s">
        <v>74</v>
      </c>
      <c r="D315" s="18">
        <v>3.65</v>
      </c>
      <c r="E315" s="18" t="s">
        <v>0</v>
      </c>
      <c r="F315" s="18">
        <f t="shared" si="37"/>
        <v>4</v>
      </c>
      <c r="G315" s="19">
        <f>PRODUCT(D315,E315,F315)</f>
        <v>14.6</v>
      </c>
      <c r="H315" s="20">
        <f t="shared" si="39"/>
        <v>3.65</v>
      </c>
      <c r="I315" s="18">
        <v>1</v>
      </c>
      <c r="J315" s="20">
        <f t="shared" si="40"/>
        <v>14.6</v>
      </c>
    </row>
    <row r="316" spans="2:10" hidden="1" outlineLevel="1">
      <c r="B316" s="14"/>
      <c r="C316" s="17" t="s">
        <v>75</v>
      </c>
      <c r="D316" s="18">
        <v>9.1999999999999993</v>
      </c>
      <c r="E316" s="18" t="s">
        <v>0</v>
      </c>
      <c r="F316" s="18">
        <f t="shared" si="37"/>
        <v>4</v>
      </c>
      <c r="G316" s="19">
        <f t="shared" si="41"/>
        <v>36.799999999999997</v>
      </c>
      <c r="H316" s="20">
        <f t="shared" si="39"/>
        <v>9.1999999999999993</v>
      </c>
      <c r="I316" s="18">
        <v>1</v>
      </c>
      <c r="J316" s="20">
        <f t="shared" si="40"/>
        <v>36.799999999999997</v>
      </c>
    </row>
    <row r="317" spans="2:10" hidden="1" outlineLevel="1">
      <c r="B317" s="14"/>
      <c r="C317" s="17" t="s">
        <v>76</v>
      </c>
      <c r="D317" s="18">
        <v>6.8</v>
      </c>
      <c r="E317" s="18" t="s">
        <v>0</v>
      </c>
      <c r="F317" s="18">
        <f t="shared" si="37"/>
        <v>4</v>
      </c>
      <c r="G317" s="19">
        <f>PRODUCT(D317,E317,F317)</f>
        <v>27.2</v>
      </c>
      <c r="H317" s="20">
        <f t="shared" si="39"/>
        <v>6.8</v>
      </c>
      <c r="I317" s="18">
        <v>1</v>
      </c>
      <c r="J317" s="20">
        <f t="shared" si="40"/>
        <v>27.2</v>
      </c>
    </row>
    <row r="318" spans="2:10" hidden="1" outlineLevel="1">
      <c r="B318" s="14"/>
      <c r="C318" s="17" t="s">
        <v>144</v>
      </c>
      <c r="D318" s="18">
        <v>5.55</v>
      </c>
      <c r="E318" s="18" t="s">
        <v>0</v>
      </c>
      <c r="F318" s="18">
        <f t="shared" si="37"/>
        <v>4</v>
      </c>
      <c r="G318" s="19">
        <f t="shared" si="41"/>
        <v>22.2</v>
      </c>
      <c r="H318" s="20">
        <f t="shared" si="39"/>
        <v>5.55</v>
      </c>
      <c r="I318" s="18">
        <v>1</v>
      </c>
      <c r="J318" s="20">
        <f t="shared" si="40"/>
        <v>22.2</v>
      </c>
    </row>
    <row r="319" spans="2:10" hidden="1" outlineLevel="1">
      <c r="B319" s="14"/>
      <c r="C319" s="17" t="s">
        <v>145</v>
      </c>
      <c r="D319" s="18">
        <v>15.75</v>
      </c>
      <c r="E319" s="18" t="s">
        <v>0</v>
      </c>
      <c r="F319" s="18">
        <f t="shared" si="37"/>
        <v>4</v>
      </c>
      <c r="G319" s="19">
        <f>PRODUCT(D319,E319,F319)</f>
        <v>63</v>
      </c>
      <c r="H319" s="20">
        <f t="shared" si="39"/>
        <v>15.75</v>
      </c>
      <c r="I319" s="18">
        <v>1</v>
      </c>
      <c r="J319" s="20">
        <f t="shared" si="40"/>
        <v>63</v>
      </c>
    </row>
    <row r="320" spans="2:10" hidden="1" outlineLevel="1">
      <c r="B320" s="14"/>
      <c r="C320" s="17" t="s">
        <v>146</v>
      </c>
      <c r="D320" s="18">
        <v>8.1</v>
      </c>
      <c r="E320" s="18" t="s">
        <v>0</v>
      </c>
      <c r="F320" s="18">
        <f t="shared" si="37"/>
        <v>4</v>
      </c>
      <c r="G320" s="19">
        <f t="shared" si="41"/>
        <v>32.4</v>
      </c>
      <c r="H320" s="20">
        <f t="shared" si="39"/>
        <v>8.1</v>
      </c>
      <c r="I320" s="18">
        <v>1</v>
      </c>
      <c r="J320" s="20">
        <f t="shared" si="40"/>
        <v>32.4</v>
      </c>
    </row>
    <row r="321" spans="2:10" hidden="1" outlineLevel="1">
      <c r="B321" s="14"/>
      <c r="C321" s="17" t="s">
        <v>147</v>
      </c>
      <c r="D321" s="18">
        <v>4.8499999999999996</v>
      </c>
      <c r="E321" s="18" t="s">
        <v>0</v>
      </c>
      <c r="F321" s="18">
        <f t="shared" si="37"/>
        <v>4</v>
      </c>
      <c r="G321" s="19">
        <f t="shared" si="38"/>
        <v>19.399999999999999</v>
      </c>
      <c r="H321" s="20">
        <f t="shared" si="39"/>
        <v>4.8499999999999996</v>
      </c>
      <c r="I321" s="18">
        <v>1</v>
      </c>
      <c r="J321" s="20">
        <f t="shared" si="40"/>
        <v>19.399999999999999</v>
      </c>
    </row>
    <row r="322" spans="2:10" collapsed="1">
      <c r="B322" s="14"/>
      <c r="C322" s="24" t="s">
        <v>151</v>
      </c>
      <c r="D322" s="18"/>
      <c r="E322" s="18"/>
      <c r="F322" s="18" t="s">
        <v>0</v>
      </c>
      <c r="G322" s="19"/>
      <c r="H322" s="20"/>
      <c r="I322" s="18"/>
      <c r="J322" s="15">
        <f>SUM(J323:J328)</f>
        <v>455.8</v>
      </c>
    </row>
    <row r="323" spans="2:10" hidden="1" outlineLevel="1">
      <c r="B323" s="14"/>
      <c r="C323" s="17" t="s">
        <v>12</v>
      </c>
      <c r="D323" s="18">
        <v>6.25</v>
      </c>
      <c r="E323" s="18" t="s">
        <v>0</v>
      </c>
      <c r="F323" s="18">
        <f t="shared" ref="F323:F328" si="42">$F$262</f>
        <v>4</v>
      </c>
      <c r="G323" s="19">
        <f t="shared" ref="G323:G328" si="43">PRODUCT(D323,E323,F323)</f>
        <v>25</v>
      </c>
      <c r="H323" s="20">
        <f t="shared" ref="H323:H328" si="44">D323*I323</f>
        <v>25</v>
      </c>
      <c r="I323" s="18">
        <v>4</v>
      </c>
      <c r="J323" s="20">
        <f t="shared" ref="J323:J328" si="45">IF(G323&gt;0,G323*I323,H323*I323)</f>
        <v>100</v>
      </c>
    </row>
    <row r="324" spans="2:10" hidden="1" outlineLevel="1">
      <c r="B324" s="14"/>
      <c r="C324" s="17" t="s">
        <v>13</v>
      </c>
      <c r="D324" s="18">
        <v>2.5</v>
      </c>
      <c r="E324" s="18" t="s">
        <v>0</v>
      </c>
      <c r="F324" s="18">
        <f t="shared" si="42"/>
        <v>4</v>
      </c>
      <c r="G324" s="19">
        <f t="shared" si="43"/>
        <v>10</v>
      </c>
      <c r="H324" s="20">
        <f t="shared" si="44"/>
        <v>10</v>
      </c>
      <c r="I324" s="18">
        <v>4</v>
      </c>
      <c r="J324" s="20">
        <f t="shared" si="45"/>
        <v>40</v>
      </c>
    </row>
    <row r="325" spans="2:10" hidden="1" outlineLevel="1">
      <c r="B325" s="14"/>
      <c r="C325" s="17" t="s">
        <v>24</v>
      </c>
      <c r="D325" s="18">
        <v>6.9</v>
      </c>
      <c r="E325" s="18" t="s">
        <v>0</v>
      </c>
      <c r="F325" s="18">
        <f t="shared" si="42"/>
        <v>4</v>
      </c>
      <c r="G325" s="19">
        <f t="shared" si="43"/>
        <v>27.6</v>
      </c>
      <c r="H325" s="20">
        <f t="shared" si="44"/>
        <v>13.8</v>
      </c>
      <c r="I325" s="18">
        <v>2</v>
      </c>
      <c r="J325" s="20">
        <f t="shared" si="45"/>
        <v>55.2</v>
      </c>
    </row>
    <row r="326" spans="2:10" hidden="1" outlineLevel="1">
      <c r="B326" s="14"/>
      <c r="C326" s="17" t="s">
        <v>25</v>
      </c>
      <c r="D326" s="18">
        <v>39.35</v>
      </c>
      <c r="E326" s="18" t="s">
        <v>0</v>
      </c>
      <c r="F326" s="18">
        <f t="shared" si="42"/>
        <v>4</v>
      </c>
      <c r="G326" s="19">
        <f t="shared" si="43"/>
        <v>157.4</v>
      </c>
      <c r="H326" s="20">
        <f t="shared" si="44"/>
        <v>39.35</v>
      </c>
      <c r="I326" s="18">
        <v>1</v>
      </c>
      <c r="J326" s="20">
        <f t="shared" si="45"/>
        <v>157.4</v>
      </c>
    </row>
    <row r="327" spans="2:10" hidden="1" outlineLevel="1">
      <c r="B327" s="14"/>
      <c r="C327" s="17" t="s">
        <v>26</v>
      </c>
      <c r="D327" s="18">
        <v>3</v>
      </c>
      <c r="E327" s="18" t="s">
        <v>0</v>
      </c>
      <c r="F327" s="18">
        <f t="shared" si="42"/>
        <v>4</v>
      </c>
      <c r="G327" s="19">
        <f t="shared" si="43"/>
        <v>12</v>
      </c>
      <c r="H327" s="20">
        <f t="shared" si="44"/>
        <v>6</v>
      </c>
      <c r="I327" s="18">
        <v>2</v>
      </c>
      <c r="J327" s="20">
        <f t="shared" si="45"/>
        <v>24</v>
      </c>
    </row>
    <row r="328" spans="2:10" hidden="1" outlineLevel="1">
      <c r="B328" s="14"/>
      <c r="C328" s="17" t="s">
        <v>27</v>
      </c>
      <c r="D328" s="18">
        <v>9.9</v>
      </c>
      <c r="E328" s="18" t="s">
        <v>0</v>
      </c>
      <c r="F328" s="18">
        <f t="shared" si="42"/>
        <v>4</v>
      </c>
      <c r="G328" s="19">
        <f t="shared" si="43"/>
        <v>39.6</v>
      </c>
      <c r="H328" s="20">
        <f t="shared" si="44"/>
        <v>19.8</v>
      </c>
      <c r="I328" s="18">
        <v>2</v>
      </c>
      <c r="J328" s="20">
        <f t="shared" si="45"/>
        <v>79.2</v>
      </c>
    </row>
    <row r="329" spans="2:10" collapsed="1"/>
    <row r="330" spans="2:10">
      <c r="B330" s="14" t="s">
        <v>149</v>
      </c>
      <c r="C330" s="1004" t="s">
        <v>150</v>
      </c>
      <c r="D330" s="1004"/>
      <c r="E330" s="1004"/>
      <c r="F330" s="1004"/>
      <c r="G330" s="1004"/>
      <c r="H330" s="1004"/>
      <c r="I330" s="1004"/>
      <c r="J330" s="15"/>
    </row>
    <row r="331" spans="2:10">
      <c r="B331" s="14"/>
      <c r="C331" s="24" t="s">
        <v>77</v>
      </c>
      <c r="D331" s="18"/>
      <c r="E331" s="18"/>
      <c r="F331" s="18"/>
      <c r="G331" s="19"/>
      <c r="H331" s="20"/>
      <c r="I331" s="18"/>
      <c r="J331" s="23">
        <f>SUM(J332:J378)</f>
        <v>2813.8000000000006</v>
      </c>
    </row>
    <row r="332" spans="2:10" hidden="1" outlineLevel="1">
      <c r="B332" s="14"/>
      <c r="C332" s="17" t="s">
        <v>10</v>
      </c>
      <c r="D332" s="18">
        <v>15</v>
      </c>
      <c r="E332" s="18" t="s">
        <v>0</v>
      </c>
      <c r="F332" s="18">
        <f>$I$12</f>
        <v>4</v>
      </c>
      <c r="G332" s="19">
        <f>PRODUCT(D332,E332,F332)</f>
        <v>60</v>
      </c>
      <c r="H332" s="20">
        <f t="shared" ref="H332:H347" si="46">D332*I332</f>
        <v>15</v>
      </c>
      <c r="I332" s="18">
        <v>1</v>
      </c>
      <c r="J332" s="20">
        <f t="shared" ref="J332:J347" si="47">IF(G332&gt;0,G332*I332,H332*I332)</f>
        <v>60</v>
      </c>
    </row>
    <row r="333" spans="2:10" hidden="1" outlineLevel="1">
      <c r="B333" s="14"/>
      <c r="C333" s="17" t="s">
        <v>131</v>
      </c>
      <c r="D333" s="18">
        <v>5.3</v>
      </c>
      <c r="E333" s="18" t="s">
        <v>0</v>
      </c>
      <c r="F333" s="18">
        <f>$F$332</f>
        <v>4</v>
      </c>
      <c r="G333" s="19">
        <f t="shared" ref="G333:G347" si="48">PRODUCT(D333,E333,F333)</f>
        <v>21.2</v>
      </c>
      <c r="H333" s="20">
        <f t="shared" si="46"/>
        <v>5.3</v>
      </c>
      <c r="I333" s="18">
        <v>1</v>
      </c>
      <c r="J333" s="20">
        <f t="shared" si="47"/>
        <v>21.2</v>
      </c>
    </row>
    <row r="334" spans="2:10" hidden="1" outlineLevel="1">
      <c r="B334" s="14"/>
      <c r="C334" s="17" t="s">
        <v>132</v>
      </c>
      <c r="D334" s="18">
        <v>10.75</v>
      </c>
      <c r="E334" s="18" t="s">
        <v>0</v>
      </c>
      <c r="F334" s="18">
        <f t="shared" ref="F334:F384" si="49">$F$332</f>
        <v>4</v>
      </c>
      <c r="G334" s="19">
        <f t="shared" si="48"/>
        <v>43</v>
      </c>
      <c r="H334" s="20">
        <f t="shared" si="46"/>
        <v>10.75</v>
      </c>
      <c r="I334" s="18">
        <v>1</v>
      </c>
      <c r="J334" s="20">
        <f t="shared" si="47"/>
        <v>43</v>
      </c>
    </row>
    <row r="335" spans="2:10" hidden="1" outlineLevel="1">
      <c r="B335" s="14"/>
      <c r="C335" s="17" t="s">
        <v>133</v>
      </c>
      <c r="D335" s="18">
        <v>8.1999999999999993</v>
      </c>
      <c r="E335" s="18" t="s">
        <v>0</v>
      </c>
      <c r="F335" s="18">
        <f t="shared" si="49"/>
        <v>4</v>
      </c>
      <c r="G335" s="19">
        <f t="shared" si="48"/>
        <v>32.799999999999997</v>
      </c>
      <c r="H335" s="20">
        <f t="shared" si="46"/>
        <v>8.1999999999999993</v>
      </c>
      <c r="I335" s="18">
        <v>1</v>
      </c>
      <c r="J335" s="20">
        <f t="shared" si="47"/>
        <v>32.799999999999997</v>
      </c>
    </row>
    <row r="336" spans="2:10" hidden="1" outlineLevel="1">
      <c r="B336" s="14"/>
      <c r="C336" s="17" t="s">
        <v>134</v>
      </c>
      <c r="D336" s="18">
        <v>3.2</v>
      </c>
      <c r="E336" s="18" t="s">
        <v>0</v>
      </c>
      <c r="F336" s="18">
        <f t="shared" si="49"/>
        <v>4</v>
      </c>
      <c r="G336" s="19">
        <f t="shared" si="48"/>
        <v>12.8</v>
      </c>
      <c r="H336" s="20">
        <f t="shared" si="46"/>
        <v>19.200000000000003</v>
      </c>
      <c r="I336" s="18">
        <v>6</v>
      </c>
      <c r="J336" s="20">
        <f t="shared" si="47"/>
        <v>76.800000000000011</v>
      </c>
    </row>
    <row r="337" spans="2:10" hidden="1" outlineLevel="1">
      <c r="B337" s="14"/>
      <c r="C337" s="17" t="s">
        <v>135</v>
      </c>
      <c r="D337" s="18">
        <v>3.8</v>
      </c>
      <c r="E337" s="18" t="s">
        <v>0</v>
      </c>
      <c r="F337" s="18">
        <f t="shared" si="49"/>
        <v>4</v>
      </c>
      <c r="G337" s="19">
        <f t="shared" si="48"/>
        <v>15.2</v>
      </c>
      <c r="H337" s="20">
        <f t="shared" si="46"/>
        <v>3.8</v>
      </c>
      <c r="I337" s="18">
        <v>1</v>
      </c>
      <c r="J337" s="20">
        <f t="shared" si="47"/>
        <v>15.2</v>
      </c>
    </row>
    <row r="338" spans="2:10" hidden="1" outlineLevel="1">
      <c r="B338" s="14"/>
      <c r="C338" s="17" t="s">
        <v>136</v>
      </c>
      <c r="D338" s="18">
        <v>0</v>
      </c>
      <c r="E338" s="18" t="s">
        <v>0</v>
      </c>
      <c r="F338" s="18">
        <f t="shared" si="49"/>
        <v>4</v>
      </c>
      <c r="G338" s="19">
        <f t="shared" si="48"/>
        <v>0</v>
      </c>
      <c r="H338" s="20">
        <f t="shared" si="46"/>
        <v>0</v>
      </c>
      <c r="I338" s="18">
        <v>1</v>
      </c>
      <c r="J338" s="20">
        <f t="shared" si="47"/>
        <v>0</v>
      </c>
    </row>
    <row r="339" spans="2:10" hidden="1" outlineLevel="1">
      <c r="B339" s="14"/>
      <c r="C339" s="17" t="s">
        <v>137</v>
      </c>
      <c r="D339" s="18">
        <v>4.25</v>
      </c>
      <c r="E339" s="18" t="s">
        <v>0</v>
      </c>
      <c r="F339" s="18">
        <f t="shared" si="49"/>
        <v>4</v>
      </c>
      <c r="G339" s="19">
        <f t="shared" si="48"/>
        <v>17</v>
      </c>
      <c r="H339" s="20">
        <f t="shared" si="46"/>
        <v>8.5</v>
      </c>
      <c r="I339" s="18">
        <v>2</v>
      </c>
      <c r="J339" s="20">
        <f t="shared" si="47"/>
        <v>34</v>
      </c>
    </row>
    <row r="340" spans="2:10" hidden="1" outlineLevel="1">
      <c r="B340" s="14"/>
      <c r="C340" s="17" t="s">
        <v>11</v>
      </c>
      <c r="D340" s="18">
        <v>23.75</v>
      </c>
      <c r="E340" s="18" t="s">
        <v>0</v>
      </c>
      <c r="F340" s="18">
        <f t="shared" si="49"/>
        <v>4</v>
      </c>
      <c r="G340" s="19">
        <f t="shared" si="48"/>
        <v>95</v>
      </c>
      <c r="H340" s="20">
        <f t="shared" si="46"/>
        <v>23.75</v>
      </c>
      <c r="I340" s="18">
        <v>1</v>
      </c>
      <c r="J340" s="20">
        <f t="shared" si="47"/>
        <v>95</v>
      </c>
    </row>
    <row r="341" spans="2:10" hidden="1" outlineLevel="1">
      <c r="B341" s="14"/>
      <c r="C341" s="17" t="s">
        <v>138</v>
      </c>
      <c r="D341" s="18">
        <v>15.85</v>
      </c>
      <c r="E341" s="18" t="s">
        <v>0</v>
      </c>
      <c r="F341" s="18">
        <f t="shared" si="49"/>
        <v>4</v>
      </c>
      <c r="G341" s="19">
        <f t="shared" si="48"/>
        <v>63.4</v>
      </c>
      <c r="H341" s="20">
        <f t="shared" si="46"/>
        <v>47.55</v>
      </c>
      <c r="I341" s="18">
        <v>3</v>
      </c>
      <c r="J341" s="20">
        <f t="shared" si="47"/>
        <v>190.2</v>
      </c>
    </row>
    <row r="342" spans="2:10" hidden="1" outlineLevel="1">
      <c r="B342" s="14"/>
      <c r="C342" s="17" t="s">
        <v>139</v>
      </c>
      <c r="D342" s="18">
        <v>18</v>
      </c>
      <c r="E342" s="18" t="s">
        <v>0</v>
      </c>
      <c r="F342" s="18">
        <f t="shared" si="49"/>
        <v>4</v>
      </c>
      <c r="G342" s="19">
        <f t="shared" si="48"/>
        <v>72</v>
      </c>
      <c r="H342" s="20">
        <f t="shared" si="46"/>
        <v>18</v>
      </c>
      <c r="I342" s="18">
        <v>1</v>
      </c>
      <c r="J342" s="20">
        <f t="shared" si="47"/>
        <v>72</v>
      </c>
    </row>
    <row r="343" spans="2:10" hidden="1" outlineLevel="1">
      <c r="B343" s="14"/>
      <c r="C343" s="17" t="s">
        <v>140</v>
      </c>
      <c r="D343" s="18">
        <v>3.05</v>
      </c>
      <c r="E343" s="18" t="s">
        <v>0</v>
      </c>
      <c r="F343" s="18">
        <f t="shared" si="49"/>
        <v>4</v>
      </c>
      <c r="G343" s="19">
        <f t="shared" si="48"/>
        <v>12.2</v>
      </c>
      <c r="H343" s="20">
        <f t="shared" si="46"/>
        <v>6.1</v>
      </c>
      <c r="I343" s="18">
        <v>2</v>
      </c>
      <c r="J343" s="20">
        <f t="shared" si="47"/>
        <v>24.4</v>
      </c>
    </row>
    <row r="344" spans="2:10" hidden="1" outlineLevel="1">
      <c r="B344" s="14"/>
      <c r="C344" s="17" t="s">
        <v>141</v>
      </c>
      <c r="D344" s="18">
        <v>12.8</v>
      </c>
      <c r="E344" s="18" t="s">
        <v>0</v>
      </c>
      <c r="F344" s="18">
        <f t="shared" si="49"/>
        <v>4</v>
      </c>
      <c r="G344" s="19">
        <f t="shared" si="48"/>
        <v>51.2</v>
      </c>
      <c r="H344" s="20">
        <f t="shared" si="46"/>
        <v>12.8</v>
      </c>
      <c r="I344" s="18">
        <v>1</v>
      </c>
      <c r="J344" s="20">
        <f t="shared" si="47"/>
        <v>51.2</v>
      </c>
    </row>
    <row r="345" spans="2:10" hidden="1" outlineLevel="1">
      <c r="B345" s="14"/>
      <c r="C345" s="17" t="s">
        <v>142</v>
      </c>
      <c r="D345" s="18">
        <v>3.05</v>
      </c>
      <c r="E345" s="18" t="s">
        <v>0</v>
      </c>
      <c r="F345" s="18">
        <f t="shared" si="49"/>
        <v>4</v>
      </c>
      <c r="G345" s="19">
        <f t="shared" si="48"/>
        <v>12.2</v>
      </c>
      <c r="H345" s="20">
        <f t="shared" si="46"/>
        <v>6.1</v>
      </c>
      <c r="I345" s="18">
        <v>2</v>
      </c>
      <c r="J345" s="20">
        <f t="shared" si="47"/>
        <v>24.4</v>
      </c>
    </row>
    <row r="346" spans="2:10" hidden="1" outlineLevel="1">
      <c r="B346" s="14"/>
      <c r="C346" s="17" t="s">
        <v>143</v>
      </c>
      <c r="D346" s="18">
        <v>1.8</v>
      </c>
      <c r="E346" s="18" t="s">
        <v>0</v>
      </c>
      <c r="F346" s="18">
        <f t="shared" si="49"/>
        <v>4</v>
      </c>
      <c r="G346" s="19">
        <f t="shared" si="48"/>
        <v>7.2</v>
      </c>
      <c r="H346" s="20">
        <f t="shared" si="46"/>
        <v>1.8</v>
      </c>
      <c r="I346" s="18">
        <v>1</v>
      </c>
      <c r="J346" s="20">
        <f t="shared" si="47"/>
        <v>7.2</v>
      </c>
    </row>
    <row r="347" spans="2:10" hidden="1" outlineLevel="1">
      <c r="B347" s="14"/>
      <c r="C347" s="17" t="s">
        <v>148</v>
      </c>
      <c r="D347" s="18">
        <v>12.25</v>
      </c>
      <c r="E347" s="18" t="s">
        <v>0</v>
      </c>
      <c r="F347" s="18">
        <f t="shared" si="49"/>
        <v>4</v>
      </c>
      <c r="G347" s="19">
        <f t="shared" si="48"/>
        <v>49</v>
      </c>
      <c r="H347" s="20">
        <f t="shared" si="46"/>
        <v>12.25</v>
      </c>
      <c r="I347" s="18">
        <v>1</v>
      </c>
      <c r="J347" s="20">
        <f t="shared" si="47"/>
        <v>49</v>
      </c>
    </row>
    <row r="348" spans="2:10" hidden="1" outlineLevel="1">
      <c r="B348" s="14"/>
      <c r="C348" s="17"/>
      <c r="D348" s="18"/>
      <c r="E348" s="18"/>
      <c r="F348" s="18" t="s">
        <v>0</v>
      </c>
      <c r="G348" s="19"/>
      <c r="H348" s="20"/>
      <c r="I348" s="18"/>
      <c r="J348" s="20"/>
    </row>
    <row r="349" spans="2:10" hidden="1" outlineLevel="1">
      <c r="B349" s="14"/>
      <c r="C349" s="17" t="s">
        <v>37</v>
      </c>
      <c r="D349" s="18">
        <v>11.75</v>
      </c>
      <c r="E349" s="18" t="s">
        <v>0</v>
      </c>
      <c r="F349" s="18">
        <f t="shared" si="49"/>
        <v>4</v>
      </c>
      <c r="G349" s="19">
        <f t="shared" ref="G349:G378" si="50">PRODUCT(D349,E349,F349)</f>
        <v>47</v>
      </c>
      <c r="H349" s="20">
        <f t="shared" ref="H349:H378" si="51">D349*I349</f>
        <v>11.75</v>
      </c>
      <c r="I349" s="18">
        <v>1</v>
      </c>
      <c r="J349" s="20">
        <f t="shared" ref="J349:J378" si="52">IF(G349&gt;0,G349*I349,H349*I349)</f>
        <v>47</v>
      </c>
    </row>
    <row r="350" spans="2:10" hidden="1" outlineLevel="1">
      <c r="B350" s="14"/>
      <c r="C350" s="17" t="s">
        <v>38</v>
      </c>
      <c r="D350" s="18">
        <v>10.95</v>
      </c>
      <c r="E350" s="18" t="s">
        <v>0</v>
      </c>
      <c r="F350" s="18">
        <f t="shared" si="49"/>
        <v>4</v>
      </c>
      <c r="G350" s="19">
        <f t="shared" si="50"/>
        <v>43.8</v>
      </c>
      <c r="H350" s="20">
        <f t="shared" si="51"/>
        <v>10.95</v>
      </c>
      <c r="I350" s="18">
        <v>1</v>
      </c>
      <c r="J350" s="20">
        <f t="shared" si="52"/>
        <v>43.8</v>
      </c>
    </row>
    <row r="351" spans="2:10" hidden="1" outlineLevel="1">
      <c r="B351" s="14"/>
      <c r="C351" s="17" t="s">
        <v>39</v>
      </c>
      <c r="D351" s="18">
        <v>16.100000000000001</v>
      </c>
      <c r="E351" s="18" t="s">
        <v>0</v>
      </c>
      <c r="F351" s="18">
        <f t="shared" si="49"/>
        <v>4</v>
      </c>
      <c r="G351" s="19">
        <f t="shared" si="50"/>
        <v>64.400000000000006</v>
      </c>
      <c r="H351" s="20">
        <f t="shared" si="51"/>
        <v>16.100000000000001</v>
      </c>
      <c r="I351" s="18">
        <v>1</v>
      </c>
      <c r="J351" s="20">
        <f t="shared" si="52"/>
        <v>64.400000000000006</v>
      </c>
    </row>
    <row r="352" spans="2:10" hidden="1" outlineLevel="1">
      <c r="B352" s="14"/>
      <c r="C352" s="17" t="s">
        <v>40</v>
      </c>
      <c r="D352" s="18">
        <v>7.4</v>
      </c>
      <c r="E352" s="18" t="s">
        <v>0</v>
      </c>
      <c r="F352" s="18">
        <f t="shared" si="49"/>
        <v>4</v>
      </c>
      <c r="G352" s="19">
        <f t="shared" si="50"/>
        <v>29.6</v>
      </c>
      <c r="H352" s="20">
        <f t="shared" si="51"/>
        <v>7.4</v>
      </c>
      <c r="I352" s="18">
        <v>1</v>
      </c>
      <c r="J352" s="20">
        <f t="shared" si="52"/>
        <v>29.6</v>
      </c>
    </row>
    <row r="353" spans="2:10" hidden="1" outlineLevel="1">
      <c r="B353" s="14"/>
      <c r="C353" s="17" t="s">
        <v>41</v>
      </c>
      <c r="D353" s="18">
        <v>5</v>
      </c>
      <c r="E353" s="18" t="s">
        <v>0</v>
      </c>
      <c r="F353" s="18">
        <f t="shared" si="49"/>
        <v>4</v>
      </c>
      <c r="G353" s="19">
        <f t="shared" si="50"/>
        <v>20</v>
      </c>
      <c r="H353" s="20">
        <f t="shared" si="51"/>
        <v>5</v>
      </c>
      <c r="I353" s="18">
        <v>1</v>
      </c>
      <c r="J353" s="20">
        <f t="shared" si="52"/>
        <v>20</v>
      </c>
    </row>
    <row r="354" spans="2:10" hidden="1" outlineLevel="1">
      <c r="B354" s="14"/>
      <c r="C354" s="17" t="s">
        <v>42</v>
      </c>
      <c r="D354" s="18">
        <v>13.3</v>
      </c>
      <c r="E354" s="18" t="s">
        <v>0</v>
      </c>
      <c r="F354" s="18">
        <f t="shared" si="49"/>
        <v>4</v>
      </c>
      <c r="G354" s="19">
        <f t="shared" si="50"/>
        <v>53.2</v>
      </c>
      <c r="H354" s="20">
        <f t="shared" si="51"/>
        <v>13.3</v>
      </c>
      <c r="I354" s="18">
        <v>1</v>
      </c>
      <c r="J354" s="20">
        <f t="shared" si="52"/>
        <v>53.2</v>
      </c>
    </row>
    <row r="355" spans="2:10" hidden="1" outlineLevel="1">
      <c r="B355" s="14"/>
      <c r="C355" s="17" t="s">
        <v>43</v>
      </c>
      <c r="D355" s="18">
        <v>7.15</v>
      </c>
      <c r="E355" s="18" t="s">
        <v>0</v>
      </c>
      <c r="F355" s="18">
        <f t="shared" si="49"/>
        <v>4</v>
      </c>
      <c r="G355" s="19">
        <f t="shared" si="50"/>
        <v>28.6</v>
      </c>
      <c r="H355" s="20">
        <f t="shared" si="51"/>
        <v>14.3</v>
      </c>
      <c r="I355" s="18">
        <v>2</v>
      </c>
      <c r="J355" s="20">
        <f t="shared" si="52"/>
        <v>57.2</v>
      </c>
    </row>
    <row r="356" spans="2:10" hidden="1" outlineLevel="1">
      <c r="B356" s="14"/>
      <c r="C356" s="17" t="s">
        <v>44</v>
      </c>
      <c r="D356" s="18">
        <v>4.2</v>
      </c>
      <c r="E356" s="18" t="s">
        <v>0</v>
      </c>
      <c r="F356" s="18">
        <f t="shared" si="49"/>
        <v>4</v>
      </c>
      <c r="G356" s="19">
        <f t="shared" si="50"/>
        <v>16.8</v>
      </c>
      <c r="H356" s="20">
        <f t="shared" si="51"/>
        <v>16.8</v>
      </c>
      <c r="I356" s="18">
        <v>4</v>
      </c>
      <c r="J356" s="20">
        <f t="shared" si="52"/>
        <v>67.2</v>
      </c>
    </row>
    <row r="357" spans="2:10" hidden="1" outlineLevel="1">
      <c r="B357" s="14"/>
      <c r="C357" s="17" t="s">
        <v>45</v>
      </c>
      <c r="D357" s="18">
        <v>6.7</v>
      </c>
      <c r="E357" s="18" t="s">
        <v>0</v>
      </c>
      <c r="F357" s="18">
        <f t="shared" si="49"/>
        <v>4</v>
      </c>
      <c r="G357" s="19">
        <f t="shared" si="50"/>
        <v>26.8</v>
      </c>
      <c r="H357" s="20">
        <f t="shared" si="51"/>
        <v>6.7</v>
      </c>
      <c r="I357" s="18">
        <v>1</v>
      </c>
      <c r="J357" s="20">
        <f t="shared" si="52"/>
        <v>26.8</v>
      </c>
    </row>
    <row r="358" spans="2:10" hidden="1" outlineLevel="1">
      <c r="B358" s="14"/>
      <c r="C358" s="17" t="s">
        <v>46</v>
      </c>
      <c r="D358" s="18">
        <v>4.0999999999999996</v>
      </c>
      <c r="E358" s="18" t="s">
        <v>0</v>
      </c>
      <c r="F358" s="18">
        <f t="shared" si="49"/>
        <v>4</v>
      </c>
      <c r="G358" s="19">
        <f t="shared" si="50"/>
        <v>16.399999999999999</v>
      </c>
      <c r="H358" s="20">
        <f t="shared" si="51"/>
        <v>4.0999999999999996</v>
      </c>
      <c r="I358" s="18">
        <v>1</v>
      </c>
      <c r="J358" s="20">
        <f t="shared" si="52"/>
        <v>16.399999999999999</v>
      </c>
    </row>
    <row r="359" spans="2:10" hidden="1" outlineLevel="1">
      <c r="B359" s="14"/>
      <c r="C359" s="17" t="s">
        <v>47</v>
      </c>
      <c r="D359" s="18">
        <v>13.6</v>
      </c>
      <c r="E359" s="18" t="s">
        <v>0</v>
      </c>
      <c r="F359" s="18">
        <f t="shared" si="49"/>
        <v>4</v>
      </c>
      <c r="G359" s="19">
        <f t="shared" si="50"/>
        <v>54.4</v>
      </c>
      <c r="H359" s="20">
        <f t="shared" si="51"/>
        <v>13.6</v>
      </c>
      <c r="I359" s="18">
        <v>1</v>
      </c>
      <c r="J359" s="20">
        <f t="shared" si="52"/>
        <v>54.4</v>
      </c>
    </row>
    <row r="360" spans="2:10" hidden="1" outlineLevel="1">
      <c r="B360" s="14"/>
      <c r="C360" s="17" t="s">
        <v>48</v>
      </c>
      <c r="D360" s="18">
        <v>4.2</v>
      </c>
      <c r="E360" s="18" t="s">
        <v>0</v>
      </c>
      <c r="F360" s="18">
        <f t="shared" si="49"/>
        <v>4</v>
      </c>
      <c r="G360" s="19">
        <f t="shared" si="50"/>
        <v>16.8</v>
      </c>
      <c r="H360" s="20">
        <f t="shared" si="51"/>
        <v>4.2</v>
      </c>
      <c r="I360" s="18">
        <v>1</v>
      </c>
      <c r="J360" s="20">
        <f t="shared" si="52"/>
        <v>16.8</v>
      </c>
    </row>
    <row r="361" spans="2:10" hidden="1" outlineLevel="1">
      <c r="B361" s="14"/>
      <c r="C361" s="17" t="s">
        <v>49</v>
      </c>
      <c r="D361" s="18">
        <v>25</v>
      </c>
      <c r="E361" s="18" t="s">
        <v>0</v>
      </c>
      <c r="F361" s="18">
        <f t="shared" si="49"/>
        <v>4</v>
      </c>
      <c r="G361" s="19">
        <f t="shared" si="50"/>
        <v>100</v>
      </c>
      <c r="H361" s="20">
        <f t="shared" si="51"/>
        <v>100</v>
      </c>
      <c r="I361" s="18">
        <v>4</v>
      </c>
      <c r="J361" s="20">
        <f t="shared" si="52"/>
        <v>400</v>
      </c>
    </row>
    <row r="362" spans="2:10" hidden="1" outlineLevel="1">
      <c r="B362" s="14"/>
      <c r="C362" s="17" t="s">
        <v>50</v>
      </c>
      <c r="D362" s="18">
        <v>3.5</v>
      </c>
      <c r="E362" s="18" t="s">
        <v>0</v>
      </c>
      <c r="F362" s="18">
        <f t="shared" si="49"/>
        <v>4</v>
      </c>
      <c r="G362" s="19">
        <f t="shared" si="50"/>
        <v>14</v>
      </c>
      <c r="H362" s="20">
        <f t="shared" si="51"/>
        <v>14</v>
      </c>
      <c r="I362" s="18">
        <v>4</v>
      </c>
      <c r="J362" s="20">
        <f t="shared" si="52"/>
        <v>56</v>
      </c>
    </row>
    <row r="363" spans="2:10" hidden="1" outlineLevel="1">
      <c r="B363" s="14"/>
      <c r="C363" s="17" t="s">
        <v>51</v>
      </c>
      <c r="D363" s="18">
        <v>4.2</v>
      </c>
      <c r="E363" s="18" t="s">
        <v>0</v>
      </c>
      <c r="F363" s="18">
        <f t="shared" si="49"/>
        <v>4</v>
      </c>
      <c r="G363" s="19">
        <f t="shared" si="50"/>
        <v>16.8</v>
      </c>
      <c r="H363" s="20">
        <f t="shared" si="51"/>
        <v>4.2</v>
      </c>
      <c r="I363" s="18">
        <v>1</v>
      </c>
      <c r="J363" s="20">
        <f t="shared" si="52"/>
        <v>16.8</v>
      </c>
    </row>
    <row r="364" spans="2:10" hidden="1" outlineLevel="1">
      <c r="B364" s="14"/>
      <c r="C364" s="17" t="s">
        <v>52</v>
      </c>
      <c r="D364" s="18">
        <v>2.2999999999999998</v>
      </c>
      <c r="E364" s="18" t="s">
        <v>0</v>
      </c>
      <c r="F364" s="18">
        <f t="shared" si="49"/>
        <v>4</v>
      </c>
      <c r="G364" s="19">
        <f t="shared" si="50"/>
        <v>9.1999999999999993</v>
      </c>
      <c r="H364" s="20">
        <f t="shared" si="51"/>
        <v>11.5</v>
      </c>
      <c r="I364" s="18">
        <v>5</v>
      </c>
      <c r="J364" s="20">
        <f t="shared" si="52"/>
        <v>46</v>
      </c>
    </row>
    <row r="365" spans="2:10" hidden="1" outlineLevel="1">
      <c r="B365" s="14"/>
      <c r="C365" s="26" t="s">
        <v>58</v>
      </c>
      <c r="D365" s="18">
        <v>6.4</v>
      </c>
      <c r="E365" s="18" t="s">
        <v>0</v>
      </c>
      <c r="F365" s="18">
        <f t="shared" si="49"/>
        <v>4</v>
      </c>
      <c r="G365" s="19">
        <f t="shared" si="50"/>
        <v>25.6</v>
      </c>
      <c r="H365" s="20">
        <f t="shared" si="51"/>
        <v>12.8</v>
      </c>
      <c r="I365" s="18">
        <v>2</v>
      </c>
      <c r="J365" s="20">
        <f t="shared" si="52"/>
        <v>51.2</v>
      </c>
    </row>
    <row r="366" spans="2:10" hidden="1" outlineLevel="1">
      <c r="B366" s="14"/>
      <c r="C366" s="17" t="s">
        <v>59</v>
      </c>
      <c r="D366" s="18">
        <v>10.4</v>
      </c>
      <c r="E366" s="18" t="s">
        <v>0</v>
      </c>
      <c r="F366" s="18">
        <f t="shared" si="49"/>
        <v>4</v>
      </c>
      <c r="G366" s="19">
        <f t="shared" si="50"/>
        <v>41.6</v>
      </c>
      <c r="H366" s="20">
        <f t="shared" si="51"/>
        <v>31.200000000000003</v>
      </c>
      <c r="I366" s="18">
        <v>3</v>
      </c>
      <c r="J366" s="20">
        <f t="shared" si="52"/>
        <v>124.80000000000001</v>
      </c>
    </row>
    <row r="367" spans="2:10" hidden="1" outlineLevel="1">
      <c r="B367" s="14"/>
      <c r="C367" s="17" t="s">
        <v>60</v>
      </c>
      <c r="D367" s="18">
        <v>4</v>
      </c>
      <c r="E367" s="18" t="s">
        <v>0</v>
      </c>
      <c r="F367" s="18">
        <f t="shared" si="49"/>
        <v>4</v>
      </c>
      <c r="G367" s="19">
        <f t="shared" si="50"/>
        <v>16</v>
      </c>
      <c r="H367" s="20">
        <f t="shared" si="51"/>
        <v>4</v>
      </c>
      <c r="I367" s="18">
        <v>1</v>
      </c>
      <c r="J367" s="20">
        <f t="shared" si="52"/>
        <v>16</v>
      </c>
    </row>
    <row r="368" spans="2:10" hidden="1" outlineLevel="1">
      <c r="B368" s="14"/>
      <c r="C368" s="17" t="s">
        <v>61</v>
      </c>
      <c r="D368" s="18">
        <v>7.1</v>
      </c>
      <c r="E368" s="18" t="s">
        <v>0</v>
      </c>
      <c r="F368" s="18">
        <f t="shared" si="49"/>
        <v>4</v>
      </c>
      <c r="G368" s="19">
        <f t="shared" si="50"/>
        <v>28.4</v>
      </c>
      <c r="H368" s="20">
        <f t="shared" si="51"/>
        <v>7.1</v>
      </c>
      <c r="I368" s="18">
        <v>1</v>
      </c>
      <c r="J368" s="20">
        <f t="shared" si="52"/>
        <v>28.4</v>
      </c>
    </row>
    <row r="369" spans="2:10" hidden="1" outlineLevel="1">
      <c r="B369" s="14"/>
      <c r="C369" s="17" t="s">
        <v>62</v>
      </c>
      <c r="D369" s="18">
        <v>24.75</v>
      </c>
      <c r="E369" s="18" t="s">
        <v>0</v>
      </c>
      <c r="F369" s="18">
        <f t="shared" si="49"/>
        <v>4</v>
      </c>
      <c r="G369" s="19">
        <f t="shared" si="50"/>
        <v>99</v>
      </c>
      <c r="H369" s="20">
        <f t="shared" si="51"/>
        <v>24.75</v>
      </c>
      <c r="I369" s="18">
        <v>1</v>
      </c>
      <c r="J369" s="20">
        <f t="shared" si="52"/>
        <v>99</v>
      </c>
    </row>
    <row r="370" spans="2:10" hidden="1" outlineLevel="1">
      <c r="B370" s="14"/>
      <c r="C370" s="17" t="s">
        <v>63</v>
      </c>
      <c r="D370" s="18">
        <v>29</v>
      </c>
      <c r="E370" s="18" t="s">
        <v>0</v>
      </c>
      <c r="F370" s="18">
        <f t="shared" si="49"/>
        <v>4</v>
      </c>
      <c r="G370" s="19">
        <f t="shared" si="50"/>
        <v>116</v>
      </c>
      <c r="H370" s="20">
        <f t="shared" si="51"/>
        <v>29</v>
      </c>
      <c r="I370" s="18">
        <v>1</v>
      </c>
      <c r="J370" s="20">
        <f t="shared" si="52"/>
        <v>116</v>
      </c>
    </row>
    <row r="371" spans="2:10" hidden="1" outlineLevel="1">
      <c r="B371" s="14"/>
      <c r="C371" s="17" t="s">
        <v>64</v>
      </c>
      <c r="D371" s="18">
        <v>6.75</v>
      </c>
      <c r="E371" s="18" t="s">
        <v>0</v>
      </c>
      <c r="F371" s="18">
        <f t="shared" si="49"/>
        <v>4</v>
      </c>
      <c r="G371" s="19">
        <f t="shared" si="50"/>
        <v>27</v>
      </c>
      <c r="H371" s="20">
        <f t="shared" si="51"/>
        <v>6.75</v>
      </c>
      <c r="I371" s="18">
        <v>1</v>
      </c>
      <c r="J371" s="20">
        <f t="shared" si="52"/>
        <v>27</v>
      </c>
    </row>
    <row r="372" spans="2:10" hidden="1" outlineLevel="1">
      <c r="B372" s="14"/>
      <c r="C372" s="17" t="s">
        <v>65</v>
      </c>
      <c r="D372" s="18">
        <v>8.75</v>
      </c>
      <c r="E372" s="18" t="s">
        <v>0</v>
      </c>
      <c r="F372" s="18">
        <f t="shared" si="49"/>
        <v>4</v>
      </c>
      <c r="G372" s="19">
        <f t="shared" si="50"/>
        <v>35</v>
      </c>
      <c r="H372" s="20">
        <f t="shared" si="51"/>
        <v>8.75</v>
      </c>
      <c r="I372" s="18">
        <v>1</v>
      </c>
      <c r="J372" s="20">
        <f t="shared" si="52"/>
        <v>35</v>
      </c>
    </row>
    <row r="373" spans="2:10" hidden="1" outlineLevel="1">
      <c r="B373" s="14"/>
      <c r="C373" s="17" t="s">
        <v>66</v>
      </c>
      <c r="D373" s="18">
        <v>3.6</v>
      </c>
      <c r="E373" s="18" t="s">
        <v>0</v>
      </c>
      <c r="F373" s="18">
        <f t="shared" si="49"/>
        <v>4</v>
      </c>
      <c r="G373" s="19">
        <f t="shared" si="50"/>
        <v>14.4</v>
      </c>
      <c r="H373" s="20">
        <f t="shared" si="51"/>
        <v>10.8</v>
      </c>
      <c r="I373" s="18">
        <v>3</v>
      </c>
      <c r="J373" s="20">
        <f t="shared" si="52"/>
        <v>43.2</v>
      </c>
    </row>
    <row r="374" spans="2:10" hidden="1" outlineLevel="1">
      <c r="B374" s="14"/>
      <c r="C374" s="17" t="s">
        <v>67</v>
      </c>
      <c r="D374" s="18">
        <v>3.15</v>
      </c>
      <c r="E374" s="18" t="s">
        <v>0</v>
      </c>
      <c r="F374" s="18">
        <f t="shared" si="49"/>
        <v>4</v>
      </c>
      <c r="G374" s="19">
        <f t="shared" si="50"/>
        <v>12.6</v>
      </c>
      <c r="H374" s="20">
        <f t="shared" si="51"/>
        <v>25.2</v>
      </c>
      <c r="I374" s="18">
        <v>8</v>
      </c>
      <c r="J374" s="20">
        <f t="shared" si="52"/>
        <v>100.8</v>
      </c>
    </row>
    <row r="375" spans="2:10" hidden="1" outlineLevel="1">
      <c r="B375" s="14"/>
      <c r="C375" s="17" t="s">
        <v>69</v>
      </c>
      <c r="D375" s="18">
        <v>6</v>
      </c>
      <c r="E375" s="18" t="s">
        <v>0</v>
      </c>
      <c r="F375" s="18">
        <f t="shared" si="49"/>
        <v>4</v>
      </c>
      <c r="G375" s="19">
        <f t="shared" si="50"/>
        <v>24</v>
      </c>
      <c r="H375" s="20">
        <f t="shared" si="51"/>
        <v>36</v>
      </c>
      <c r="I375" s="18">
        <v>6</v>
      </c>
      <c r="J375" s="20">
        <f t="shared" si="52"/>
        <v>144</v>
      </c>
    </row>
    <row r="376" spans="2:10" hidden="1" outlineLevel="1">
      <c r="B376" s="14"/>
      <c r="C376" s="17" t="s">
        <v>70</v>
      </c>
      <c r="D376" s="18">
        <v>22.25</v>
      </c>
      <c r="E376" s="18" t="s">
        <v>0</v>
      </c>
      <c r="F376" s="18">
        <f t="shared" si="49"/>
        <v>4</v>
      </c>
      <c r="G376" s="19">
        <f t="shared" si="50"/>
        <v>89</v>
      </c>
      <c r="H376" s="20">
        <f t="shared" si="51"/>
        <v>44.5</v>
      </c>
      <c r="I376" s="18">
        <v>2</v>
      </c>
      <c r="J376" s="20">
        <f t="shared" si="52"/>
        <v>178</v>
      </c>
    </row>
    <row r="377" spans="2:10" hidden="1" outlineLevel="1">
      <c r="B377" s="14"/>
      <c r="C377" s="17" t="s">
        <v>71</v>
      </c>
      <c r="D377" s="18">
        <v>3</v>
      </c>
      <c r="E377" s="18" t="s">
        <v>0</v>
      </c>
      <c r="F377" s="18">
        <f t="shared" si="49"/>
        <v>4</v>
      </c>
      <c r="G377" s="19">
        <f t="shared" si="50"/>
        <v>12</v>
      </c>
      <c r="H377" s="20">
        <f t="shared" si="51"/>
        <v>3</v>
      </c>
      <c r="I377" s="18">
        <v>1</v>
      </c>
      <c r="J377" s="20">
        <f t="shared" si="52"/>
        <v>12</v>
      </c>
    </row>
    <row r="378" spans="2:10" hidden="1" outlineLevel="1">
      <c r="B378" s="14"/>
      <c r="C378" s="17" t="s">
        <v>72</v>
      </c>
      <c r="D378" s="18">
        <v>6.6</v>
      </c>
      <c r="E378" s="18" t="s">
        <v>0</v>
      </c>
      <c r="F378" s="18">
        <f t="shared" si="49"/>
        <v>4</v>
      </c>
      <c r="G378" s="19">
        <f t="shared" si="50"/>
        <v>26.4</v>
      </c>
      <c r="H378" s="20">
        <f t="shared" si="51"/>
        <v>6.6</v>
      </c>
      <c r="I378" s="18">
        <v>1</v>
      </c>
      <c r="J378" s="20">
        <f t="shared" si="52"/>
        <v>26.4</v>
      </c>
    </row>
    <row r="379" spans="2:10" collapsed="1">
      <c r="B379" s="14"/>
      <c r="C379" s="24" t="s">
        <v>151</v>
      </c>
      <c r="D379" s="18"/>
      <c r="E379" s="18"/>
      <c r="F379" s="18" t="s">
        <v>0</v>
      </c>
      <c r="G379" s="19"/>
      <c r="H379" s="20"/>
      <c r="I379" s="18"/>
      <c r="J379" s="15">
        <f>SUM(J380:J385)</f>
        <v>455.8</v>
      </c>
    </row>
    <row r="380" spans="2:10" hidden="1" outlineLevel="1">
      <c r="B380" s="14"/>
      <c r="C380" s="17" t="s">
        <v>12</v>
      </c>
      <c r="D380" s="18">
        <v>6.25</v>
      </c>
      <c r="E380" s="18" t="s">
        <v>0</v>
      </c>
      <c r="F380" s="18">
        <f t="shared" si="49"/>
        <v>4</v>
      </c>
      <c r="G380" s="19">
        <f t="shared" ref="G380:G385" si="53">PRODUCT(D380,E380,F380)</f>
        <v>25</v>
      </c>
      <c r="H380" s="20">
        <f t="shared" ref="H380:H385" si="54">D380*I380</f>
        <v>25</v>
      </c>
      <c r="I380" s="18">
        <v>4</v>
      </c>
      <c r="J380" s="20">
        <f t="shared" ref="J380:J385" si="55">IF(G380&gt;0,G380*I380,H380*I380)</f>
        <v>100</v>
      </c>
    </row>
    <row r="381" spans="2:10" hidden="1" outlineLevel="1">
      <c r="B381" s="14"/>
      <c r="C381" s="17" t="s">
        <v>13</v>
      </c>
      <c r="D381" s="18">
        <v>2.5</v>
      </c>
      <c r="E381" s="18" t="s">
        <v>0</v>
      </c>
      <c r="F381" s="18">
        <f t="shared" si="49"/>
        <v>4</v>
      </c>
      <c r="G381" s="19">
        <f t="shared" si="53"/>
        <v>10</v>
      </c>
      <c r="H381" s="20">
        <f t="shared" si="54"/>
        <v>10</v>
      </c>
      <c r="I381" s="18">
        <v>4</v>
      </c>
      <c r="J381" s="20">
        <f t="shared" si="55"/>
        <v>40</v>
      </c>
    </row>
    <row r="382" spans="2:10" hidden="1" outlineLevel="1">
      <c r="B382" s="14"/>
      <c r="C382" s="17" t="s">
        <v>24</v>
      </c>
      <c r="D382" s="18">
        <v>6.9</v>
      </c>
      <c r="E382" s="18" t="s">
        <v>0</v>
      </c>
      <c r="F382" s="18">
        <f t="shared" si="49"/>
        <v>4</v>
      </c>
      <c r="G382" s="19">
        <f t="shared" si="53"/>
        <v>27.6</v>
      </c>
      <c r="H382" s="20">
        <f t="shared" si="54"/>
        <v>13.8</v>
      </c>
      <c r="I382" s="18">
        <v>2</v>
      </c>
      <c r="J382" s="20">
        <f t="shared" si="55"/>
        <v>55.2</v>
      </c>
    </row>
    <row r="383" spans="2:10" hidden="1" outlineLevel="1">
      <c r="B383" s="14"/>
      <c r="C383" s="17" t="s">
        <v>25</v>
      </c>
      <c r="D383" s="18">
        <v>39.35</v>
      </c>
      <c r="E383" s="18" t="s">
        <v>0</v>
      </c>
      <c r="F383" s="18">
        <f t="shared" si="49"/>
        <v>4</v>
      </c>
      <c r="G383" s="19">
        <f t="shared" si="53"/>
        <v>157.4</v>
      </c>
      <c r="H383" s="20">
        <f t="shared" si="54"/>
        <v>39.35</v>
      </c>
      <c r="I383" s="18">
        <v>1</v>
      </c>
      <c r="J383" s="20">
        <f t="shared" si="55"/>
        <v>157.4</v>
      </c>
    </row>
    <row r="384" spans="2:10" hidden="1" outlineLevel="1">
      <c r="B384" s="14"/>
      <c r="C384" s="17" t="s">
        <v>26</v>
      </c>
      <c r="D384" s="18">
        <v>3</v>
      </c>
      <c r="E384" s="18" t="s">
        <v>0</v>
      </c>
      <c r="F384" s="18">
        <f t="shared" si="49"/>
        <v>4</v>
      </c>
      <c r="G384" s="19">
        <f t="shared" si="53"/>
        <v>12</v>
      </c>
      <c r="H384" s="20">
        <f t="shared" si="54"/>
        <v>6</v>
      </c>
      <c r="I384" s="18">
        <v>2</v>
      </c>
      <c r="J384" s="20">
        <f t="shared" si="55"/>
        <v>24</v>
      </c>
    </row>
    <row r="385" spans="2:10" hidden="1" outlineLevel="1">
      <c r="B385" s="14"/>
      <c r="C385" s="17" t="s">
        <v>27</v>
      </c>
      <c r="D385" s="18">
        <v>9.9</v>
      </c>
      <c r="E385" s="18" t="s">
        <v>0</v>
      </c>
      <c r="F385" s="18">
        <f>$F$332</f>
        <v>4</v>
      </c>
      <c r="G385" s="19">
        <f t="shared" si="53"/>
        <v>39.6</v>
      </c>
      <c r="H385" s="20">
        <f t="shared" si="54"/>
        <v>19.8</v>
      </c>
      <c r="I385" s="18">
        <v>2</v>
      </c>
      <c r="J385" s="20">
        <f t="shared" si="55"/>
        <v>79.2</v>
      </c>
    </row>
    <row r="386" spans="2:10" collapsed="1"/>
    <row r="387" spans="2:10">
      <c r="B387" s="14" t="s">
        <v>152</v>
      </c>
      <c r="C387" s="1004" t="s">
        <v>153</v>
      </c>
      <c r="D387" s="1004"/>
      <c r="E387" s="1004"/>
      <c r="F387" s="1004"/>
      <c r="G387" s="1004"/>
      <c r="H387" s="1004"/>
      <c r="I387" s="1004"/>
      <c r="J387" s="15"/>
    </row>
    <row r="388" spans="2:10">
      <c r="B388" s="14"/>
      <c r="C388" s="24" t="s">
        <v>77</v>
      </c>
      <c r="D388" s="18"/>
      <c r="E388" s="18"/>
      <c r="F388" s="18"/>
      <c r="G388" s="19"/>
      <c r="H388" s="20"/>
      <c r="I388" s="18"/>
      <c r="J388" s="23">
        <f>SUM(J389:J441)</f>
        <v>2343.6000000000013</v>
      </c>
    </row>
    <row r="389" spans="2:10" hidden="1" outlineLevel="1">
      <c r="B389" s="14"/>
      <c r="C389" s="17" t="s">
        <v>10</v>
      </c>
      <c r="D389" s="18">
        <v>15</v>
      </c>
      <c r="E389" s="18" t="s">
        <v>0</v>
      </c>
      <c r="F389" s="18">
        <f>$I$12</f>
        <v>4</v>
      </c>
      <c r="G389" s="19">
        <f>PRODUCT(D389,E389,F389)</f>
        <v>60</v>
      </c>
      <c r="H389" s="20">
        <f t="shared" ref="H389:H404" si="56">D389*I389</f>
        <v>15</v>
      </c>
      <c r="I389" s="18">
        <v>1</v>
      </c>
      <c r="J389" s="20">
        <f t="shared" ref="J389:J404" si="57">IF(G389&gt;0,G389*I389,H389*I389)</f>
        <v>60</v>
      </c>
    </row>
    <row r="390" spans="2:10" hidden="1" outlineLevel="1">
      <c r="B390" s="14"/>
      <c r="C390" s="17" t="s">
        <v>131</v>
      </c>
      <c r="D390" s="18">
        <v>5.3</v>
      </c>
      <c r="E390" s="18" t="s">
        <v>0</v>
      </c>
      <c r="F390" s="18">
        <f>$F$389</f>
        <v>4</v>
      </c>
      <c r="G390" s="19">
        <f t="shared" ref="G390:G404" si="58">PRODUCT(D390,E390,F390)</f>
        <v>21.2</v>
      </c>
      <c r="H390" s="20">
        <f t="shared" si="56"/>
        <v>5.3</v>
      </c>
      <c r="I390" s="18">
        <v>1</v>
      </c>
      <c r="J390" s="20">
        <f t="shared" si="57"/>
        <v>21.2</v>
      </c>
    </row>
    <row r="391" spans="2:10" hidden="1" outlineLevel="1">
      <c r="B391" s="14"/>
      <c r="C391" s="17" t="s">
        <v>132</v>
      </c>
      <c r="D391" s="18">
        <v>10.75</v>
      </c>
      <c r="E391" s="18" t="s">
        <v>0</v>
      </c>
      <c r="F391" s="18">
        <f t="shared" ref="F391:F448" si="59">$F$389</f>
        <v>4</v>
      </c>
      <c r="G391" s="19">
        <f t="shared" si="58"/>
        <v>43</v>
      </c>
      <c r="H391" s="20">
        <f t="shared" si="56"/>
        <v>10.75</v>
      </c>
      <c r="I391" s="18">
        <v>1</v>
      </c>
      <c r="J391" s="20">
        <f t="shared" si="57"/>
        <v>43</v>
      </c>
    </row>
    <row r="392" spans="2:10" hidden="1" outlineLevel="1">
      <c r="B392" s="14"/>
      <c r="C392" s="17" t="s">
        <v>133</v>
      </c>
      <c r="D392" s="18">
        <v>8.1999999999999993</v>
      </c>
      <c r="E392" s="18" t="s">
        <v>0</v>
      </c>
      <c r="F392" s="18">
        <f t="shared" si="59"/>
        <v>4</v>
      </c>
      <c r="G392" s="19">
        <f t="shared" si="58"/>
        <v>32.799999999999997</v>
      </c>
      <c r="H392" s="20">
        <f t="shared" si="56"/>
        <v>8.1999999999999993</v>
      </c>
      <c r="I392" s="18">
        <v>1</v>
      </c>
      <c r="J392" s="20">
        <f t="shared" si="57"/>
        <v>32.799999999999997</v>
      </c>
    </row>
    <row r="393" spans="2:10" hidden="1" outlineLevel="1">
      <c r="B393" s="14"/>
      <c r="C393" s="17" t="s">
        <v>134</v>
      </c>
      <c r="D393" s="18">
        <v>3.2</v>
      </c>
      <c r="E393" s="18" t="s">
        <v>0</v>
      </c>
      <c r="F393" s="18">
        <f t="shared" si="59"/>
        <v>4</v>
      </c>
      <c r="G393" s="19">
        <f t="shared" si="58"/>
        <v>12.8</v>
      </c>
      <c r="H393" s="20">
        <f t="shared" si="56"/>
        <v>19.200000000000003</v>
      </c>
      <c r="I393" s="18">
        <v>6</v>
      </c>
      <c r="J393" s="20">
        <f t="shared" si="57"/>
        <v>76.800000000000011</v>
      </c>
    </row>
    <row r="394" spans="2:10" hidden="1" outlineLevel="1">
      <c r="B394" s="14"/>
      <c r="C394" s="17" t="s">
        <v>135</v>
      </c>
      <c r="D394" s="18">
        <v>3.8</v>
      </c>
      <c r="E394" s="18" t="s">
        <v>0</v>
      </c>
      <c r="F394" s="18">
        <f t="shared" si="59"/>
        <v>4</v>
      </c>
      <c r="G394" s="19">
        <f t="shared" si="58"/>
        <v>15.2</v>
      </c>
      <c r="H394" s="20">
        <f t="shared" si="56"/>
        <v>3.8</v>
      </c>
      <c r="I394" s="18">
        <v>1</v>
      </c>
      <c r="J394" s="20">
        <f t="shared" si="57"/>
        <v>15.2</v>
      </c>
    </row>
    <row r="395" spans="2:10" hidden="1" outlineLevel="1">
      <c r="B395" s="14"/>
      <c r="C395" s="17" t="s">
        <v>136</v>
      </c>
      <c r="D395" s="18">
        <v>0</v>
      </c>
      <c r="E395" s="18" t="s">
        <v>0</v>
      </c>
      <c r="F395" s="18">
        <f t="shared" si="59"/>
        <v>4</v>
      </c>
      <c r="G395" s="19">
        <f t="shared" si="58"/>
        <v>0</v>
      </c>
      <c r="H395" s="20">
        <f t="shared" si="56"/>
        <v>0</v>
      </c>
      <c r="I395" s="18">
        <v>1</v>
      </c>
      <c r="J395" s="20">
        <f t="shared" si="57"/>
        <v>0</v>
      </c>
    </row>
    <row r="396" spans="2:10" hidden="1" outlineLevel="1">
      <c r="B396" s="14"/>
      <c r="C396" s="17" t="s">
        <v>137</v>
      </c>
      <c r="D396" s="18">
        <v>4.25</v>
      </c>
      <c r="E396" s="18" t="s">
        <v>0</v>
      </c>
      <c r="F396" s="18">
        <f t="shared" si="59"/>
        <v>4</v>
      </c>
      <c r="G396" s="19">
        <f t="shared" si="58"/>
        <v>17</v>
      </c>
      <c r="H396" s="20">
        <f t="shared" si="56"/>
        <v>8.5</v>
      </c>
      <c r="I396" s="18">
        <v>2</v>
      </c>
      <c r="J396" s="20">
        <f t="shared" si="57"/>
        <v>34</v>
      </c>
    </row>
    <row r="397" spans="2:10" hidden="1" outlineLevel="1">
      <c r="B397" s="14"/>
      <c r="C397" s="17" t="s">
        <v>11</v>
      </c>
      <c r="D397" s="18">
        <v>23.75</v>
      </c>
      <c r="E397" s="18" t="s">
        <v>0</v>
      </c>
      <c r="F397" s="18">
        <f t="shared" si="59"/>
        <v>4</v>
      </c>
      <c r="G397" s="19">
        <f t="shared" si="58"/>
        <v>95</v>
      </c>
      <c r="H397" s="20">
        <f t="shared" si="56"/>
        <v>23.75</v>
      </c>
      <c r="I397" s="18">
        <v>1</v>
      </c>
      <c r="J397" s="20">
        <f t="shared" si="57"/>
        <v>95</v>
      </c>
    </row>
    <row r="398" spans="2:10" hidden="1" outlineLevel="1">
      <c r="B398" s="14"/>
      <c r="C398" s="17" t="s">
        <v>138</v>
      </c>
      <c r="D398" s="18">
        <v>15.85</v>
      </c>
      <c r="E398" s="18" t="s">
        <v>0</v>
      </c>
      <c r="F398" s="18">
        <f t="shared" si="59"/>
        <v>4</v>
      </c>
      <c r="G398" s="19">
        <f t="shared" si="58"/>
        <v>63.4</v>
      </c>
      <c r="H398" s="20">
        <f t="shared" si="56"/>
        <v>47.55</v>
      </c>
      <c r="I398" s="18">
        <v>3</v>
      </c>
      <c r="J398" s="20">
        <f t="shared" si="57"/>
        <v>190.2</v>
      </c>
    </row>
    <row r="399" spans="2:10" hidden="1" outlineLevel="1">
      <c r="B399" s="14"/>
      <c r="C399" s="17" t="s">
        <v>139</v>
      </c>
      <c r="D399" s="18">
        <v>18</v>
      </c>
      <c r="E399" s="18" t="s">
        <v>0</v>
      </c>
      <c r="F399" s="18">
        <f t="shared" si="59"/>
        <v>4</v>
      </c>
      <c r="G399" s="19">
        <f t="shared" si="58"/>
        <v>72</v>
      </c>
      <c r="H399" s="20">
        <f t="shared" si="56"/>
        <v>18</v>
      </c>
      <c r="I399" s="18">
        <v>1</v>
      </c>
      <c r="J399" s="20">
        <f t="shared" si="57"/>
        <v>72</v>
      </c>
    </row>
    <row r="400" spans="2:10" hidden="1" outlineLevel="1">
      <c r="B400" s="14"/>
      <c r="C400" s="17" t="s">
        <v>140</v>
      </c>
      <c r="D400" s="18">
        <v>3.05</v>
      </c>
      <c r="E400" s="18" t="s">
        <v>0</v>
      </c>
      <c r="F400" s="18">
        <f t="shared" si="59"/>
        <v>4</v>
      </c>
      <c r="G400" s="19">
        <f t="shared" si="58"/>
        <v>12.2</v>
      </c>
      <c r="H400" s="20">
        <f t="shared" si="56"/>
        <v>6.1</v>
      </c>
      <c r="I400" s="18">
        <v>2</v>
      </c>
      <c r="J400" s="20">
        <f t="shared" si="57"/>
        <v>24.4</v>
      </c>
    </row>
    <row r="401" spans="2:10" hidden="1" outlineLevel="1">
      <c r="B401" s="14"/>
      <c r="C401" s="17" t="s">
        <v>141</v>
      </c>
      <c r="D401" s="18">
        <v>12.8</v>
      </c>
      <c r="E401" s="18" t="s">
        <v>0</v>
      </c>
      <c r="F401" s="18">
        <f t="shared" si="59"/>
        <v>4</v>
      </c>
      <c r="G401" s="19">
        <f t="shared" si="58"/>
        <v>51.2</v>
      </c>
      <c r="H401" s="20">
        <f t="shared" si="56"/>
        <v>12.8</v>
      </c>
      <c r="I401" s="18">
        <v>1</v>
      </c>
      <c r="J401" s="20">
        <f t="shared" si="57"/>
        <v>51.2</v>
      </c>
    </row>
    <row r="402" spans="2:10" hidden="1" outlineLevel="1">
      <c r="B402" s="14"/>
      <c r="C402" s="17" t="s">
        <v>142</v>
      </c>
      <c r="D402" s="18">
        <v>3.05</v>
      </c>
      <c r="E402" s="18" t="s">
        <v>0</v>
      </c>
      <c r="F402" s="18">
        <f t="shared" si="59"/>
        <v>4</v>
      </c>
      <c r="G402" s="19">
        <f t="shared" si="58"/>
        <v>12.2</v>
      </c>
      <c r="H402" s="20">
        <f t="shared" si="56"/>
        <v>6.1</v>
      </c>
      <c r="I402" s="18">
        <v>2</v>
      </c>
      <c r="J402" s="20">
        <f t="shared" si="57"/>
        <v>24.4</v>
      </c>
    </row>
    <row r="403" spans="2:10" hidden="1" outlineLevel="1">
      <c r="B403" s="14"/>
      <c r="C403" s="17" t="s">
        <v>143</v>
      </c>
      <c r="D403" s="18">
        <v>1.8</v>
      </c>
      <c r="E403" s="18" t="s">
        <v>0</v>
      </c>
      <c r="F403" s="18">
        <f t="shared" si="59"/>
        <v>4</v>
      </c>
      <c r="G403" s="19">
        <f t="shared" si="58"/>
        <v>7.2</v>
      </c>
      <c r="H403" s="20">
        <f t="shared" si="56"/>
        <v>1.8</v>
      </c>
      <c r="I403" s="18">
        <v>1</v>
      </c>
      <c r="J403" s="20">
        <f t="shared" si="57"/>
        <v>7.2</v>
      </c>
    </row>
    <row r="404" spans="2:10" hidden="1" outlineLevel="1">
      <c r="B404" s="14"/>
      <c r="C404" s="17" t="s">
        <v>148</v>
      </c>
      <c r="D404" s="18">
        <v>12.25</v>
      </c>
      <c r="E404" s="18" t="s">
        <v>0</v>
      </c>
      <c r="F404" s="18">
        <f t="shared" si="59"/>
        <v>4</v>
      </c>
      <c r="G404" s="19">
        <f t="shared" si="58"/>
        <v>49</v>
      </c>
      <c r="H404" s="20">
        <f t="shared" si="56"/>
        <v>12.25</v>
      </c>
      <c r="I404" s="18">
        <v>1</v>
      </c>
      <c r="J404" s="20">
        <f t="shared" si="57"/>
        <v>49</v>
      </c>
    </row>
    <row r="405" spans="2:10" hidden="1" outlineLevel="1">
      <c r="B405" s="14"/>
      <c r="C405" s="17"/>
      <c r="D405" s="18"/>
      <c r="E405" s="18"/>
      <c r="F405" s="18" t="s">
        <v>0</v>
      </c>
      <c r="G405" s="19"/>
      <c r="H405" s="20"/>
      <c r="I405" s="18"/>
      <c r="J405" s="20"/>
    </row>
    <row r="406" spans="2:10" hidden="1" outlineLevel="1">
      <c r="B406" s="14"/>
      <c r="C406" s="17" t="s">
        <v>37</v>
      </c>
      <c r="D406" s="18">
        <v>11.75</v>
      </c>
      <c r="E406" s="18" t="s">
        <v>0</v>
      </c>
      <c r="F406" s="18">
        <f t="shared" si="59"/>
        <v>4</v>
      </c>
      <c r="G406" s="19">
        <f t="shared" ref="G406:G441" si="60">PRODUCT(D406,E406,F406)</f>
        <v>47</v>
      </c>
      <c r="H406" s="20">
        <f t="shared" ref="H406:H441" si="61">D406*I406</f>
        <v>11.75</v>
      </c>
      <c r="I406" s="18">
        <v>1</v>
      </c>
      <c r="J406" s="20">
        <f t="shared" ref="J406:J441" si="62">IF(G406&gt;0,G406*I406,H406*I406)</f>
        <v>47</v>
      </c>
    </row>
    <row r="407" spans="2:10" hidden="1" outlineLevel="1">
      <c r="B407" s="14"/>
      <c r="C407" s="17" t="s">
        <v>38</v>
      </c>
      <c r="D407" s="18">
        <v>2.5</v>
      </c>
      <c r="E407" s="18" t="s">
        <v>0</v>
      </c>
      <c r="F407" s="18">
        <f t="shared" si="59"/>
        <v>4</v>
      </c>
      <c r="G407" s="19">
        <f t="shared" si="60"/>
        <v>10</v>
      </c>
      <c r="H407" s="20">
        <f t="shared" si="61"/>
        <v>5</v>
      </c>
      <c r="I407" s="18">
        <v>2</v>
      </c>
      <c r="J407" s="20">
        <f t="shared" si="62"/>
        <v>20</v>
      </c>
    </row>
    <row r="408" spans="2:10" hidden="1" outlineLevel="1">
      <c r="B408" s="14"/>
      <c r="C408" s="17" t="s">
        <v>39</v>
      </c>
      <c r="D408" s="18">
        <v>9.15</v>
      </c>
      <c r="E408" s="18" t="s">
        <v>0</v>
      </c>
      <c r="F408" s="18">
        <f t="shared" si="59"/>
        <v>4</v>
      </c>
      <c r="G408" s="19">
        <f t="shared" si="60"/>
        <v>36.6</v>
      </c>
      <c r="H408" s="20">
        <f t="shared" si="61"/>
        <v>9.15</v>
      </c>
      <c r="I408" s="18">
        <v>1</v>
      </c>
      <c r="J408" s="20">
        <f t="shared" si="62"/>
        <v>36.6</v>
      </c>
    </row>
    <row r="409" spans="2:10" hidden="1" outlineLevel="1">
      <c r="B409" s="14"/>
      <c r="C409" s="17" t="s">
        <v>40</v>
      </c>
      <c r="D409" s="18">
        <v>9.4499999999999993</v>
      </c>
      <c r="E409" s="18" t="s">
        <v>0</v>
      </c>
      <c r="F409" s="18">
        <f t="shared" si="59"/>
        <v>4</v>
      </c>
      <c r="G409" s="19">
        <f t="shared" si="60"/>
        <v>37.799999999999997</v>
      </c>
      <c r="H409" s="20">
        <f t="shared" si="61"/>
        <v>9.4499999999999993</v>
      </c>
      <c r="I409" s="18">
        <v>1</v>
      </c>
      <c r="J409" s="20">
        <f t="shared" si="62"/>
        <v>37.799999999999997</v>
      </c>
    </row>
    <row r="410" spans="2:10" hidden="1" outlineLevel="1">
      <c r="B410" s="14"/>
      <c r="C410" s="17" t="s">
        <v>41</v>
      </c>
      <c r="D410" s="18">
        <v>3.15</v>
      </c>
      <c r="E410" s="18" t="s">
        <v>0</v>
      </c>
      <c r="F410" s="18">
        <f t="shared" si="59"/>
        <v>4</v>
      </c>
      <c r="G410" s="19">
        <f t="shared" si="60"/>
        <v>12.6</v>
      </c>
      <c r="H410" s="20">
        <f t="shared" si="61"/>
        <v>15.75</v>
      </c>
      <c r="I410" s="18">
        <v>5</v>
      </c>
      <c r="J410" s="20">
        <f t="shared" si="62"/>
        <v>63</v>
      </c>
    </row>
    <row r="411" spans="2:10" hidden="1" outlineLevel="1">
      <c r="B411" s="14"/>
      <c r="C411" s="17" t="s">
        <v>42</v>
      </c>
      <c r="D411" s="18">
        <v>4.5</v>
      </c>
      <c r="E411" s="18" t="s">
        <v>0</v>
      </c>
      <c r="F411" s="18">
        <f t="shared" si="59"/>
        <v>4</v>
      </c>
      <c r="G411" s="19">
        <f t="shared" si="60"/>
        <v>18</v>
      </c>
      <c r="H411" s="20">
        <f t="shared" si="61"/>
        <v>9</v>
      </c>
      <c r="I411" s="18">
        <v>2</v>
      </c>
      <c r="J411" s="20">
        <f t="shared" si="62"/>
        <v>36</v>
      </c>
    </row>
    <row r="412" spans="2:10" hidden="1" outlineLevel="1">
      <c r="B412" s="14"/>
      <c r="C412" s="17" t="s">
        <v>43</v>
      </c>
      <c r="D412" s="18">
        <v>2.6</v>
      </c>
      <c r="E412" s="18" t="s">
        <v>0</v>
      </c>
      <c r="F412" s="18">
        <f t="shared" si="59"/>
        <v>4</v>
      </c>
      <c r="G412" s="19">
        <f t="shared" si="60"/>
        <v>10.4</v>
      </c>
      <c r="H412" s="20">
        <f t="shared" si="61"/>
        <v>2.6</v>
      </c>
      <c r="I412" s="18">
        <v>1</v>
      </c>
      <c r="J412" s="20">
        <f t="shared" si="62"/>
        <v>10.4</v>
      </c>
    </row>
    <row r="413" spans="2:10" hidden="1" outlineLevel="1">
      <c r="B413" s="14"/>
      <c r="C413" s="17" t="s">
        <v>44</v>
      </c>
      <c r="D413" s="18">
        <v>3.3</v>
      </c>
      <c r="E413" s="18" t="s">
        <v>0</v>
      </c>
      <c r="F413" s="18">
        <f t="shared" si="59"/>
        <v>4</v>
      </c>
      <c r="G413" s="19">
        <f t="shared" si="60"/>
        <v>13.2</v>
      </c>
      <c r="H413" s="20">
        <f t="shared" si="61"/>
        <v>3.3</v>
      </c>
      <c r="I413" s="18">
        <v>1</v>
      </c>
      <c r="J413" s="20">
        <f t="shared" si="62"/>
        <v>13.2</v>
      </c>
    </row>
    <row r="414" spans="2:10" hidden="1" outlineLevel="1">
      <c r="B414" s="14"/>
      <c r="C414" s="17" t="s">
        <v>45</v>
      </c>
      <c r="D414" s="18">
        <v>1.9</v>
      </c>
      <c r="E414" s="18" t="s">
        <v>0</v>
      </c>
      <c r="F414" s="18">
        <f t="shared" si="59"/>
        <v>4</v>
      </c>
      <c r="G414" s="19">
        <f t="shared" si="60"/>
        <v>7.6</v>
      </c>
      <c r="H414" s="20">
        <f t="shared" si="61"/>
        <v>3.8</v>
      </c>
      <c r="I414" s="18">
        <v>2</v>
      </c>
      <c r="J414" s="20">
        <f t="shared" si="62"/>
        <v>15.2</v>
      </c>
    </row>
    <row r="415" spans="2:10" hidden="1" outlineLevel="1">
      <c r="B415" s="14"/>
      <c r="C415" s="17" t="s">
        <v>46</v>
      </c>
      <c r="D415" s="18">
        <v>2.2999999999999998</v>
      </c>
      <c r="E415" s="18" t="s">
        <v>0</v>
      </c>
      <c r="F415" s="18">
        <f t="shared" si="59"/>
        <v>4</v>
      </c>
      <c r="G415" s="19">
        <f t="shared" si="60"/>
        <v>9.1999999999999993</v>
      </c>
      <c r="H415" s="20">
        <f t="shared" si="61"/>
        <v>11.5</v>
      </c>
      <c r="I415" s="18">
        <v>5</v>
      </c>
      <c r="J415" s="20">
        <f t="shared" si="62"/>
        <v>46</v>
      </c>
    </row>
    <row r="416" spans="2:10" hidden="1" outlineLevel="1">
      <c r="B416" s="14"/>
      <c r="C416" s="17" t="s">
        <v>47</v>
      </c>
      <c r="D416" s="18">
        <v>6.45</v>
      </c>
      <c r="E416" s="18" t="s">
        <v>0</v>
      </c>
      <c r="F416" s="18">
        <f t="shared" si="59"/>
        <v>4</v>
      </c>
      <c r="G416" s="19">
        <f t="shared" si="60"/>
        <v>25.8</v>
      </c>
      <c r="H416" s="20">
        <f t="shared" si="61"/>
        <v>6.45</v>
      </c>
      <c r="I416" s="18">
        <v>1</v>
      </c>
      <c r="J416" s="20">
        <f t="shared" si="62"/>
        <v>25.8</v>
      </c>
    </row>
    <row r="417" spans="2:10" hidden="1" outlineLevel="1">
      <c r="B417" s="14"/>
      <c r="C417" s="17" t="s">
        <v>48</v>
      </c>
      <c r="D417" s="18">
        <v>9.1999999999999993</v>
      </c>
      <c r="E417" s="18" t="s">
        <v>0</v>
      </c>
      <c r="F417" s="18">
        <f t="shared" si="59"/>
        <v>4</v>
      </c>
      <c r="G417" s="19">
        <f t="shared" si="60"/>
        <v>36.799999999999997</v>
      </c>
      <c r="H417" s="20">
        <f t="shared" si="61"/>
        <v>9.1999999999999993</v>
      </c>
      <c r="I417" s="18">
        <v>1</v>
      </c>
      <c r="J417" s="20">
        <f t="shared" si="62"/>
        <v>36.799999999999997</v>
      </c>
    </row>
    <row r="418" spans="2:10" hidden="1" outlineLevel="1">
      <c r="B418" s="14"/>
      <c r="C418" s="17" t="s">
        <v>49</v>
      </c>
      <c r="D418" s="18">
        <v>21</v>
      </c>
      <c r="E418" s="18" t="s">
        <v>0</v>
      </c>
      <c r="F418" s="18">
        <f t="shared" si="59"/>
        <v>4</v>
      </c>
      <c r="G418" s="19">
        <f t="shared" si="60"/>
        <v>84</v>
      </c>
      <c r="H418" s="20">
        <f t="shared" si="61"/>
        <v>21</v>
      </c>
      <c r="I418" s="18">
        <v>1</v>
      </c>
      <c r="J418" s="20">
        <f t="shared" si="62"/>
        <v>84</v>
      </c>
    </row>
    <row r="419" spans="2:10" hidden="1" outlineLevel="1">
      <c r="B419" s="14"/>
      <c r="C419" s="17" t="s">
        <v>50</v>
      </c>
      <c r="D419" s="18">
        <v>26.1</v>
      </c>
      <c r="E419" s="18" t="s">
        <v>0</v>
      </c>
      <c r="F419" s="18">
        <f t="shared" si="59"/>
        <v>4</v>
      </c>
      <c r="G419" s="19">
        <f t="shared" si="60"/>
        <v>104.4</v>
      </c>
      <c r="H419" s="20">
        <f t="shared" si="61"/>
        <v>26.1</v>
      </c>
      <c r="I419" s="18">
        <v>1</v>
      </c>
      <c r="J419" s="20">
        <f t="shared" si="62"/>
        <v>104.4</v>
      </c>
    </row>
    <row r="420" spans="2:10" hidden="1" outlineLevel="1">
      <c r="B420" s="14"/>
      <c r="C420" s="17" t="s">
        <v>51</v>
      </c>
      <c r="D420" s="18">
        <v>19.100000000000001</v>
      </c>
      <c r="E420" s="18" t="s">
        <v>0</v>
      </c>
      <c r="F420" s="18">
        <f t="shared" si="59"/>
        <v>4</v>
      </c>
      <c r="G420" s="19">
        <f t="shared" si="60"/>
        <v>76.400000000000006</v>
      </c>
      <c r="H420" s="20">
        <f t="shared" si="61"/>
        <v>19.100000000000001</v>
      </c>
      <c r="I420" s="18">
        <v>1</v>
      </c>
      <c r="J420" s="20">
        <f t="shared" si="62"/>
        <v>76.400000000000006</v>
      </c>
    </row>
    <row r="421" spans="2:10" hidden="1" outlineLevel="1">
      <c r="B421" s="14"/>
      <c r="C421" s="17" t="s">
        <v>52</v>
      </c>
      <c r="D421" s="18">
        <v>3.7</v>
      </c>
      <c r="E421" s="18" t="s">
        <v>0</v>
      </c>
      <c r="F421" s="18">
        <f t="shared" si="59"/>
        <v>4</v>
      </c>
      <c r="G421" s="19">
        <f t="shared" si="60"/>
        <v>14.8</v>
      </c>
      <c r="H421" s="20">
        <f t="shared" si="61"/>
        <v>11.100000000000001</v>
      </c>
      <c r="I421" s="18">
        <v>3</v>
      </c>
      <c r="J421" s="20">
        <f t="shared" si="62"/>
        <v>44.400000000000006</v>
      </c>
    </row>
    <row r="422" spans="2:10" hidden="1" outlineLevel="1">
      <c r="B422" s="14"/>
      <c r="C422" s="17" t="s">
        <v>53</v>
      </c>
      <c r="D422" s="18">
        <v>2.15</v>
      </c>
      <c r="E422" s="18" t="s">
        <v>0</v>
      </c>
      <c r="F422" s="18">
        <f t="shared" si="59"/>
        <v>4</v>
      </c>
      <c r="G422" s="19">
        <f>PRODUCT(D422,E422,F422)</f>
        <v>8.6</v>
      </c>
      <c r="H422" s="20">
        <f t="shared" si="61"/>
        <v>2.15</v>
      </c>
      <c r="I422" s="18">
        <v>1</v>
      </c>
      <c r="J422" s="20">
        <f t="shared" si="62"/>
        <v>8.6</v>
      </c>
    </row>
    <row r="423" spans="2:10" hidden="1" outlineLevel="1">
      <c r="B423" s="14"/>
      <c r="C423" s="17" t="s">
        <v>54</v>
      </c>
      <c r="D423" s="18">
        <v>21.25</v>
      </c>
      <c r="E423" s="18" t="s">
        <v>0</v>
      </c>
      <c r="F423" s="18">
        <f t="shared" si="59"/>
        <v>4</v>
      </c>
      <c r="G423" s="19">
        <f t="shared" si="60"/>
        <v>85</v>
      </c>
      <c r="H423" s="20">
        <f t="shared" si="61"/>
        <v>21.25</v>
      </c>
      <c r="I423" s="18">
        <v>1</v>
      </c>
      <c r="J423" s="20">
        <f t="shared" si="62"/>
        <v>85</v>
      </c>
    </row>
    <row r="424" spans="2:10" hidden="1" outlineLevel="1">
      <c r="B424" s="14"/>
      <c r="C424" s="26" t="s">
        <v>58</v>
      </c>
      <c r="D424" s="18">
        <v>5.6</v>
      </c>
      <c r="E424" s="18" t="s">
        <v>0</v>
      </c>
      <c r="F424" s="18">
        <f t="shared" si="59"/>
        <v>4</v>
      </c>
      <c r="G424" s="19">
        <f t="shared" si="60"/>
        <v>22.4</v>
      </c>
      <c r="H424" s="20">
        <f t="shared" si="61"/>
        <v>5.6</v>
      </c>
      <c r="I424" s="18">
        <v>1</v>
      </c>
      <c r="J424" s="20">
        <f t="shared" si="62"/>
        <v>22.4</v>
      </c>
    </row>
    <row r="425" spans="2:10" hidden="1" outlineLevel="1">
      <c r="B425" s="14"/>
      <c r="C425" s="17" t="s">
        <v>59</v>
      </c>
      <c r="D425" s="18">
        <v>3.55</v>
      </c>
      <c r="E425" s="18" t="s">
        <v>0</v>
      </c>
      <c r="F425" s="18">
        <f t="shared" si="59"/>
        <v>4</v>
      </c>
      <c r="G425" s="19">
        <f t="shared" si="60"/>
        <v>14.2</v>
      </c>
      <c r="H425" s="20">
        <f t="shared" si="61"/>
        <v>7.1</v>
      </c>
      <c r="I425" s="18">
        <v>2</v>
      </c>
      <c r="J425" s="20">
        <f t="shared" si="62"/>
        <v>28.4</v>
      </c>
    </row>
    <row r="426" spans="2:10" hidden="1" outlineLevel="1">
      <c r="B426" s="14"/>
      <c r="C426" s="17" t="s">
        <v>60</v>
      </c>
      <c r="D426" s="18">
        <v>9.15</v>
      </c>
      <c r="E426" s="18" t="s">
        <v>0</v>
      </c>
      <c r="F426" s="18">
        <f t="shared" si="59"/>
        <v>4</v>
      </c>
      <c r="G426" s="19">
        <f t="shared" si="60"/>
        <v>36.6</v>
      </c>
      <c r="H426" s="20">
        <f t="shared" si="61"/>
        <v>9.15</v>
      </c>
      <c r="I426" s="18">
        <v>1</v>
      </c>
      <c r="J426" s="20">
        <f t="shared" si="62"/>
        <v>36.6</v>
      </c>
    </row>
    <row r="427" spans="2:10" hidden="1" outlineLevel="1">
      <c r="B427" s="14"/>
      <c r="C427" s="17" t="s">
        <v>61</v>
      </c>
      <c r="D427" s="18">
        <v>13.1</v>
      </c>
      <c r="E427" s="18" t="s">
        <v>0</v>
      </c>
      <c r="F427" s="18">
        <f t="shared" si="59"/>
        <v>4</v>
      </c>
      <c r="G427" s="19">
        <f t="shared" si="60"/>
        <v>52.4</v>
      </c>
      <c r="H427" s="20">
        <f t="shared" si="61"/>
        <v>13.1</v>
      </c>
      <c r="I427" s="18">
        <v>1</v>
      </c>
      <c r="J427" s="20">
        <f t="shared" si="62"/>
        <v>52.4</v>
      </c>
    </row>
    <row r="428" spans="2:10" hidden="1" outlineLevel="1">
      <c r="B428" s="14"/>
      <c r="C428" s="17" t="s">
        <v>62</v>
      </c>
      <c r="D428" s="18">
        <v>2.85</v>
      </c>
      <c r="E428" s="18" t="s">
        <v>0</v>
      </c>
      <c r="F428" s="18">
        <f t="shared" si="59"/>
        <v>4</v>
      </c>
      <c r="G428" s="19">
        <f t="shared" si="60"/>
        <v>11.4</v>
      </c>
      <c r="H428" s="20">
        <f t="shared" si="61"/>
        <v>2.85</v>
      </c>
      <c r="I428" s="18">
        <v>1</v>
      </c>
      <c r="J428" s="20">
        <f t="shared" si="62"/>
        <v>11.4</v>
      </c>
    </row>
    <row r="429" spans="2:10" hidden="1" outlineLevel="1">
      <c r="B429" s="14"/>
      <c r="C429" s="17" t="s">
        <v>63</v>
      </c>
      <c r="D429" s="18">
        <v>2.9</v>
      </c>
      <c r="E429" s="18" t="s">
        <v>0</v>
      </c>
      <c r="F429" s="18">
        <f t="shared" si="59"/>
        <v>4</v>
      </c>
      <c r="G429" s="19">
        <f t="shared" si="60"/>
        <v>11.6</v>
      </c>
      <c r="H429" s="20">
        <f t="shared" si="61"/>
        <v>2.9</v>
      </c>
      <c r="I429" s="18">
        <v>1</v>
      </c>
      <c r="J429" s="20">
        <f t="shared" si="62"/>
        <v>11.6</v>
      </c>
    </row>
    <row r="430" spans="2:10" hidden="1" outlineLevel="1">
      <c r="B430" s="14"/>
      <c r="C430" s="17" t="s">
        <v>64</v>
      </c>
      <c r="D430" s="18">
        <v>15.3</v>
      </c>
      <c r="E430" s="18" t="s">
        <v>0</v>
      </c>
      <c r="F430" s="18">
        <f t="shared" si="59"/>
        <v>4</v>
      </c>
      <c r="G430" s="19">
        <f t="shared" si="60"/>
        <v>61.2</v>
      </c>
      <c r="H430" s="20">
        <f t="shared" si="61"/>
        <v>30.6</v>
      </c>
      <c r="I430" s="18">
        <v>2</v>
      </c>
      <c r="J430" s="20">
        <f t="shared" si="62"/>
        <v>122.4</v>
      </c>
    </row>
    <row r="431" spans="2:10" hidden="1" outlineLevel="1">
      <c r="B431" s="14"/>
      <c r="C431" s="17" t="s">
        <v>65</v>
      </c>
      <c r="D431" s="18">
        <v>12.4</v>
      </c>
      <c r="E431" s="18" t="s">
        <v>0</v>
      </c>
      <c r="F431" s="18">
        <f t="shared" si="59"/>
        <v>4</v>
      </c>
      <c r="G431" s="19">
        <f t="shared" si="60"/>
        <v>49.6</v>
      </c>
      <c r="H431" s="20">
        <f t="shared" si="61"/>
        <v>12.4</v>
      </c>
      <c r="I431" s="18">
        <v>1</v>
      </c>
      <c r="J431" s="20">
        <f t="shared" si="62"/>
        <v>49.6</v>
      </c>
    </row>
    <row r="432" spans="2:10" hidden="1" outlineLevel="1">
      <c r="B432" s="14"/>
      <c r="C432" s="17" t="s">
        <v>66</v>
      </c>
      <c r="D432" s="18">
        <v>6</v>
      </c>
      <c r="E432" s="18" t="s">
        <v>0</v>
      </c>
      <c r="F432" s="18">
        <f t="shared" si="59"/>
        <v>4</v>
      </c>
      <c r="G432" s="19">
        <f t="shared" si="60"/>
        <v>24</v>
      </c>
      <c r="H432" s="20">
        <f t="shared" si="61"/>
        <v>6</v>
      </c>
      <c r="I432" s="18">
        <v>1</v>
      </c>
      <c r="J432" s="20">
        <f t="shared" si="62"/>
        <v>24</v>
      </c>
    </row>
    <row r="433" spans="2:10" hidden="1" outlineLevel="1">
      <c r="B433" s="14"/>
      <c r="C433" s="17" t="s">
        <v>67</v>
      </c>
      <c r="D433" s="18">
        <v>3</v>
      </c>
      <c r="E433" s="18" t="s">
        <v>0</v>
      </c>
      <c r="F433" s="18">
        <f t="shared" si="59"/>
        <v>4</v>
      </c>
      <c r="G433" s="19">
        <f t="shared" si="60"/>
        <v>12</v>
      </c>
      <c r="H433" s="20">
        <f t="shared" si="61"/>
        <v>3</v>
      </c>
      <c r="I433" s="18">
        <v>1</v>
      </c>
      <c r="J433" s="20">
        <f t="shared" si="62"/>
        <v>12</v>
      </c>
    </row>
    <row r="434" spans="2:10" hidden="1" outlineLevel="1">
      <c r="B434" s="14"/>
      <c r="C434" s="17" t="s">
        <v>69</v>
      </c>
      <c r="D434" s="18">
        <v>6.6</v>
      </c>
      <c r="E434" s="18" t="s">
        <v>0</v>
      </c>
      <c r="F434" s="18">
        <f t="shared" si="59"/>
        <v>4</v>
      </c>
      <c r="G434" s="19">
        <f t="shared" si="60"/>
        <v>26.4</v>
      </c>
      <c r="H434" s="20">
        <f t="shared" si="61"/>
        <v>6.6</v>
      </c>
      <c r="I434" s="18">
        <v>1</v>
      </c>
      <c r="J434" s="20">
        <f t="shared" si="62"/>
        <v>26.4</v>
      </c>
    </row>
    <row r="435" spans="2:10" hidden="1" outlineLevel="1">
      <c r="B435" s="14"/>
      <c r="C435" s="17" t="s">
        <v>70</v>
      </c>
      <c r="D435" s="18">
        <v>2.9</v>
      </c>
      <c r="E435" s="18" t="s">
        <v>0</v>
      </c>
      <c r="F435" s="18">
        <f t="shared" si="59"/>
        <v>4</v>
      </c>
      <c r="G435" s="19">
        <f t="shared" si="60"/>
        <v>11.6</v>
      </c>
      <c r="H435" s="20">
        <f t="shared" si="61"/>
        <v>2.9</v>
      </c>
      <c r="I435" s="18">
        <v>1</v>
      </c>
      <c r="J435" s="20">
        <f t="shared" si="62"/>
        <v>11.6</v>
      </c>
    </row>
    <row r="436" spans="2:10" hidden="1" outlineLevel="1">
      <c r="B436" s="14"/>
      <c r="C436" s="17" t="s">
        <v>71</v>
      </c>
      <c r="D436" s="18">
        <v>5.6</v>
      </c>
      <c r="E436" s="18" t="s">
        <v>0</v>
      </c>
      <c r="F436" s="18">
        <f t="shared" si="59"/>
        <v>4</v>
      </c>
      <c r="G436" s="19">
        <f t="shared" si="60"/>
        <v>22.4</v>
      </c>
      <c r="H436" s="20">
        <f t="shared" si="61"/>
        <v>5.6</v>
      </c>
      <c r="I436" s="18">
        <v>1</v>
      </c>
      <c r="J436" s="20">
        <f t="shared" si="62"/>
        <v>22.4</v>
      </c>
    </row>
    <row r="437" spans="2:10" hidden="1" outlineLevel="1">
      <c r="B437" s="14"/>
      <c r="C437" s="17" t="s">
        <v>72</v>
      </c>
      <c r="D437" s="18">
        <v>3.55</v>
      </c>
      <c r="E437" s="18" t="s">
        <v>0</v>
      </c>
      <c r="F437" s="18">
        <f t="shared" si="59"/>
        <v>4</v>
      </c>
      <c r="G437" s="19">
        <f t="shared" si="60"/>
        <v>14.2</v>
      </c>
      <c r="H437" s="20">
        <f t="shared" si="61"/>
        <v>7.1</v>
      </c>
      <c r="I437" s="18">
        <v>2</v>
      </c>
      <c r="J437" s="20">
        <f t="shared" si="62"/>
        <v>28.4</v>
      </c>
    </row>
    <row r="438" spans="2:10" hidden="1" outlineLevel="1">
      <c r="B438" s="14"/>
      <c r="C438" s="17" t="s">
        <v>73</v>
      </c>
      <c r="D438" s="18">
        <v>9.1</v>
      </c>
      <c r="E438" s="18" t="s">
        <v>0</v>
      </c>
      <c r="F438" s="18">
        <f t="shared" si="59"/>
        <v>4</v>
      </c>
      <c r="G438" s="19">
        <f>PRODUCT(D438,E438,F438)</f>
        <v>36.4</v>
      </c>
      <c r="H438" s="20">
        <f t="shared" si="61"/>
        <v>9.1</v>
      </c>
      <c r="I438" s="18">
        <v>1</v>
      </c>
      <c r="J438" s="20">
        <f t="shared" si="62"/>
        <v>36.4</v>
      </c>
    </row>
    <row r="439" spans="2:10" hidden="1" outlineLevel="1">
      <c r="B439" s="14"/>
      <c r="C439" s="17" t="s">
        <v>74</v>
      </c>
      <c r="D439" s="18">
        <v>13.9</v>
      </c>
      <c r="E439" s="18" t="s">
        <v>0</v>
      </c>
      <c r="F439" s="18">
        <f t="shared" si="59"/>
        <v>4</v>
      </c>
      <c r="G439" s="19">
        <f t="shared" si="60"/>
        <v>55.6</v>
      </c>
      <c r="H439" s="20">
        <f t="shared" si="61"/>
        <v>41.7</v>
      </c>
      <c r="I439" s="18">
        <v>3</v>
      </c>
      <c r="J439" s="20">
        <f t="shared" si="62"/>
        <v>166.8</v>
      </c>
    </row>
    <row r="440" spans="2:10" hidden="1" outlineLevel="1">
      <c r="B440" s="14"/>
      <c r="C440" s="17" t="s">
        <v>75</v>
      </c>
      <c r="D440" s="18">
        <v>5.15</v>
      </c>
      <c r="E440" s="18" t="s">
        <v>0</v>
      </c>
      <c r="F440" s="18">
        <f t="shared" si="59"/>
        <v>4</v>
      </c>
      <c r="G440" s="19">
        <f>PRODUCT(D440,E440,F440)</f>
        <v>20.6</v>
      </c>
      <c r="H440" s="20">
        <f t="shared" si="61"/>
        <v>15.450000000000001</v>
      </c>
      <c r="I440" s="18">
        <v>3</v>
      </c>
      <c r="J440" s="20">
        <f t="shared" si="62"/>
        <v>61.800000000000004</v>
      </c>
    </row>
    <row r="441" spans="2:10" hidden="1" outlineLevel="1">
      <c r="B441" s="14"/>
      <c r="C441" s="17" t="s">
        <v>76</v>
      </c>
      <c r="D441" s="18">
        <v>8</v>
      </c>
      <c r="E441" s="18" t="s">
        <v>0</v>
      </c>
      <c r="F441" s="18">
        <f t="shared" si="59"/>
        <v>4</v>
      </c>
      <c r="G441" s="19">
        <f t="shared" si="60"/>
        <v>32</v>
      </c>
      <c r="H441" s="20">
        <f t="shared" si="61"/>
        <v>8</v>
      </c>
      <c r="I441" s="18">
        <v>1</v>
      </c>
      <c r="J441" s="20">
        <f t="shared" si="62"/>
        <v>32</v>
      </c>
    </row>
    <row r="442" spans="2:10" collapsed="1">
      <c r="B442" s="14"/>
      <c r="C442" s="24" t="s">
        <v>151</v>
      </c>
      <c r="D442" s="18"/>
      <c r="E442" s="18"/>
      <c r="F442" s="18" t="s">
        <v>0</v>
      </c>
      <c r="G442" s="19"/>
      <c r="H442" s="20"/>
      <c r="I442" s="18"/>
      <c r="J442" s="15">
        <f>SUM(J443:J448)</f>
        <v>455.8</v>
      </c>
    </row>
    <row r="443" spans="2:10" hidden="1" outlineLevel="1">
      <c r="B443" s="14"/>
      <c r="C443" s="17" t="s">
        <v>12</v>
      </c>
      <c r="D443" s="18">
        <v>6.25</v>
      </c>
      <c r="E443" s="18" t="s">
        <v>0</v>
      </c>
      <c r="F443" s="18">
        <f t="shared" si="59"/>
        <v>4</v>
      </c>
      <c r="G443" s="19">
        <f t="shared" ref="G443:G448" si="63">PRODUCT(D443,E443,F443)</f>
        <v>25</v>
      </c>
      <c r="H443" s="20">
        <f t="shared" ref="H443:H448" si="64">D443*I443</f>
        <v>25</v>
      </c>
      <c r="I443" s="18">
        <v>4</v>
      </c>
      <c r="J443" s="20">
        <f t="shared" ref="J443:J448" si="65">IF(G443&gt;0,G443*I443,H443*I443)</f>
        <v>100</v>
      </c>
    </row>
    <row r="444" spans="2:10" hidden="1" outlineLevel="1">
      <c r="B444" s="14"/>
      <c r="C444" s="17" t="s">
        <v>13</v>
      </c>
      <c r="D444" s="18">
        <v>2.5</v>
      </c>
      <c r="E444" s="18" t="s">
        <v>0</v>
      </c>
      <c r="F444" s="18">
        <f t="shared" si="59"/>
        <v>4</v>
      </c>
      <c r="G444" s="19">
        <f t="shared" si="63"/>
        <v>10</v>
      </c>
      <c r="H444" s="20">
        <f t="shared" si="64"/>
        <v>10</v>
      </c>
      <c r="I444" s="18">
        <v>4</v>
      </c>
      <c r="J444" s="20">
        <f t="shared" si="65"/>
        <v>40</v>
      </c>
    </row>
    <row r="445" spans="2:10" hidden="1" outlineLevel="1">
      <c r="B445" s="14"/>
      <c r="C445" s="17" t="s">
        <v>24</v>
      </c>
      <c r="D445" s="18">
        <v>6.9</v>
      </c>
      <c r="E445" s="18" t="s">
        <v>0</v>
      </c>
      <c r="F445" s="18">
        <f t="shared" si="59"/>
        <v>4</v>
      </c>
      <c r="G445" s="19">
        <f t="shared" si="63"/>
        <v>27.6</v>
      </c>
      <c r="H445" s="20">
        <f t="shared" si="64"/>
        <v>13.8</v>
      </c>
      <c r="I445" s="18">
        <v>2</v>
      </c>
      <c r="J445" s="20">
        <f t="shared" si="65"/>
        <v>55.2</v>
      </c>
    </row>
    <row r="446" spans="2:10" hidden="1" outlineLevel="1">
      <c r="B446" s="14"/>
      <c r="C446" s="17" t="s">
        <v>25</v>
      </c>
      <c r="D446" s="18">
        <v>39.35</v>
      </c>
      <c r="E446" s="18" t="s">
        <v>0</v>
      </c>
      <c r="F446" s="18">
        <f t="shared" si="59"/>
        <v>4</v>
      </c>
      <c r="G446" s="19">
        <f t="shared" si="63"/>
        <v>157.4</v>
      </c>
      <c r="H446" s="20">
        <f t="shared" si="64"/>
        <v>39.35</v>
      </c>
      <c r="I446" s="18">
        <v>1</v>
      </c>
      <c r="J446" s="20">
        <f t="shared" si="65"/>
        <v>157.4</v>
      </c>
    </row>
    <row r="447" spans="2:10" hidden="1" outlineLevel="1">
      <c r="B447" s="14"/>
      <c r="C447" s="17" t="s">
        <v>26</v>
      </c>
      <c r="D447" s="18">
        <v>3</v>
      </c>
      <c r="E447" s="18" t="s">
        <v>0</v>
      </c>
      <c r="F447" s="18">
        <f t="shared" si="59"/>
        <v>4</v>
      </c>
      <c r="G447" s="19">
        <f t="shared" si="63"/>
        <v>12</v>
      </c>
      <c r="H447" s="20">
        <f t="shared" si="64"/>
        <v>6</v>
      </c>
      <c r="I447" s="18">
        <v>2</v>
      </c>
      <c r="J447" s="20">
        <f t="shared" si="65"/>
        <v>24</v>
      </c>
    </row>
    <row r="448" spans="2:10" hidden="1" outlineLevel="1">
      <c r="B448" s="14"/>
      <c r="C448" s="17" t="s">
        <v>27</v>
      </c>
      <c r="D448" s="18">
        <v>9.9</v>
      </c>
      <c r="E448" s="18" t="s">
        <v>0</v>
      </c>
      <c r="F448" s="18">
        <f t="shared" si="59"/>
        <v>4</v>
      </c>
      <c r="G448" s="19">
        <f t="shared" si="63"/>
        <v>39.6</v>
      </c>
      <c r="H448" s="20">
        <f t="shared" si="64"/>
        <v>19.8</v>
      </c>
      <c r="I448" s="18">
        <v>2</v>
      </c>
      <c r="J448" s="20">
        <f t="shared" si="65"/>
        <v>79.2</v>
      </c>
    </row>
    <row r="449" spans="2:10" collapsed="1"/>
    <row r="450" spans="2:10">
      <c r="B450" s="14" t="s">
        <v>154</v>
      </c>
      <c r="C450" s="1004" t="s">
        <v>155</v>
      </c>
      <c r="D450" s="1004"/>
      <c r="E450" s="1004"/>
      <c r="F450" s="1004"/>
      <c r="G450" s="1004"/>
      <c r="H450" s="1004"/>
      <c r="I450" s="1004"/>
      <c r="J450" s="15"/>
    </row>
    <row r="451" spans="2:10">
      <c r="B451" s="14"/>
      <c r="C451" s="24" t="s">
        <v>77</v>
      </c>
      <c r="D451" s="18"/>
      <c r="E451" s="18"/>
      <c r="F451" s="18"/>
      <c r="G451" s="19"/>
      <c r="H451" s="20"/>
      <c r="I451" s="18"/>
      <c r="J451" s="23">
        <f>SUM(J452:J508)</f>
        <v>2524.6000000000004</v>
      </c>
    </row>
    <row r="452" spans="2:10" hidden="1" outlineLevel="1">
      <c r="B452" s="14"/>
      <c r="C452" s="17" t="s">
        <v>10</v>
      </c>
      <c r="D452" s="18">
        <v>15</v>
      </c>
      <c r="E452" s="18" t="s">
        <v>0</v>
      </c>
      <c r="F452" s="18">
        <f>$I$12</f>
        <v>4</v>
      </c>
      <c r="G452" s="19">
        <f>PRODUCT(D452,E452,F452)</f>
        <v>60</v>
      </c>
      <c r="H452" s="20">
        <f t="shared" ref="H452:H467" si="66">D452*I452</f>
        <v>15</v>
      </c>
      <c r="I452" s="18">
        <v>1</v>
      </c>
      <c r="J452" s="20">
        <f t="shared" ref="J452:J467" si="67">IF(G452&gt;0,G452*I452,H452*I452)</f>
        <v>60</v>
      </c>
    </row>
    <row r="453" spans="2:10" hidden="1" outlineLevel="1">
      <c r="B453" s="14"/>
      <c r="C453" s="17" t="s">
        <v>131</v>
      </c>
      <c r="D453" s="18">
        <v>5.3</v>
      </c>
      <c r="E453" s="18" t="s">
        <v>0</v>
      </c>
      <c r="F453" s="18">
        <f>$F$452</f>
        <v>4</v>
      </c>
      <c r="G453" s="19">
        <f t="shared" ref="G453:G467" si="68">PRODUCT(D453,E453,F453)</f>
        <v>21.2</v>
      </c>
      <c r="H453" s="20">
        <f t="shared" si="66"/>
        <v>5.3</v>
      </c>
      <c r="I453" s="18">
        <v>1</v>
      </c>
      <c r="J453" s="20">
        <f t="shared" si="67"/>
        <v>21.2</v>
      </c>
    </row>
    <row r="454" spans="2:10" hidden="1" outlineLevel="1">
      <c r="B454" s="14"/>
      <c r="C454" s="17" t="s">
        <v>132</v>
      </c>
      <c r="D454" s="18">
        <v>10.75</v>
      </c>
      <c r="E454" s="18" t="s">
        <v>0</v>
      </c>
      <c r="F454" s="18">
        <f t="shared" ref="F454:F515" si="69">$F$452</f>
        <v>4</v>
      </c>
      <c r="G454" s="19">
        <f t="shared" si="68"/>
        <v>43</v>
      </c>
      <c r="H454" s="20">
        <f t="shared" si="66"/>
        <v>10.75</v>
      </c>
      <c r="I454" s="18">
        <v>1</v>
      </c>
      <c r="J454" s="20">
        <f t="shared" si="67"/>
        <v>43</v>
      </c>
    </row>
    <row r="455" spans="2:10" hidden="1" outlineLevel="1">
      <c r="B455" s="14"/>
      <c r="C455" s="17" t="s">
        <v>133</v>
      </c>
      <c r="D455" s="18">
        <v>8.1999999999999993</v>
      </c>
      <c r="E455" s="18" t="s">
        <v>0</v>
      </c>
      <c r="F455" s="18">
        <f t="shared" si="69"/>
        <v>4</v>
      </c>
      <c r="G455" s="19">
        <f t="shared" si="68"/>
        <v>32.799999999999997</v>
      </c>
      <c r="H455" s="20">
        <f t="shared" si="66"/>
        <v>8.1999999999999993</v>
      </c>
      <c r="I455" s="18">
        <v>1</v>
      </c>
      <c r="J455" s="20">
        <f t="shared" si="67"/>
        <v>32.799999999999997</v>
      </c>
    </row>
    <row r="456" spans="2:10" hidden="1" outlineLevel="1">
      <c r="B456" s="14"/>
      <c r="C456" s="17" t="s">
        <v>134</v>
      </c>
      <c r="D456" s="18">
        <v>3.2</v>
      </c>
      <c r="E456" s="18" t="s">
        <v>0</v>
      </c>
      <c r="F456" s="18">
        <f t="shared" si="69"/>
        <v>4</v>
      </c>
      <c r="G456" s="19">
        <f t="shared" si="68"/>
        <v>12.8</v>
      </c>
      <c r="H456" s="20">
        <f t="shared" si="66"/>
        <v>19.200000000000003</v>
      </c>
      <c r="I456" s="18">
        <v>6</v>
      </c>
      <c r="J456" s="20">
        <f t="shared" si="67"/>
        <v>76.800000000000011</v>
      </c>
    </row>
    <row r="457" spans="2:10" hidden="1" outlineLevel="1">
      <c r="B457" s="14"/>
      <c r="C457" s="17" t="s">
        <v>135</v>
      </c>
      <c r="D457" s="18">
        <v>3.8</v>
      </c>
      <c r="E457" s="18" t="s">
        <v>0</v>
      </c>
      <c r="F457" s="18">
        <f t="shared" si="69"/>
        <v>4</v>
      </c>
      <c r="G457" s="19">
        <f t="shared" si="68"/>
        <v>15.2</v>
      </c>
      <c r="H457" s="20">
        <f t="shared" si="66"/>
        <v>3.8</v>
      </c>
      <c r="I457" s="18">
        <v>1</v>
      </c>
      <c r="J457" s="20">
        <f t="shared" si="67"/>
        <v>15.2</v>
      </c>
    </row>
    <row r="458" spans="2:10" hidden="1" outlineLevel="1">
      <c r="B458" s="14"/>
      <c r="C458" s="17" t="s">
        <v>136</v>
      </c>
      <c r="D458" s="18">
        <v>0</v>
      </c>
      <c r="E458" s="18" t="s">
        <v>0</v>
      </c>
      <c r="F458" s="18">
        <f t="shared" si="69"/>
        <v>4</v>
      </c>
      <c r="G458" s="19">
        <f t="shared" si="68"/>
        <v>0</v>
      </c>
      <c r="H458" s="20">
        <f t="shared" si="66"/>
        <v>0</v>
      </c>
      <c r="I458" s="18">
        <v>1</v>
      </c>
      <c r="J458" s="20">
        <f t="shared" si="67"/>
        <v>0</v>
      </c>
    </row>
    <row r="459" spans="2:10" hidden="1" outlineLevel="1">
      <c r="B459" s="14"/>
      <c r="C459" s="17" t="s">
        <v>137</v>
      </c>
      <c r="D459" s="18">
        <v>4.25</v>
      </c>
      <c r="E459" s="18" t="s">
        <v>0</v>
      </c>
      <c r="F459" s="18">
        <f t="shared" si="69"/>
        <v>4</v>
      </c>
      <c r="G459" s="19">
        <f t="shared" si="68"/>
        <v>17</v>
      </c>
      <c r="H459" s="20">
        <f t="shared" si="66"/>
        <v>8.5</v>
      </c>
      <c r="I459" s="18">
        <v>2</v>
      </c>
      <c r="J459" s="20">
        <f t="shared" si="67"/>
        <v>34</v>
      </c>
    </row>
    <row r="460" spans="2:10" hidden="1" outlineLevel="1">
      <c r="B460" s="14"/>
      <c r="C460" s="17" t="s">
        <v>11</v>
      </c>
      <c r="D460" s="18">
        <v>23.75</v>
      </c>
      <c r="E460" s="18" t="s">
        <v>0</v>
      </c>
      <c r="F460" s="18">
        <f t="shared" si="69"/>
        <v>4</v>
      </c>
      <c r="G460" s="19">
        <f t="shared" si="68"/>
        <v>95</v>
      </c>
      <c r="H460" s="20">
        <f t="shared" si="66"/>
        <v>23.75</v>
      </c>
      <c r="I460" s="18">
        <v>1</v>
      </c>
      <c r="J460" s="20">
        <f t="shared" si="67"/>
        <v>95</v>
      </c>
    </row>
    <row r="461" spans="2:10" hidden="1" outlineLevel="1">
      <c r="B461" s="14"/>
      <c r="C461" s="17" t="s">
        <v>138</v>
      </c>
      <c r="D461" s="18">
        <v>15.85</v>
      </c>
      <c r="E461" s="18" t="s">
        <v>0</v>
      </c>
      <c r="F461" s="18">
        <f t="shared" si="69"/>
        <v>4</v>
      </c>
      <c r="G461" s="19">
        <f t="shared" si="68"/>
        <v>63.4</v>
      </c>
      <c r="H461" s="20">
        <f t="shared" si="66"/>
        <v>47.55</v>
      </c>
      <c r="I461" s="18">
        <v>3</v>
      </c>
      <c r="J461" s="20">
        <f t="shared" si="67"/>
        <v>190.2</v>
      </c>
    </row>
    <row r="462" spans="2:10" hidden="1" outlineLevel="1">
      <c r="B462" s="14"/>
      <c r="C462" s="17" t="s">
        <v>139</v>
      </c>
      <c r="D462" s="18">
        <v>18</v>
      </c>
      <c r="E462" s="18" t="s">
        <v>0</v>
      </c>
      <c r="F462" s="18">
        <f t="shared" si="69"/>
        <v>4</v>
      </c>
      <c r="G462" s="19">
        <f t="shared" si="68"/>
        <v>72</v>
      </c>
      <c r="H462" s="20">
        <f t="shared" si="66"/>
        <v>18</v>
      </c>
      <c r="I462" s="18">
        <v>1</v>
      </c>
      <c r="J462" s="20">
        <f t="shared" si="67"/>
        <v>72</v>
      </c>
    </row>
    <row r="463" spans="2:10" hidden="1" outlineLevel="1">
      <c r="B463" s="14"/>
      <c r="C463" s="17" t="s">
        <v>140</v>
      </c>
      <c r="D463" s="18">
        <v>3.05</v>
      </c>
      <c r="E463" s="18" t="s">
        <v>0</v>
      </c>
      <c r="F463" s="18">
        <f t="shared" si="69"/>
        <v>4</v>
      </c>
      <c r="G463" s="19">
        <f t="shared" si="68"/>
        <v>12.2</v>
      </c>
      <c r="H463" s="20">
        <f t="shared" si="66"/>
        <v>6.1</v>
      </c>
      <c r="I463" s="18">
        <v>2</v>
      </c>
      <c r="J463" s="20">
        <f t="shared" si="67"/>
        <v>24.4</v>
      </c>
    </row>
    <row r="464" spans="2:10" hidden="1" outlineLevel="1">
      <c r="B464" s="14"/>
      <c r="C464" s="17" t="s">
        <v>141</v>
      </c>
      <c r="D464" s="18">
        <v>12.8</v>
      </c>
      <c r="E464" s="18" t="s">
        <v>0</v>
      </c>
      <c r="F464" s="18">
        <f t="shared" si="69"/>
        <v>4</v>
      </c>
      <c r="G464" s="19">
        <f t="shared" si="68"/>
        <v>51.2</v>
      </c>
      <c r="H464" s="20">
        <f t="shared" si="66"/>
        <v>12.8</v>
      </c>
      <c r="I464" s="18">
        <v>1</v>
      </c>
      <c r="J464" s="20">
        <f t="shared" si="67"/>
        <v>51.2</v>
      </c>
    </row>
    <row r="465" spans="2:10" hidden="1" outlineLevel="1">
      <c r="B465" s="14"/>
      <c r="C465" s="17" t="s">
        <v>142</v>
      </c>
      <c r="D465" s="18">
        <v>3.05</v>
      </c>
      <c r="E465" s="18" t="s">
        <v>0</v>
      </c>
      <c r="F465" s="18">
        <f t="shared" si="69"/>
        <v>4</v>
      </c>
      <c r="G465" s="19">
        <f t="shared" si="68"/>
        <v>12.2</v>
      </c>
      <c r="H465" s="20">
        <f t="shared" si="66"/>
        <v>6.1</v>
      </c>
      <c r="I465" s="18">
        <v>2</v>
      </c>
      <c r="J465" s="20">
        <f t="shared" si="67"/>
        <v>24.4</v>
      </c>
    </row>
    <row r="466" spans="2:10" hidden="1" outlineLevel="1">
      <c r="B466" s="14"/>
      <c r="C466" s="17" t="s">
        <v>143</v>
      </c>
      <c r="D466" s="18">
        <v>1.8</v>
      </c>
      <c r="E466" s="18" t="s">
        <v>0</v>
      </c>
      <c r="F466" s="18">
        <f t="shared" si="69"/>
        <v>4</v>
      </c>
      <c r="G466" s="19">
        <f t="shared" si="68"/>
        <v>7.2</v>
      </c>
      <c r="H466" s="20">
        <f t="shared" si="66"/>
        <v>1.8</v>
      </c>
      <c r="I466" s="18">
        <v>1</v>
      </c>
      <c r="J466" s="20">
        <f t="shared" si="67"/>
        <v>7.2</v>
      </c>
    </row>
    <row r="467" spans="2:10" hidden="1" outlineLevel="1">
      <c r="B467" s="14"/>
      <c r="C467" s="17" t="s">
        <v>148</v>
      </c>
      <c r="D467" s="18">
        <v>12.25</v>
      </c>
      <c r="E467" s="18" t="s">
        <v>0</v>
      </c>
      <c r="F467" s="18">
        <f t="shared" si="69"/>
        <v>4</v>
      </c>
      <c r="G467" s="19">
        <f t="shared" si="68"/>
        <v>49</v>
      </c>
      <c r="H467" s="20">
        <f t="shared" si="66"/>
        <v>12.25</v>
      </c>
      <c r="I467" s="18">
        <v>1</v>
      </c>
      <c r="J467" s="20">
        <f t="shared" si="67"/>
        <v>49</v>
      </c>
    </row>
    <row r="468" spans="2:10" hidden="1" outlineLevel="1">
      <c r="B468" s="14"/>
      <c r="C468" s="17"/>
      <c r="D468" s="18"/>
      <c r="E468" s="18"/>
      <c r="F468" s="18" t="s">
        <v>0</v>
      </c>
      <c r="G468" s="19"/>
      <c r="H468" s="20"/>
      <c r="I468" s="18"/>
      <c r="J468" s="20"/>
    </row>
    <row r="469" spans="2:10" hidden="1" outlineLevel="1">
      <c r="B469" s="14"/>
      <c r="C469" s="17" t="s">
        <v>37</v>
      </c>
      <c r="D469" s="18">
        <v>11.75</v>
      </c>
      <c r="E469" s="18" t="s">
        <v>0</v>
      </c>
      <c r="F469" s="18">
        <f t="shared" si="69"/>
        <v>4</v>
      </c>
      <c r="G469" s="19">
        <f t="shared" ref="G469:G508" si="70">PRODUCT(D469,E469,F469)</f>
        <v>47</v>
      </c>
      <c r="H469" s="20">
        <f t="shared" ref="H469:H508" si="71">D469*I469</f>
        <v>11.75</v>
      </c>
      <c r="I469" s="18">
        <v>1</v>
      </c>
      <c r="J469" s="20">
        <f t="shared" ref="J469:J508" si="72">IF(G469&gt;0,G469*I469,H469*I469)</f>
        <v>47</v>
      </c>
    </row>
    <row r="470" spans="2:10" hidden="1" outlineLevel="1">
      <c r="B470" s="14"/>
      <c r="C470" s="17" t="s">
        <v>38</v>
      </c>
      <c r="D470" s="18">
        <v>2.2999999999999998</v>
      </c>
      <c r="E470" s="18" t="s">
        <v>0</v>
      </c>
      <c r="F470" s="18">
        <f t="shared" si="69"/>
        <v>4</v>
      </c>
      <c r="G470" s="19">
        <f t="shared" si="70"/>
        <v>9.1999999999999993</v>
      </c>
      <c r="H470" s="20">
        <f t="shared" si="71"/>
        <v>2.2999999999999998</v>
      </c>
      <c r="I470" s="18">
        <v>1</v>
      </c>
      <c r="J470" s="20">
        <f t="shared" si="72"/>
        <v>9.1999999999999993</v>
      </c>
    </row>
    <row r="471" spans="2:10" hidden="1" outlineLevel="1">
      <c r="B471" s="14"/>
      <c r="C471" s="17" t="s">
        <v>39</v>
      </c>
      <c r="D471" s="18">
        <v>3.9</v>
      </c>
      <c r="E471" s="18" t="s">
        <v>0</v>
      </c>
      <c r="F471" s="18">
        <f t="shared" si="69"/>
        <v>4</v>
      </c>
      <c r="G471" s="19">
        <f t="shared" si="70"/>
        <v>15.6</v>
      </c>
      <c r="H471" s="20">
        <f t="shared" si="71"/>
        <v>3.9</v>
      </c>
      <c r="I471" s="18">
        <v>1</v>
      </c>
      <c r="J471" s="20">
        <f t="shared" si="72"/>
        <v>15.6</v>
      </c>
    </row>
    <row r="472" spans="2:10" hidden="1" outlineLevel="1">
      <c r="B472" s="14"/>
      <c r="C472" s="17" t="s">
        <v>40</v>
      </c>
      <c r="D472" s="18">
        <v>4.05</v>
      </c>
      <c r="E472" s="18" t="s">
        <v>0</v>
      </c>
      <c r="F472" s="18">
        <f t="shared" si="69"/>
        <v>4</v>
      </c>
      <c r="G472" s="19">
        <f t="shared" si="70"/>
        <v>16.2</v>
      </c>
      <c r="H472" s="20">
        <f t="shared" si="71"/>
        <v>12.149999999999999</v>
      </c>
      <c r="I472" s="18">
        <v>3</v>
      </c>
      <c r="J472" s="20">
        <f t="shared" si="72"/>
        <v>48.599999999999994</v>
      </c>
    </row>
    <row r="473" spans="2:10" hidden="1" outlineLevel="1">
      <c r="B473" s="14"/>
      <c r="C473" s="17" t="s">
        <v>41</v>
      </c>
      <c r="D473" s="18">
        <v>1.75</v>
      </c>
      <c r="E473" s="18" t="s">
        <v>0</v>
      </c>
      <c r="F473" s="18">
        <f t="shared" si="69"/>
        <v>4</v>
      </c>
      <c r="G473" s="19">
        <f t="shared" si="70"/>
        <v>7</v>
      </c>
      <c r="H473" s="20">
        <f t="shared" si="71"/>
        <v>1.75</v>
      </c>
      <c r="I473" s="18">
        <v>1</v>
      </c>
      <c r="J473" s="20">
        <f t="shared" si="72"/>
        <v>7</v>
      </c>
    </row>
    <row r="474" spans="2:10" hidden="1" outlineLevel="1">
      <c r="B474" s="14"/>
      <c r="C474" s="17" t="s">
        <v>42</v>
      </c>
      <c r="D474" s="18">
        <v>12.25</v>
      </c>
      <c r="E474" s="18" t="s">
        <v>0</v>
      </c>
      <c r="F474" s="18">
        <f t="shared" si="69"/>
        <v>4</v>
      </c>
      <c r="G474" s="19">
        <f t="shared" si="70"/>
        <v>49</v>
      </c>
      <c r="H474" s="20">
        <f t="shared" si="71"/>
        <v>12.25</v>
      </c>
      <c r="I474" s="18">
        <v>1</v>
      </c>
      <c r="J474" s="20">
        <f t="shared" si="72"/>
        <v>49</v>
      </c>
    </row>
    <row r="475" spans="2:10" hidden="1" outlineLevel="1">
      <c r="B475" s="14"/>
      <c r="C475" s="17" t="s">
        <v>43</v>
      </c>
      <c r="D475" s="18">
        <v>12.6</v>
      </c>
      <c r="E475" s="18" t="s">
        <v>0</v>
      </c>
      <c r="F475" s="18">
        <f t="shared" si="69"/>
        <v>4</v>
      </c>
      <c r="G475" s="19">
        <f t="shared" si="70"/>
        <v>50.4</v>
      </c>
      <c r="H475" s="20">
        <f t="shared" si="71"/>
        <v>12.6</v>
      </c>
      <c r="I475" s="18">
        <v>1</v>
      </c>
      <c r="J475" s="20">
        <f t="shared" si="72"/>
        <v>50.4</v>
      </c>
    </row>
    <row r="476" spans="2:10" hidden="1" outlineLevel="1">
      <c r="B476" s="14"/>
      <c r="C476" s="17" t="s">
        <v>44</v>
      </c>
      <c r="D476" s="18">
        <v>8.25</v>
      </c>
      <c r="E476" s="18" t="s">
        <v>0</v>
      </c>
      <c r="F476" s="18">
        <f t="shared" si="69"/>
        <v>4</v>
      </c>
      <c r="G476" s="19">
        <f t="shared" si="70"/>
        <v>33</v>
      </c>
      <c r="H476" s="20">
        <f t="shared" si="71"/>
        <v>41.25</v>
      </c>
      <c r="I476" s="18">
        <v>5</v>
      </c>
      <c r="J476" s="20">
        <f t="shared" si="72"/>
        <v>165</v>
      </c>
    </row>
    <row r="477" spans="2:10" hidden="1" outlineLevel="1">
      <c r="B477" s="14"/>
      <c r="C477" s="17" t="s">
        <v>45</v>
      </c>
      <c r="D477" s="18">
        <v>3.7</v>
      </c>
      <c r="E477" s="18" t="s">
        <v>0</v>
      </c>
      <c r="F477" s="18">
        <f t="shared" si="69"/>
        <v>4</v>
      </c>
      <c r="G477" s="19">
        <f t="shared" si="70"/>
        <v>14.8</v>
      </c>
      <c r="H477" s="20">
        <f t="shared" si="71"/>
        <v>11.100000000000001</v>
      </c>
      <c r="I477" s="18">
        <v>3</v>
      </c>
      <c r="J477" s="20">
        <f t="shared" si="72"/>
        <v>44.400000000000006</v>
      </c>
    </row>
    <row r="478" spans="2:10" hidden="1" outlineLevel="1">
      <c r="B478" s="14"/>
      <c r="C478" s="17" t="s">
        <v>46</v>
      </c>
      <c r="D478" s="18">
        <v>4.1500000000000004</v>
      </c>
      <c r="E478" s="18" t="s">
        <v>0</v>
      </c>
      <c r="F478" s="18">
        <f t="shared" si="69"/>
        <v>4</v>
      </c>
      <c r="G478" s="19">
        <f t="shared" si="70"/>
        <v>16.600000000000001</v>
      </c>
      <c r="H478" s="20">
        <f t="shared" si="71"/>
        <v>16.600000000000001</v>
      </c>
      <c r="I478" s="18">
        <v>4</v>
      </c>
      <c r="J478" s="20">
        <f t="shared" si="72"/>
        <v>66.400000000000006</v>
      </c>
    </row>
    <row r="479" spans="2:10" hidden="1" outlineLevel="1">
      <c r="B479" s="14"/>
      <c r="C479" s="17" t="s">
        <v>47</v>
      </c>
      <c r="D479" s="18">
        <v>1.85</v>
      </c>
      <c r="E479" s="18" t="s">
        <v>0</v>
      </c>
      <c r="F479" s="18">
        <f t="shared" si="69"/>
        <v>4</v>
      </c>
      <c r="G479" s="19">
        <f t="shared" si="70"/>
        <v>7.4</v>
      </c>
      <c r="H479" s="20">
        <f t="shared" si="71"/>
        <v>5.5500000000000007</v>
      </c>
      <c r="I479" s="18">
        <v>3</v>
      </c>
      <c r="J479" s="20">
        <f t="shared" si="72"/>
        <v>22.200000000000003</v>
      </c>
    </row>
    <row r="480" spans="2:10" hidden="1" outlineLevel="1">
      <c r="B480" s="14"/>
      <c r="C480" s="17" t="s">
        <v>48</v>
      </c>
      <c r="D480" s="18">
        <v>24.9</v>
      </c>
      <c r="E480" s="18" t="s">
        <v>0</v>
      </c>
      <c r="F480" s="18">
        <f t="shared" si="69"/>
        <v>4</v>
      </c>
      <c r="G480" s="19">
        <f t="shared" si="70"/>
        <v>99.6</v>
      </c>
      <c r="H480" s="20">
        <f t="shared" si="71"/>
        <v>24.9</v>
      </c>
      <c r="I480" s="18">
        <v>1</v>
      </c>
      <c r="J480" s="20">
        <f t="shared" si="72"/>
        <v>99.6</v>
      </c>
    </row>
    <row r="481" spans="2:10" hidden="1" outlineLevel="1">
      <c r="B481" s="14"/>
      <c r="C481" s="17" t="s">
        <v>49</v>
      </c>
      <c r="D481" s="18">
        <v>11.35</v>
      </c>
      <c r="E481" s="18" t="s">
        <v>0</v>
      </c>
      <c r="F481" s="18">
        <f t="shared" si="69"/>
        <v>4</v>
      </c>
      <c r="G481" s="19">
        <f t="shared" si="70"/>
        <v>45.4</v>
      </c>
      <c r="H481" s="20">
        <f t="shared" si="71"/>
        <v>11.35</v>
      </c>
      <c r="I481" s="18">
        <v>1</v>
      </c>
      <c r="J481" s="20">
        <f t="shared" si="72"/>
        <v>45.4</v>
      </c>
    </row>
    <row r="482" spans="2:10" hidden="1" outlineLevel="1">
      <c r="B482" s="14"/>
      <c r="C482" s="17" t="s">
        <v>50</v>
      </c>
      <c r="D482" s="18">
        <v>2.25</v>
      </c>
      <c r="E482" s="18" t="s">
        <v>0</v>
      </c>
      <c r="F482" s="18">
        <f t="shared" si="69"/>
        <v>4</v>
      </c>
      <c r="G482" s="19">
        <f t="shared" si="70"/>
        <v>9</v>
      </c>
      <c r="H482" s="20">
        <f t="shared" si="71"/>
        <v>6.75</v>
      </c>
      <c r="I482" s="18">
        <v>3</v>
      </c>
      <c r="J482" s="20">
        <f t="shared" si="72"/>
        <v>27</v>
      </c>
    </row>
    <row r="483" spans="2:10" hidden="1" outlineLevel="1">
      <c r="B483" s="14"/>
      <c r="C483" s="17" t="s">
        <v>51</v>
      </c>
      <c r="D483" s="18">
        <v>5.3</v>
      </c>
      <c r="E483" s="18" t="s">
        <v>0</v>
      </c>
      <c r="F483" s="18">
        <f t="shared" si="69"/>
        <v>4</v>
      </c>
      <c r="G483" s="19">
        <f t="shared" si="70"/>
        <v>21.2</v>
      </c>
      <c r="H483" s="20">
        <f t="shared" si="71"/>
        <v>5.3</v>
      </c>
      <c r="I483" s="18">
        <v>1</v>
      </c>
      <c r="J483" s="20">
        <f t="shared" si="72"/>
        <v>21.2</v>
      </c>
    </row>
    <row r="484" spans="2:10" hidden="1" outlineLevel="1">
      <c r="B484" s="14"/>
      <c r="C484" s="17" t="s">
        <v>52</v>
      </c>
      <c r="D484" s="18">
        <v>3.55</v>
      </c>
      <c r="E484" s="18" t="s">
        <v>0</v>
      </c>
      <c r="F484" s="18">
        <f t="shared" si="69"/>
        <v>4</v>
      </c>
      <c r="G484" s="19">
        <f t="shared" si="70"/>
        <v>14.2</v>
      </c>
      <c r="H484" s="20">
        <f t="shared" si="71"/>
        <v>3.55</v>
      </c>
      <c r="I484" s="18">
        <v>1</v>
      </c>
      <c r="J484" s="20">
        <f t="shared" si="72"/>
        <v>14.2</v>
      </c>
    </row>
    <row r="485" spans="2:10" hidden="1" outlineLevel="1">
      <c r="B485" s="14"/>
      <c r="C485" s="17" t="s">
        <v>53</v>
      </c>
      <c r="D485" s="18">
        <v>4.5</v>
      </c>
      <c r="E485" s="18" t="s">
        <v>0</v>
      </c>
      <c r="F485" s="18">
        <f t="shared" si="69"/>
        <v>4</v>
      </c>
      <c r="G485" s="19">
        <f t="shared" si="70"/>
        <v>18</v>
      </c>
      <c r="H485" s="20">
        <f t="shared" si="71"/>
        <v>4.5</v>
      </c>
      <c r="I485" s="18">
        <v>1</v>
      </c>
      <c r="J485" s="20">
        <f t="shared" si="72"/>
        <v>18</v>
      </c>
    </row>
    <row r="486" spans="2:10" hidden="1" outlineLevel="1">
      <c r="B486" s="14"/>
      <c r="C486" s="17" t="s">
        <v>54</v>
      </c>
      <c r="D486" s="18">
        <v>3.15</v>
      </c>
      <c r="E486" s="18" t="s">
        <v>0</v>
      </c>
      <c r="F486" s="18">
        <f t="shared" si="69"/>
        <v>4</v>
      </c>
      <c r="G486" s="19">
        <f t="shared" si="70"/>
        <v>12.6</v>
      </c>
      <c r="H486" s="20">
        <f t="shared" si="71"/>
        <v>3.15</v>
      </c>
      <c r="I486" s="18">
        <v>1</v>
      </c>
      <c r="J486" s="20">
        <f t="shared" si="72"/>
        <v>12.6</v>
      </c>
    </row>
    <row r="487" spans="2:10" hidden="1" outlineLevel="1">
      <c r="B487" s="14"/>
      <c r="C487" s="17" t="s">
        <v>55</v>
      </c>
      <c r="D487" s="18">
        <v>7.65</v>
      </c>
      <c r="E487" s="18" t="s">
        <v>0</v>
      </c>
      <c r="F487" s="18">
        <f t="shared" si="69"/>
        <v>4</v>
      </c>
      <c r="G487" s="19">
        <f>PRODUCT(D487,E487,F487)</f>
        <v>30.6</v>
      </c>
      <c r="H487" s="20">
        <f t="shared" si="71"/>
        <v>7.65</v>
      </c>
      <c r="I487" s="18">
        <v>1</v>
      </c>
      <c r="J487" s="20">
        <f t="shared" si="72"/>
        <v>30.6</v>
      </c>
    </row>
    <row r="488" spans="2:10" hidden="1" outlineLevel="1">
      <c r="B488" s="14"/>
      <c r="C488" s="17" t="s">
        <v>56</v>
      </c>
      <c r="D488" s="18">
        <v>10.4</v>
      </c>
      <c r="E488" s="18" t="s">
        <v>0</v>
      </c>
      <c r="F488" s="18">
        <f t="shared" si="69"/>
        <v>4</v>
      </c>
      <c r="G488" s="19">
        <f t="shared" si="70"/>
        <v>41.6</v>
      </c>
      <c r="H488" s="20">
        <f t="shared" si="71"/>
        <v>10.4</v>
      </c>
      <c r="I488" s="18">
        <v>1</v>
      </c>
      <c r="J488" s="20">
        <f t="shared" si="72"/>
        <v>41.6</v>
      </c>
    </row>
    <row r="489" spans="2:10" hidden="1" outlineLevel="1">
      <c r="B489" s="14"/>
      <c r="C489" s="26" t="s">
        <v>58</v>
      </c>
      <c r="D489" s="18">
        <v>3</v>
      </c>
      <c r="E489" s="18" t="s">
        <v>0</v>
      </c>
      <c r="F489" s="18">
        <f t="shared" si="69"/>
        <v>4</v>
      </c>
      <c r="G489" s="27">
        <f t="shared" si="70"/>
        <v>12</v>
      </c>
      <c r="H489" s="20">
        <f t="shared" si="71"/>
        <v>9</v>
      </c>
      <c r="I489" s="18">
        <v>3</v>
      </c>
      <c r="J489" s="20">
        <f t="shared" si="72"/>
        <v>36</v>
      </c>
    </row>
    <row r="490" spans="2:10" hidden="1" outlineLevel="1">
      <c r="B490" s="14"/>
      <c r="C490" s="26" t="s">
        <v>59</v>
      </c>
      <c r="D490" s="18">
        <v>6.9</v>
      </c>
      <c r="E490" s="18" t="s">
        <v>0</v>
      </c>
      <c r="F490" s="18">
        <f t="shared" si="69"/>
        <v>4</v>
      </c>
      <c r="G490" s="27">
        <f t="shared" si="70"/>
        <v>27.6</v>
      </c>
      <c r="H490" s="20">
        <f t="shared" si="71"/>
        <v>41.400000000000006</v>
      </c>
      <c r="I490" s="18">
        <v>6</v>
      </c>
      <c r="J490" s="20">
        <f t="shared" si="72"/>
        <v>165.60000000000002</v>
      </c>
    </row>
    <row r="491" spans="2:10" hidden="1" outlineLevel="1">
      <c r="B491" s="14"/>
      <c r="C491" s="26" t="s">
        <v>60</v>
      </c>
      <c r="D491" s="18">
        <v>5.35</v>
      </c>
      <c r="E491" s="18" t="s">
        <v>0</v>
      </c>
      <c r="F491" s="18">
        <f t="shared" si="69"/>
        <v>4</v>
      </c>
      <c r="G491" s="27">
        <f t="shared" si="70"/>
        <v>21.4</v>
      </c>
      <c r="H491" s="20">
        <f t="shared" si="71"/>
        <v>10.7</v>
      </c>
      <c r="I491" s="18">
        <v>2</v>
      </c>
      <c r="J491" s="20">
        <f t="shared" si="72"/>
        <v>42.8</v>
      </c>
    </row>
    <row r="492" spans="2:10" hidden="1" outlineLevel="1">
      <c r="B492" s="14"/>
      <c r="C492" s="26" t="s">
        <v>61</v>
      </c>
      <c r="D492" s="18">
        <v>1.55</v>
      </c>
      <c r="E492" s="18" t="s">
        <v>0</v>
      </c>
      <c r="F492" s="18">
        <f t="shared" si="69"/>
        <v>4</v>
      </c>
      <c r="G492" s="27">
        <f t="shared" si="70"/>
        <v>6.2</v>
      </c>
      <c r="H492" s="20">
        <f t="shared" si="71"/>
        <v>1.55</v>
      </c>
      <c r="I492" s="18">
        <v>1</v>
      </c>
      <c r="J492" s="20">
        <f t="shared" si="72"/>
        <v>6.2</v>
      </c>
    </row>
    <row r="493" spans="2:10" hidden="1" outlineLevel="1">
      <c r="B493" s="14"/>
      <c r="C493" s="26" t="s">
        <v>62</v>
      </c>
      <c r="D493" s="18">
        <v>12.3</v>
      </c>
      <c r="E493" s="18" t="s">
        <v>0</v>
      </c>
      <c r="F493" s="18">
        <f t="shared" si="69"/>
        <v>4</v>
      </c>
      <c r="G493" s="27">
        <f t="shared" si="70"/>
        <v>49.2</v>
      </c>
      <c r="H493" s="20">
        <f t="shared" si="71"/>
        <v>24.6</v>
      </c>
      <c r="I493" s="18">
        <v>2</v>
      </c>
      <c r="J493" s="20">
        <f t="shared" si="72"/>
        <v>98.4</v>
      </c>
    </row>
    <row r="494" spans="2:10" hidden="1" outlineLevel="1">
      <c r="B494" s="14"/>
      <c r="C494" s="26" t="s">
        <v>63</v>
      </c>
      <c r="D494" s="18">
        <v>1.4</v>
      </c>
      <c r="E494" s="18" t="s">
        <v>0</v>
      </c>
      <c r="F494" s="18">
        <f t="shared" si="69"/>
        <v>4</v>
      </c>
      <c r="G494" s="27">
        <f t="shared" si="70"/>
        <v>5.6</v>
      </c>
      <c r="H494" s="20">
        <f t="shared" si="71"/>
        <v>9.7999999999999989</v>
      </c>
      <c r="I494" s="18">
        <v>7</v>
      </c>
      <c r="J494" s="20">
        <f t="shared" si="72"/>
        <v>39.199999999999996</v>
      </c>
    </row>
    <row r="495" spans="2:10" hidden="1" outlineLevel="1">
      <c r="B495" s="14"/>
      <c r="C495" s="26" t="s">
        <v>64</v>
      </c>
      <c r="D495" s="18">
        <v>2.8</v>
      </c>
      <c r="E495" s="18" t="s">
        <v>0</v>
      </c>
      <c r="F495" s="18">
        <f t="shared" si="69"/>
        <v>4</v>
      </c>
      <c r="G495" s="27">
        <f t="shared" si="70"/>
        <v>11.2</v>
      </c>
      <c r="H495" s="20">
        <f t="shared" si="71"/>
        <v>2.8</v>
      </c>
      <c r="I495" s="18">
        <v>1</v>
      </c>
      <c r="J495" s="20">
        <f t="shared" si="72"/>
        <v>11.2</v>
      </c>
    </row>
    <row r="496" spans="2:10" hidden="1" outlineLevel="1">
      <c r="B496" s="14"/>
      <c r="C496" s="26" t="s">
        <v>65</v>
      </c>
      <c r="D496" s="18">
        <v>7.12</v>
      </c>
      <c r="E496" s="18" t="s">
        <v>0</v>
      </c>
      <c r="F496" s="18">
        <f t="shared" si="69"/>
        <v>4</v>
      </c>
      <c r="G496" s="27">
        <f t="shared" si="70"/>
        <v>28.48</v>
      </c>
      <c r="H496" s="20">
        <f t="shared" si="71"/>
        <v>35.6</v>
      </c>
      <c r="I496" s="18">
        <v>5</v>
      </c>
      <c r="J496" s="20">
        <f t="shared" si="72"/>
        <v>142.4</v>
      </c>
    </row>
    <row r="497" spans="2:10" hidden="1" outlineLevel="1">
      <c r="B497" s="14"/>
      <c r="C497" s="26" t="s">
        <v>66</v>
      </c>
      <c r="D497" s="18">
        <v>4.6500000000000004</v>
      </c>
      <c r="E497" s="18" t="s">
        <v>0</v>
      </c>
      <c r="F497" s="18">
        <f t="shared" si="69"/>
        <v>4</v>
      </c>
      <c r="G497" s="27">
        <f t="shared" si="70"/>
        <v>18.600000000000001</v>
      </c>
      <c r="H497" s="20">
        <f t="shared" si="71"/>
        <v>9.3000000000000007</v>
      </c>
      <c r="I497" s="18">
        <v>2</v>
      </c>
      <c r="J497" s="20">
        <f t="shared" si="72"/>
        <v>37.200000000000003</v>
      </c>
    </row>
    <row r="498" spans="2:10" hidden="1" outlineLevel="1">
      <c r="B498" s="14"/>
      <c r="C498" s="26" t="s">
        <v>67</v>
      </c>
      <c r="D498" s="18">
        <v>5.15</v>
      </c>
      <c r="E498" s="18" t="s">
        <v>0</v>
      </c>
      <c r="F498" s="18">
        <f t="shared" si="69"/>
        <v>4</v>
      </c>
      <c r="G498" s="27">
        <f t="shared" si="70"/>
        <v>20.6</v>
      </c>
      <c r="H498" s="20">
        <f t="shared" si="71"/>
        <v>10.3</v>
      </c>
      <c r="I498" s="18">
        <v>2</v>
      </c>
      <c r="J498" s="20">
        <f t="shared" si="72"/>
        <v>41.2</v>
      </c>
    </row>
    <row r="499" spans="2:10" hidden="1" outlineLevel="1">
      <c r="B499" s="14"/>
      <c r="C499" s="26" t="s">
        <v>69</v>
      </c>
      <c r="D499" s="18">
        <v>1.75</v>
      </c>
      <c r="E499" s="18" t="s">
        <v>0</v>
      </c>
      <c r="F499" s="18">
        <f t="shared" si="69"/>
        <v>4</v>
      </c>
      <c r="G499" s="27">
        <f t="shared" si="70"/>
        <v>7</v>
      </c>
      <c r="H499" s="20">
        <f t="shared" si="71"/>
        <v>3.5</v>
      </c>
      <c r="I499" s="18">
        <v>2</v>
      </c>
      <c r="J499" s="20">
        <f t="shared" si="72"/>
        <v>14</v>
      </c>
    </row>
    <row r="500" spans="2:10" hidden="1" outlineLevel="1">
      <c r="B500" s="14"/>
      <c r="C500" s="26" t="s">
        <v>70</v>
      </c>
      <c r="D500" s="18">
        <v>10.75</v>
      </c>
      <c r="E500" s="18" t="s">
        <v>0</v>
      </c>
      <c r="F500" s="18">
        <f t="shared" si="69"/>
        <v>4</v>
      </c>
      <c r="G500" s="27">
        <f t="shared" si="70"/>
        <v>43</v>
      </c>
      <c r="H500" s="20">
        <f t="shared" si="71"/>
        <v>10.75</v>
      </c>
      <c r="I500" s="18">
        <v>1</v>
      </c>
      <c r="J500" s="20">
        <f t="shared" si="72"/>
        <v>43</v>
      </c>
    </row>
    <row r="501" spans="2:10" hidden="1" outlineLevel="1">
      <c r="B501" s="14"/>
      <c r="C501" s="26" t="s">
        <v>71</v>
      </c>
      <c r="D501" s="18">
        <v>5.0999999999999996</v>
      </c>
      <c r="E501" s="18" t="s">
        <v>0</v>
      </c>
      <c r="F501" s="18">
        <f t="shared" si="69"/>
        <v>4</v>
      </c>
      <c r="G501" s="27">
        <f t="shared" si="70"/>
        <v>20.399999999999999</v>
      </c>
      <c r="H501" s="20">
        <f t="shared" si="71"/>
        <v>10.199999999999999</v>
      </c>
      <c r="I501" s="18">
        <v>2</v>
      </c>
      <c r="J501" s="20">
        <f t="shared" si="72"/>
        <v>40.799999999999997</v>
      </c>
    </row>
    <row r="502" spans="2:10" hidden="1" outlineLevel="1">
      <c r="B502" s="14"/>
      <c r="C502" s="26" t="s">
        <v>72</v>
      </c>
      <c r="D502" s="18">
        <v>3.75</v>
      </c>
      <c r="E502" s="18" t="s">
        <v>0</v>
      </c>
      <c r="F502" s="18">
        <f t="shared" si="69"/>
        <v>4</v>
      </c>
      <c r="G502" s="27">
        <f t="shared" si="70"/>
        <v>15</v>
      </c>
      <c r="H502" s="20">
        <f t="shared" si="71"/>
        <v>3.75</v>
      </c>
      <c r="I502" s="18">
        <v>1</v>
      </c>
      <c r="J502" s="20">
        <f t="shared" si="72"/>
        <v>15</v>
      </c>
    </row>
    <row r="503" spans="2:10" hidden="1" outlineLevel="1">
      <c r="B503" s="14"/>
      <c r="C503" s="26" t="s">
        <v>73</v>
      </c>
      <c r="D503" s="18">
        <v>1.9</v>
      </c>
      <c r="E503" s="18" t="s">
        <v>0</v>
      </c>
      <c r="F503" s="18">
        <f t="shared" si="69"/>
        <v>4</v>
      </c>
      <c r="G503" s="27">
        <f t="shared" si="70"/>
        <v>7.6</v>
      </c>
      <c r="H503" s="20">
        <f t="shared" si="71"/>
        <v>1.9</v>
      </c>
      <c r="I503" s="18">
        <v>1</v>
      </c>
      <c r="J503" s="20">
        <f t="shared" si="72"/>
        <v>7.6</v>
      </c>
    </row>
    <row r="504" spans="2:10" hidden="1" outlineLevel="1">
      <c r="B504" s="14"/>
      <c r="C504" s="26" t="s">
        <v>74</v>
      </c>
      <c r="D504" s="18">
        <v>2.9</v>
      </c>
      <c r="E504" s="18" t="s">
        <v>0</v>
      </c>
      <c r="F504" s="18">
        <f t="shared" si="69"/>
        <v>4</v>
      </c>
      <c r="G504" s="27">
        <f t="shared" si="70"/>
        <v>11.6</v>
      </c>
      <c r="H504" s="20">
        <f t="shared" si="71"/>
        <v>2.9</v>
      </c>
      <c r="I504" s="18">
        <v>1</v>
      </c>
      <c r="J504" s="20">
        <f t="shared" si="72"/>
        <v>11.6</v>
      </c>
    </row>
    <row r="505" spans="2:10" hidden="1" outlineLevel="1">
      <c r="B505" s="14"/>
      <c r="C505" s="26" t="s">
        <v>75</v>
      </c>
      <c r="D505" s="18">
        <v>5.6</v>
      </c>
      <c r="E505" s="18" t="s">
        <v>0</v>
      </c>
      <c r="F505" s="18">
        <f t="shared" si="69"/>
        <v>4</v>
      </c>
      <c r="G505" s="27">
        <f t="shared" si="70"/>
        <v>22.4</v>
      </c>
      <c r="H505" s="20">
        <f t="shared" si="71"/>
        <v>5.6</v>
      </c>
      <c r="I505" s="18">
        <v>1</v>
      </c>
      <c r="J505" s="20">
        <f t="shared" si="72"/>
        <v>22.4</v>
      </c>
    </row>
    <row r="506" spans="2:10" hidden="1" outlineLevel="1">
      <c r="B506" s="14"/>
      <c r="C506" s="26" t="s">
        <v>76</v>
      </c>
      <c r="D506" s="18">
        <v>3.55</v>
      </c>
      <c r="E506" s="18" t="s">
        <v>0</v>
      </c>
      <c r="F506" s="18">
        <f t="shared" si="69"/>
        <v>4</v>
      </c>
      <c r="G506" s="27">
        <f t="shared" si="70"/>
        <v>14.2</v>
      </c>
      <c r="H506" s="20">
        <f t="shared" si="71"/>
        <v>7.1</v>
      </c>
      <c r="I506" s="18">
        <v>2</v>
      </c>
      <c r="J506" s="20">
        <f t="shared" si="72"/>
        <v>28.4</v>
      </c>
    </row>
    <row r="507" spans="2:10" hidden="1" outlineLevel="1">
      <c r="B507" s="14"/>
      <c r="C507" s="26" t="s">
        <v>144</v>
      </c>
      <c r="D507" s="18">
        <v>9.15</v>
      </c>
      <c r="E507" s="18" t="s">
        <v>0</v>
      </c>
      <c r="F507" s="18">
        <f t="shared" si="69"/>
        <v>4</v>
      </c>
      <c r="G507" s="27">
        <f>PRODUCT(D507,E507,F507)</f>
        <v>36.6</v>
      </c>
      <c r="H507" s="20">
        <f t="shared" si="71"/>
        <v>9.15</v>
      </c>
      <c r="I507" s="18">
        <v>1</v>
      </c>
      <c r="J507" s="20">
        <f t="shared" si="72"/>
        <v>36.6</v>
      </c>
    </row>
    <row r="508" spans="2:10" hidden="1" outlineLevel="1">
      <c r="B508" s="14"/>
      <c r="C508" s="26" t="s">
        <v>145</v>
      </c>
      <c r="D508" s="18">
        <v>13.4</v>
      </c>
      <c r="E508" s="18" t="s">
        <v>0</v>
      </c>
      <c r="F508" s="18">
        <f t="shared" si="69"/>
        <v>4</v>
      </c>
      <c r="G508" s="27">
        <f t="shared" si="70"/>
        <v>53.6</v>
      </c>
      <c r="H508" s="20">
        <f t="shared" si="71"/>
        <v>13.4</v>
      </c>
      <c r="I508" s="18">
        <v>1</v>
      </c>
      <c r="J508" s="20">
        <f t="shared" si="72"/>
        <v>53.6</v>
      </c>
    </row>
    <row r="509" spans="2:10" collapsed="1">
      <c r="B509" s="14"/>
      <c r="C509" s="24" t="s">
        <v>151</v>
      </c>
      <c r="D509" s="18"/>
      <c r="E509" s="18"/>
      <c r="F509" s="18" t="s">
        <v>0</v>
      </c>
      <c r="G509" s="19"/>
      <c r="H509" s="20"/>
      <c r="I509" s="18"/>
      <c r="J509" s="15">
        <f>SUM(J510:J515)</f>
        <v>455.8</v>
      </c>
    </row>
    <row r="510" spans="2:10" hidden="1" outlineLevel="1">
      <c r="B510" s="14"/>
      <c r="C510" s="17" t="s">
        <v>12</v>
      </c>
      <c r="D510" s="18">
        <v>6.25</v>
      </c>
      <c r="E510" s="18" t="s">
        <v>0</v>
      </c>
      <c r="F510" s="18">
        <f t="shared" si="69"/>
        <v>4</v>
      </c>
      <c r="G510" s="19">
        <f t="shared" ref="G510:G515" si="73">PRODUCT(D510,E510,F510)</f>
        <v>25</v>
      </c>
      <c r="H510" s="20">
        <f t="shared" ref="H510:H515" si="74">D510*I510</f>
        <v>25</v>
      </c>
      <c r="I510" s="18">
        <v>4</v>
      </c>
      <c r="J510" s="20">
        <f t="shared" ref="J510:J515" si="75">IF(G510&gt;0,G510*I510,H510*I510)</f>
        <v>100</v>
      </c>
    </row>
    <row r="511" spans="2:10" hidden="1" outlineLevel="1">
      <c r="B511" s="14"/>
      <c r="C511" s="17" t="s">
        <v>13</v>
      </c>
      <c r="D511" s="18">
        <v>2.5</v>
      </c>
      <c r="E511" s="18" t="s">
        <v>0</v>
      </c>
      <c r="F511" s="18">
        <f t="shared" si="69"/>
        <v>4</v>
      </c>
      <c r="G511" s="19">
        <f t="shared" si="73"/>
        <v>10</v>
      </c>
      <c r="H511" s="20">
        <f t="shared" si="74"/>
        <v>10</v>
      </c>
      <c r="I511" s="18">
        <v>4</v>
      </c>
      <c r="J511" s="20">
        <f t="shared" si="75"/>
        <v>40</v>
      </c>
    </row>
    <row r="512" spans="2:10" hidden="1" outlineLevel="1">
      <c r="B512" s="14"/>
      <c r="C512" s="17" t="s">
        <v>24</v>
      </c>
      <c r="D512" s="18">
        <v>6.9</v>
      </c>
      <c r="E512" s="18" t="s">
        <v>0</v>
      </c>
      <c r="F512" s="18">
        <f t="shared" si="69"/>
        <v>4</v>
      </c>
      <c r="G512" s="19">
        <f t="shared" si="73"/>
        <v>27.6</v>
      </c>
      <c r="H512" s="20">
        <f t="shared" si="74"/>
        <v>13.8</v>
      </c>
      <c r="I512" s="18">
        <v>2</v>
      </c>
      <c r="J512" s="20">
        <f t="shared" si="75"/>
        <v>55.2</v>
      </c>
    </row>
    <row r="513" spans="2:10" hidden="1" outlineLevel="1">
      <c r="B513" s="14"/>
      <c r="C513" s="17" t="s">
        <v>25</v>
      </c>
      <c r="D513" s="18">
        <v>39.35</v>
      </c>
      <c r="E513" s="18" t="s">
        <v>0</v>
      </c>
      <c r="F513" s="18">
        <f t="shared" si="69"/>
        <v>4</v>
      </c>
      <c r="G513" s="19">
        <f t="shared" si="73"/>
        <v>157.4</v>
      </c>
      <c r="H513" s="20">
        <f t="shared" si="74"/>
        <v>39.35</v>
      </c>
      <c r="I513" s="18">
        <v>1</v>
      </c>
      <c r="J513" s="20">
        <f t="shared" si="75"/>
        <v>157.4</v>
      </c>
    </row>
    <row r="514" spans="2:10" hidden="1" outlineLevel="1">
      <c r="B514" s="14"/>
      <c r="C514" s="17" t="s">
        <v>26</v>
      </c>
      <c r="D514" s="18">
        <v>3</v>
      </c>
      <c r="E514" s="18" t="s">
        <v>0</v>
      </c>
      <c r="F514" s="18">
        <f t="shared" si="69"/>
        <v>4</v>
      </c>
      <c r="G514" s="19">
        <f t="shared" si="73"/>
        <v>12</v>
      </c>
      <c r="H514" s="20">
        <f t="shared" si="74"/>
        <v>6</v>
      </c>
      <c r="I514" s="18">
        <v>2</v>
      </c>
      <c r="J514" s="20">
        <f t="shared" si="75"/>
        <v>24</v>
      </c>
    </row>
    <row r="515" spans="2:10" hidden="1" outlineLevel="1">
      <c r="B515" s="14"/>
      <c r="C515" s="17" t="s">
        <v>27</v>
      </c>
      <c r="D515" s="18">
        <v>9.9</v>
      </c>
      <c r="E515" s="18" t="s">
        <v>0</v>
      </c>
      <c r="F515" s="18">
        <f t="shared" si="69"/>
        <v>4</v>
      </c>
      <c r="G515" s="19">
        <f t="shared" si="73"/>
        <v>39.6</v>
      </c>
      <c r="H515" s="20">
        <f t="shared" si="74"/>
        <v>19.8</v>
      </c>
      <c r="I515" s="18">
        <v>2</v>
      </c>
      <c r="J515" s="20">
        <f t="shared" si="75"/>
        <v>79.2</v>
      </c>
    </row>
    <row r="516" spans="2:10" collapsed="1"/>
    <row r="517" spans="2:10">
      <c r="B517" s="14" t="s">
        <v>156</v>
      </c>
      <c r="C517" s="1004" t="s">
        <v>157</v>
      </c>
      <c r="D517" s="1004"/>
      <c r="E517" s="1004"/>
      <c r="F517" s="1004"/>
      <c r="G517" s="1004"/>
      <c r="H517" s="1004"/>
      <c r="I517" s="1004"/>
      <c r="J517" s="15"/>
    </row>
    <row r="518" spans="2:10">
      <c r="B518" s="14"/>
      <c r="C518" s="24" t="s">
        <v>77</v>
      </c>
      <c r="D518" s="18"/>
      <c r="E518" s="18"/>
      <c r="F518" s="18"/>
      <c r="G518" s="19"/>
      <c r="H518" s="20"/>
      <c r="I518" s="18"/>
      <c r="J518" s="23">
        <f>SUM(J519:J555)</f>
        <v>2559.7999999999997</v>
      </c>
    </row>
    <row r="519" spans="2:10" outlineLevel="1">
      <c r="B519" s="14"/>
      <c r="C519" s="17" t="s">
        <v>10</v>
      </c>
      <c r="D519" s="18">
        <v>15</v>
      </c>
      <c r="E519" s="18" t="s">
        <v>0</v>
      </c>
      <c r="F519" s="18">
        <f>$I$12</f>
        <v>4</v>
      </c>
      <c r="G519" s="19">
        <f>PRODUCT(D519,E519,F519)</f>
        <v>60</v>
      </c>
      <c r="H519" s="20">
        <f t="shared" ref="H519:H534" si="76">D519*I519</f>
        <v>15</v>
      </c>
      <c r="I519" s="18">
        <v>1</v>
      </c>
      <c r="J519" s="20">
        <f t="shared" ref="J519:J534" si="77">IF(G519&gt;0,G519*I519,H519*I519)</f>
        <v>60</v>
      </c>
    </row>
    <row r="520" spans="2:10" outlineLevel="1">
      <c r="B520" s="14"/>
      <c r="C520" s="17" t="s">
        <v>131</v>
      </c>
      <c r="D520" s="18">
        <v>5.3</v>
      </c>
      <c r="E520" s="18" t="s">
        <v>0</v>
      </c>
      <c r="F520" s="18">
        <f>$F$519</f>
        <v>4</v>
      </c>
      <c r="G520" s="19">
        <f t="shared" ref="G520:G534" si="78">PRODUCT(D520,E520,F520)</f>
        <v>21.2</v>
      </c>
      <c r="H520" s="20">
        <f t="shared" si="76"/>
        <v>5.3</v>
      </c>
      <c r="I520" s="18">
        <v>1</v>
      </c>
      <c r="J520" s="20">
        <f t="shared" si="77"/>
        <v>21.2</v>
      </c>
    </row>
    <row r="521" spans="2:10" outlineLevel="1">
      <c r="B521" s="14"/>
      <c r="C521" s="17" t="s">
        <v>132</v>
      </c>
      <c r="D521" s="18">
        <v>10.75</v>
      </c>
      <c r="E521" s="18" t="s">
        <v>0</v>
      </c>
      <c r="F521" s="18">
        <f t="shared" ref="F521:F562" si="79">$F$519</f>
        <v>4</v>
      </c>
      <c r="G521" s="19">
        <f t="shared" si="78"/>
        <v>43</v>
      </c>
      <c r="H521" s="20">
        <f t="shared" si="76"/>
        <v>10.75</v>
      </c>
      <c r="I521" s="18">
        <v>1</v>
      </c>
      <c r="J521" s="20">
        <f t="shared" si="77"/>
        <v>43</v>
      </c>
    </row>
    <row r="522" spans="2:10" outlineLevel="1">
      <c r="B522" s="14"/>
      <c r="C522" s="17" t="s">
        <v>133</v>
      </c>
      <c r="D522" s="18">
        <v>8.1999999999999993</v>
      </c>
      <c r="E522" s="18" t="s">
        <v>0</v>
      </c>
      <c r="F522" s="18">
        <f t="shared" si="79"/>
        <v>4</v>
      </c>
      <c r="G522" s="19">
        <f t="shared" si="78"/>
        <v>32.799999999999997</v>
      </c>
      <c r="H522" s="20">
        <f t="shared" si="76"/>
        <v>8.1999999999999993</v>
      </c>
      <c r="I522" s="18">
        <v>1</v>
      </c>
      <c r="J522" s="20">
        <f t="shared" si="77"/>
        <v>32.799999999999997</v>
      </c>
    </row>
    <row r="523" spans="2:10" outlineLevel="1">
      <c r="B523" s="14"/>
      <c r="C523" s="17" t="s">
        <v>134</v>
      </c>
      <c r="D523" s="18">
        <v>3.2</v>
      </c>
      <c r="E523" s="18" t="s">
        <v>0</v>
      </c>
      <c r="F523" s="18">
        <f t="shared" si="79"/>
        <v>4</v>
      </c>
      <c r="G523" s="19">
        <f t="shared" si="78"/>
        <v>12.8</v>
      </c>
      <c r="H523" s="20">
        <f t="shared" si="76"/>
        <v>3.2</v>
      </c>
      <c r="I523" s="18">
        <v>1</v>
      </c>
      <c r="J523" s="20">
        <f t="shared" si="77"/>
        <v>12.8</v>
      </c>
    </row>
    <row r="524" spans="2:10" outlineLevel="1">
      <c r="B524" s="14"/>
      <c r="C524" s="17" t="s">
        <v>135</v>
      </c>
      <c r="D524" s="18">
        <v>3.8</v>
      </c>
      <c r="E524" s="18" t="s">
        <v>0</v>
      </c>
      <c r="F524" s="18">
        <f t="shared" si="79"/>
        <v>4</v>
      </c>
      <c r="G524" s="19">
        <f t="shared" si="78"/>
        <v>15.2</v>
      </c>
      <c r="H524" s="20">
        <f t="shared" si="76"/>
        <v>3.8</v>
      </c>
      <c r="I524" s="18">
        <v>1</v>
      </c>
      <c r="J524" s="20">
        <f t="shared" si="77"/>
        <v>15.2</v>
      </c>
    </row>
    <row r="525" spans="2:10" outlineLevel="1">
      <c r="B525" s="14"/>
      <c r="C525" s="17" t="s">
        <v>136</v>
      </c>
      <c r="D525" s="18">
        <v>0</v>
      </c>
      <c r="E525" s="18" t="s">
        <v>0</v>
      </c>
      <c r="F525" s="18">
        <f t="shared" si="79"/>
        <v>4</v>
      </c>
      <c r="G525" s="19">
        <f t="shared" si="78"/>
        <v>0</v>
      </c>
      <c r="H525" s="20">
        <f t="shared" si="76"/>
        <v>0</v>
      </c>
      <c r="I525" s="18">
        <v>1</v>
      </c>
      <c r="J525" s="20">
        <f t="shared" si="77"/>
        <v>0</v>
      </c>
    </row>
    <row r="526" spans="2:10" outlineLevel="1">
      <c r="B526" s="14"/>
      <c r="C526" s="17" t="s">
        <v>137</v>
      </c>
      <c r="D526" s="18">
        <v>4.25</v>
      </c>
      <c r="E526" s="18" t="s">
        <v>0</v>
      </c>
      <c r="F526" s="18">
        <f t="shared" si="79"/>
        <v>4</v>
      </c>
      <c r="G526" s="19">
        <f t="shared" si="78"/>
        <v>17</v>
      </c>
      <c r="H526" s="20">
        <f t="shared" si="76"/>
        <v>4.25</v>
      </c>
      <c r="I526" s="18">
        <v>1</v>
      </c>
      <c r="J526" s="20">
        <f t="shared" si="77"/>
        <v>17</v>
      </c>
    </row>
    <row r="527" spans="2:10" outlineLevel="1">
      <c r="B527" s="14"/>
      <c r="C527" s="17" t="s">
        <v>11</v>
      </c>
      <c r="D527" s="18">
        <v>23.75</v>
      </c>
      <c r="E527" s="18" t="s">
        <v>0</v>
      </c>
      <c r="F527" s="18">
        <f t="shared" si="79"/>
        <v>4</v>
      </c>
      <c r="G527" s="19">
        <f t="shared" si="78"/>
        <v>95</v>
      </c>
      <c r="H527" s="20">
        <f t="shared" si="76"/>
        <v>23.75</v>
      </c>
      <c r="I527" s="18">
        <v>1</v>
      </c>
      <c r="J527" s="20">
        <f t="shared" si="77"/>
        <v>95</v>
      </c>
    </row>
    <row r="528" spans="2:10" outlineLevel="1">
      <c r="B528" s="14"/>
      <c r="C528" s="17" t="s">
        <v>138</v>
      </c>
      <c r="D528" s="18">
        <v>15.85</v>
      </c>
      <c r="E528" s="18" t="s">
        <v>0</v>
      </c>
      <c r="F528" s="18">
        <f t="shared" si="79"/>
        <v>4</v>
      </c>
      <c r="G528" s="19">
        <f t="shared" si="78"/>
        <v>63.4</v>
      </c>
      <c r="H528" s="20">
        <f t="shared" si="76"/>
        <v>15.85</v>
      </c>
      <c r="I528" s="18">
        <v>1</v>
      </c>
      <c r="J528" s="20">
        <f t="shared" si="77"/>
        <v>63.4</v>
      </c>
    </row>
    <row r="529" spans="2:10" outlineLevel="1">
      <c r="B529" s="14"/>
      <c r="C529" s="17" t="s">
        <v>139</v>
      </c>
      <c r="D529" s="18">
        <v>18</v>
      </c>
      <c r="E529" s="18" t="s">
        <v>0</v>
      </c>
      <c r="F529" s="18">
        <f t="shared" si="79"/>
        <v>4</v>
      </c>
      <c r="G529" s="19">
        <f t="shared" si="78"/>
        <v>72</v>
      </c>
      <c r="H529" s="20">
        <f t="shared" si="76"/>
        <v>18</v>
      </c>
      <c r="I529" s="18">
        <v>1</v>
      </c>
      <c r="J529" s="20">
        <f t="shared" si="77"/>
        <v>72</v>
      </c>
    </row>
    <row r="530" spans="2:10" outlineLevel="1">
      <c r="B530" s="14"/>
      <c r="C530" s="17" t="s">
        <v>140</v>
      </c>
      <c r="D530" s="18">
        <v>3.05</v>
      </c>
      <c r="E530" s="18" t="s">
        <v>0</v>
      </c>
      <c r="F530" s="18">
        <f t="shared" si="79"/>
        <v>4</v>
      </c>
      <c r="G530" s="19">
        <f t="shared" si="78"/>
        <v>12.2</v>
      </c>
      <c r="H530" s="20">
        <f t="shared" si="76"/>
        <v>3.05</v>
      </c>
      <c r="I530" s="18">
        <v>1</v>
      </c>
      <c r="J530" s="20">
        <f t="shared" si="77"/>
        <v>12.2</v>
      </c>
    </row>
    <row r="531" spans="2:10" outlineLevel="1">
      <c r="B531" s="14"/>
      <c r="C531" s="17" t="s">
        <v>141</v>
      </c>
      <c r="D531" s="18">
        <v>12.8</v>
      </c>
      <c r="E531" s="18" t="s">
        <v>0</v>
      </c>
      <c r="F531" s="18">
        <f t="shared" si="79"/>
        <v>4</v>
      </c>
      <c r="G531" s="19">
        <f t="shared" si="78"/>
        <v>51.2</v>
      </c>
      <c r="H531" s="20">
        <f t="shared" si="76"/>
        <v>12.8</v>
      </c>
      <c r="I531" s="18">
        <v>1</v>
      </c>
      <c r="J531" s="20">
        <f t="shared" si="77"/>
        <v>51.2</v>
      </c>
    </row>
    <row r="532" spans="2:10" outlineLevel="1">
      <c r="B532" s="14"/>
      <c r="C532" s="17" t="s">
        <v>142</v>
      </c>
      <c r="D532" s="18">
        <v>3.05</v>
      </c>
      <c r="E532" s="18" t="s">
        <v>0</v>
      </c>
      <c r="F532" s="18">
        <f t="shared" si="79"/>
        <v>4</v>
      </c>
      <c r="G532" s="19">
        <f t="shared" si="78"/>
        <v>12.2</v>
      </c>
      <c r="H532" s="20">
        <f t="shared" si="76"/>
        <v>3.05</v>
      </c>
      <c r="I532" s="18">
        <v>1</v>
      </c>
      <c r="J532" s="20">
        <f t="shared" si="77"/>
        <v>12.2</v>
      </c>
    </row>
    <row r="533" spans="2:10" outlineLevel="1">
      <c r="B533" s="14"/>
      <c r="C533" s="17" t="s">
        <v>143</v>
      </c>
      <c r="D533" s="18">
        <v>1.8</v>
      </c>
      <c r="E533" s="18" t="s">
        <v>0</v>
      </c>
      <c r="F533" s="18">
        <f t="shared" si="79"/>
        <v>4</v>
      </c>
      <c r="G533" s="19">
        <f t="shared" si="78"/>
        <v>7.2</v>
      </c>
      <c r="H533" s="20">
        <f t="shared" si="76"/>
        <v>1.8</v>
      </c>
      <c r="I533" s="18">
        <v>1</v>
      </c>
      <c r="J533" s="20">
        <f t="shared" si="77"/>
        <v>7.2</v>
      </c>
    </row>
    <row r="534" spans="2:10" outlineLevel="1">
      <c r="B534" s="14"/>
      <c r="C534" s="17" t="s">
        <v>148</v>
      </c>
      <c r="D534" s="18">
        <v>12.25</v>
      </c>
      <c r="E534" s="18" t="s">
        <v>0</v>
      </c>
      <c r="F534" s="18">
        <f t="shared" si="79"/>
        <v>4</v>
      </c>
      <c r="G534" s="19">
        <f t="shared" si="78"/>
        <v>49</v>
      </c>
      <c r="H534" s="20">
        <f t="shared" si="76"/>
        <v>12.25</v>
      </c>
      <c r="I534" s="18">
        <v>1</v>
      </c>
      <c r="J534" s="20">
        <f t="shared" si="77"/>
        <v>49</v>
      </c>
    </row>
    <row r="535" spans="2:10" outlineLevel="1">
      <c r="B535" s="14"/>
      <c r="C535" s="17"/>
      <c r="D535" s="18"/>
      <c r="E535" s="18"/>
      <c r="F535" s="18" t="s">
        <v>0</v>
      </c>
      <c r="G535" s="19"/>
      <c r="H535" s="20"/>
      <c r="I535" s="18" t="s">
        <v>0</v>
      </c>
      <c r="J535" s="20"/>
    </row>
    <row r="536" spans="2:10" outlineLevel="1">
      <c r="B536" s="14"/>
      <c r="C536" s="17" t="s">
        <v>37</v>
      </c>
      <c r="D536" s="18">
        <v>11.75</v>
      </c>
      <c r="E536" s="18" t="s">
        <v>0</v>
      </c>
      <c r="F536" s="18">
        <f t="shared" si="79"/>
        <v>4</v>
      </c>
      <c r="G536" s="19">
        <f t="shared" ref="G536:G555" si="80">PRODUCT(D536,E536,F536)</f>
        <v>47</v>
      </c>
      <c r="H536" s="20">
        <f t="shared" ref="H536:H555" si="81">D536*I536</f>
        <v>11.75</v>
      </c>
      <c r="I536" s="18">
        <v>1</v>
      </c>
      <c r="J536" s="20">
        <f t="shared" ref="J536:J555" si="82">IF(G536&gt;0,G536*I536,H536*I536)</f>
        <v>47</v>
      </c>
    </row>
    <row r="537" spans="2:10" outlineLevel="1">
      <c r="B537" s="14"/>
      <c r="C537" s="17" t="s">
        <v>38</v>
      </c>
      <c r="D537" s="18">
        <v>1.75</v>
      </c>
      <c r="E537" s="18" t="s">
        <v>0</v>
      </c>
      <c r="F537" s="18">
        <f t="shared" si="79"/>
        <v>4</v>
      </c>
      <c r="G537" s="19">
        <f t="shared" si="80"/>
        <v>7</v>
      </c>
      <c r="H537" s="20">
        <f t="shared" si="81"/>
        <v>24.5</v>
      </c>
      <c r="I537" s="18">
        <v>14</v>
      </c>
      <c r="J537" s="20">
        <f t="shared" si="82"/>
        <v>98</v>
      </c>
    </row>
    <row r="538" spans="2:10" outlineLevel="1">
      <c r="B538" s="14"/>
      <c r="C538" s="17" t="s">
        <v>39</v>
      </c>
      <c r="D538" s="18">
        <v>33.200000000000003</v>
      </c>
      <c r="E538" s="18" t="s">
        <v>0</v>
      </c>
      <c r="F538" s="18">
        <f t="shared" si="79"/>
        <v>4</v>
      </c>
      <c r="G538" s="19">
        <f t="shared" si="80"/>
        <v>132.80000000000001</v>
      </c>
      <c r="H538" s="20">
        <f t="shared" si="81"/>
        <v>66.400000000000006</v>
      </c>
      <c r="I538" s="18">
        <v>2</v>
      </c>
      <c r="J538" s="20">
        <f t="shared" si="82"/>
        <v>265.60000000000002</v>
      </c>
    </row>
    <row r="539" spans="2:10" outlineLevel="1">
      <c r="B539" s="14"/>
      <c r="C539" s="17" t="s">
        <v>40</v>
      </c>
      <c r="D539" s="18">
        <v>4.5</v>
      </c>
      <c r="E539" s="18" t="s">
        <v>0</v>
      </c>
      <c r="F539" s="18">
        <f t="shared" si="79"/>
        <v>4</v>
      </c>
      <c r="G539" s="19">
        <f t="shared" si="80"/>
        <v>18</v>
      </c>
      <c r="H539" s="20">
        <f t="shared" si="81"/>
        <v>22.5</v>
      </c>
      <c r="I539" s="18">
        <v>5</v>
      </c>
      <c r="J539" s="20">
        <f t="shared" si="82"/>
        <v>90</v>
      </c>
    </row>
    <row r="540" spans="2:10" outlineLevel="1">
      <c r="B540" s="14"/>
      <c r="C540" s="17" t="s">
        <v>41</v>
      </c>
      <c r="D540" s="18">
        <v>13.6</v>
      </c>
      <c r="E540" s="18" t="s">
        <v>0</v>
      </c>
      <c r="F540" s="18">
        <f t="shared" si="79"/>
        <v>4</v>
      </c>
      <c r="G540" s="19">
        <f t="shared" si="80"/>
        <v>54.4</v>
      </c>
      <c r="H540" s="20">
        <f t="shared" si="81"/>
        <v>54.4</v>
      </c>
      <c r="I540" s="18">
        <v>4</v>
      </c>
      <c r="J540" s="20">
        <f t="shared" si="82"/>
        <v>217.6</v>
      </c>
    </row>
    <row r="541" spans="2:10" outlineLevel="1">
      <c r="B541" s="14"/>
      <c r="C541" s="17" t="s">
        <v>42</v>
      </c>
      <c r="D541" s="18">
        <v>5.3</v>
      </c>
      <c r="E541" s="18" t="s">
        <v>0</v>
      </c>
      <c r="F541" s="18">
        <f t="shared" si="79"/>
        <v>4</v>
      </c>
      <c r="G541" s="19">
        <f t="shared" si="80"/>
        <v>21.2</v>
      </c>
      <c r="H541" s="20">
        <f t="shared" si="81"/>
        <v>31.799999999999997</v>
      </c>
      <c r="I541" s="18">
        <v>6</v>
      </c>
      <c r="J541" s="20">
        <f t="shared" si="82"/>
        <v>127.19999999999999</v>
      </c>
    </row>
    <row r="542" spans="2:10" outlineLevel="1">
      <c r="B542" s="14"/>
      <c r="C542" s="17" t="s">
        <v>43</v>
      </c>
      <c r="D542" s="18">
        <v>7.45</v>
      </c>
      <c r="E542" s="18" t="s">
        <v>0</v>
      </c>
      <c r="F542" s="18">
        <f t="shared" si="79"/>
        <v>4</v>
      </c>
      <c r="G542" s="19">
        <f t="shared" si="80"/>
        <v>29.8</v>
      </c>
      <c r="H542" s="20">
        <f t="shared" si="81"/>
        <v>37.25</v>
      </c>
      <c r="I542" s="18">
        <v>5</v>
      </c>
      <c r="J542" s="20">
        <f t="shared" si="82"/>
        <v>149</v>
      </c>
    </row>
    <row r="543" spans="2:10" outlineLevel="1">
      <c r="B543" s="14"/>
      <c r="C543" s="17" t="s">
        <v>44</v>
      </c>
      <c r="D543" s="18">
        <v>3.4</v>
      </c>
      <c r="E543" s="18" t="s">
        <v>0</v>
      </c>
      <c r="F543" s="18">
        <f t="shared" si="79"/>
        <v>4</v>
      </c>
      <c r="G543" s="19">
        <f t="shared" si="80"/>
        <v>13.6</v>
      </c>
      <c r="H543" s="20">
        <f t="shared" si="81"/>
        <v>6.8</v>
      </c>
      <c r="I543" s="18">
        <v>2</v>
      </c>
      <c r="J543" s="20">
        <f t="shared" si="82"/>
        <v>27.2</v>
      </c>
    </row>
    <row r="544" spans="2:10" outlineLevel="1">
      <c r="B544" s="14"/>
      <c r="C544" s="17" t="s">
        <v>45</v>
      </c>
      <c r="D544" s="18">
        <v>1.95</v>
      </c>
      <c r="E544" s="18" t="s">
        <v>0</v>
      </c>
      <c r="F544" s="18">
        <f t="shared" si="79"/>
        <v>4</v>
      </c>
      <c r="G544" s="19">
        <f t="shared" si="80"/>
        <v>7.8</v>
      </c>
      <c r="H544" s="20">
        <f t="shared" si="81"/>
        <v>1.95</v>
      </c>
      <c r="I544" s="18">
        <v>1</v>
      </c>
      <c r="J544" s="20">
        <f t="shared" si="82"/>
        <v>7.8</v>
      </c>
    </row>
    <row r="545" spans="2:10" outlineLevel="1">
      <c r="B545" s="14"/>
      <c r="C545" s="26" t="s">
        <v>58</v>
      </c>
      <c r="D545" s="18">
        <v>6.85</v>
      </c>
      <c r="E545" s="18" t="s">
        <v>0</v>
      </c>
      <c r="F545" s="18">
        <f t="shared" si="79"/>
        <v>4</v>
      </c>
      <c r="G545" s="27">
        <f t="shared" si="80"/>
        <v>27.4</v>
      </c>
      <c r="H545" s="20">
        <f t="shared" si="81"/>
        <v>75.349999999999994</v>
      </c>
      <c r="I545" s="18">
        <v>11</v>
      </c>
      <c r="J545" s="20">
        <f t="shared" si="82"/>
        <v>301.39999999999998</v>
      </c>
    </row>
    <row r="546" spans="2:10" outlineLevel="1">
      <c r="B546" s="14"/>
      <c r="C546" s="26" t="s">
        <v>59</v>
      </c>
      <c r="D546" s="18">
        <v>3.2</v>
      </c>
      <c r="E546" s="18" t="s">
        <v>0</v>
      </c>
      <c r="F546" s="18">
        <f t="shared" si="79"/>
        <v>4</v>
      </c>
      <c r="G546" s="27">
        <f t="shared" si="80"/>
        <v>12.8</v>
      </c>
      <c r="H546" s="20">
        <f t="shared" si="81"/>
        <v>44.800000000000004</v>
      </c>
      <c r="I546" s="18">
        <v>14</v>
      </c>
      <c r="J546" s="20">
        <f t="shared" si="82"/>
        <v>179.20000000000002</v>
      </c>
    </row>
    <row r="547" spans="2:10" outlineLevel="1">
      <c r="B547" s="14"/>
      <c r="C547" s="26" t="s">
        <v>60</v>
      </c>
      <c r="D547" s="18">
        <v>3</v>
      </c>
      <c r="E547" s="18" t="s">
        <v>0</v>
      </c>
      <c r="F547" s="18">
        <f t="shared" si="79"/>
        <v>4</v>
      </c>
      <c r="G547" s="27">
        <f t="shared" si="80"/>
        <v>12</v>
      </c>
      <c r="H547" s="20">
        <f t="shared" si="81"/>
        <v>3</v>
      </c>
      <c r="I547" s="18">
        <v>1</v>
      </c>
      <c r="J547" s="20">
        <f t="shared" si="82"/>
        <v>12</v>
      </c>
    </row>
    <row r="548" spans="2:10" outlineLevel="1">
      <c r="B548" s="14"/>
      <c r="C548" s="26" t="s">
        <v>61</v>
      </c>
      <c r="D548" s="18">
        <v>11.45</v>
      </c>
      <c r="E548" s="18" t="s">
        <v>0</v>
      </c>
      <c r="F548" s="18">
        <f t="shared" si="79"/>
        <v>4</v>
      </c>
      <c r="G548" s="27">
        <f t="shared" si="80"/>
        <v>45.8</v>
      </c>
      <c r="H548" s="20">
        <f t="shared" si="81"/>
        <v>11.45</v>
      </c>
      <c r="I548" s="18">
        <v>1</v>
      </c>
      <c r="J548" s="20">
        <f t="shared" si="82"/>
        <v>45.8</v>
      </c>
    </row>
    <row r="549" spans="2:10" outlineLevel="1">
      <c r="B549" s="14"/>
      <c r="C549" s="26" t="s">
        <v>62</v>
      </c>
      <c r="D549" s="18">
        <v>14.65</v>
      </c>
      <c r="E549" s="18" t="s">
        <v>0</v>
      </c>
      <c r="F549" s="18">
        <f t="shared" si="79"/>
        <v>4</v>
      </c>
      <c r="G549" s="27">
        <f t="shared" si="80"/>
        <v>58.6</v>
      </c>
      <c r="H549" s="20">
        <f t="shared" si="81"/>
        <v>14.65</v>
      </c>
      <c r="I549" s="18">
        <v>1</v>
      </c>
      <c r="J549" s="20">
        <f t="shared" si="82"/>
        <v>58.6</v>
      </c>
    </row>
    <row r="550" spans="2:10" outlineLevel="1">
      <c r="B550" s="14"/>
      <c r="C550" s="26" t="s">
        <v>63</v>
      </c>
      <c r="D550" s="18">
        <v>1.8</v>
      </c>
      <c r="E550" s="18" t="s">
        <v>0</v>
      </c>
      <c r="F550" s="18">
        <f t="shared" si="79"/>
        <v>4</v>
      </c>
      <c r="G550" s="27">
        <f t="shared" si="80"/>
        <v>7.2</v>
      </c>
      <c r="H550" s="20">
        <f t="shared" si="81"/>
        <v>1.8</v>
      </c>
      <c r="I550" s="18">
        <v>1</v>
      </c>
      <c r="J550" s="20">
        <f t="shared" si="82"/>
        <v>7.2</v>
      </c>
    </row>
    <row r="551" spans="2:10" outlineLevel="1">
      <c r="B551" s="14"/>
      <c r="C551" s="26" t="s">
        <v>64</v>
      </c>
      <c r="D551" s="18">
        <v>19.399999999999999</v>
      </c>
      <c r="E551" s="18" t="s">
        <v>0</v>
      </c>
      <c r="F551" s="18">
        <f t="shared" si="79"/>
        <v>4</v>
      </c>
      <c r="G551" s="27">
        <f t="shared" si="80"/>
        <v>77.599999999999994</v>
      </c>
      <c r="H551" s="20">
        <f t="shared" si="81"/>
        <v>58.199999999999996</v>
      </c>
      <c r="I551" s="18">
        <v>3</v>
      </c>
      <c r="J551" s="20">
        <f t="shared" si="82"/>
        <v>232.79999999999998</v>
      </c>
    </row>
    <row r="552" spans="2:10" outlineLevel="1">
      <c r="B552" s="14"/>
      <c r="C552" s="26" t="s">
        <v>65</v>
      </c>
      <c r="D552" s="18">
        <v>7.15</v>
      </c>
      <c r="E552" s="18" t="s">
        <v>0</v>
      </c>
      <c r="F552" s="18">
        <f t="shared" si="79"/>
        <v>4</v>
      </c>
      <c r="G552" s="27">
        <f t="shared" si="80"/>
        <v>28.6</v>
      </c>
      <c r="H552" s="20">
        <f t="shared" si="81"/>
        <v>7.15</v>
      </c>
      <c r="I552" s="18">
        <v>1</v>
      </c>
      <c r="J552" s="20">
        <f t="shared" si="82"/>
        <v>28.6</v>
      </c>
    </row>
    <row r="553" spans="2:10" outlineLevel="1">
      <c r="B553" s="14"/>
      <c r="C553" s="26" t="s">
        <v>66</v>
      </c>
      <c r="D553" s="18">
        <v>5</v>
      </c>
      <c r="E553" s="18" t="s">
        <v>0</v>
      </c>
      <c r="F553" s="18">
        <f t="shared" si="79"/>
        <v>4</v>
      </c>
      <c r="G553" s="27">
        <f t="shared" si="80"/>
        <v>20</v>
      </c>
      <c r="H553" s="20">
        <f t="shared" si="81"/>
        <v>15</v>
      </c>
      <c r="I553" s="18">
        <v>3</v>
      </c>
      <c r="J553" s="20">
        <f t="shared" si="82"/>
        <v>60</v>
      </c>
    </row>
    <row r="554" spans="2:10" outlineLevel="1">
      <c r="B554" s="14"/>
      <c r="C554" s="26" t="s">
        <v>67</v>
      </c>
      <c r="D554" s="18">
        <v>3.5</v>
      </c>
      <c r="E554" s="18" t="s">
        <v>0</v>
      </c>
      <c r="F554" s="18">
        <f t="shared" si="79"/>
        <v>4</v>
      </c>
      <c r="G554" s="27">
        <f t="shared" si="80"/>
        <v>14</v>
      </c>
      <c r="H554" s="20">
        <f t="shared" si="81"/>
        <v>7</v>
      </c>
      <c r="I554" s="18">
        <v>2</v>
      </c>
      <c r="J554" s="20">
        <f t="shared" si="82"/>
        <v>28</v>
      </c>
    </row>
    <row r="555" spans="2:10" outlineLevel="1">
      <c r="B555" s="14"/>
      <c r="C555" s="26" t="s">
        <v>69</v>
      </c>
      <c r="D555" s="18">
        <v>3.15</v>
      </c>
      <c r="E555" s="18" t="s">
        <v>0</v>
      </c>
      <c r="F555" s="18">
        <f t="shared" si="79"/>
        <v>4</v>
      </c>
      <c r="G555" s="27">
        <f t="shared" si="80"/>
        <v>12.6</v>
      </c>
      <c r="H555" s="20">
        <f t="shared" si="81"/>
        <v>3.15</v>
      </c>
      <c r="I555" s="18">
        <v>1</v>
      </c>
      <c r="J555" s="20">
        <f t="shared" si="82"/>
        <v>12.6</v>
      </c>
    </row>
    <row r="556" spans="2:10">
      <c r="B556" s="14"/>
      <c r="C556" s="24" t="s">
        <v>151</v>
      </c>
      <c r="D556" s="18"/>
      <c r="E556" s="18"/>
      <c r="F556" s="18" t="s">
        <v>0</v>
      </c>
      <c r="G556" s="19"/>
      <c r="H556" s="20"/>
      <c r="I556" s="18"/>
      <c r="J556" s="15">
        <f>SUM(J557:J562)</f>
        <v>455.8</v>
      </c>
    </row>
    <row r="557" spans="2:10" outlineLevel="1">
      <c r="B557" s="14"/>
      <c r="C557" s="17" t="s">
        <v>12</v>
      </c>
      <c r="D557" s="18">
        <v>6.25</v>
      </c>
      <c r="E557" s="18" t="s">
        <v>0</v>
      </c>
      <c r="F557" s="18">
        <f t="shared" si="79"/>
        <v>4</v>
      </c>
      <c r="G557" s="19">
        <f t="shared" ref="G557:G562" si="83">PRODUCT(D557,E557,F557)</f>
        <v>25</v>
      </c>
      <c r="H557" s="20">
        <f t="shared" ref="H557:H562" si="84">D557*I557</f>
        <v>25</v>
      </c>
      <c r="I557" s="18">
        <v>4</v>
      </c>
      <c r="J557" s="20">
        <f t="shared" ref="J557:J562" si="85">IF(G557&gt;0,G557*I557,H557*I557)</f>
        <v>100</v>
      </c>
    </row>
    <row r="558" spans="2:10" outlineLevel="1">
      <c r="B558" s="14"/>
      <c r="C558" s="17" t="s">
        <v>13</v>
      </c>
      <c r="D558" s="18">
        <v>2.5</v>
      </c>
      <c r="E558" s="18" t="s">
        <v>0</v>
      </c>
      <c r="F558" s="18">
        <f t="shared" si="79"/>
        <v>4</v>
      </c>
      <c r="G558" s="19">
        <f t="shared" si="83"/>
        <v>10</v>
      </c>
      <c r="H558" s="20">
        <f t="shared" si="84"/>
        <v>10</v>
      </c>
      <c r="I558" s="18">
        <v>4</v>
      </c>
      <c r="J558" s="20">
        <f t="shared" si="85"/>
        <v>40</v>
      </c>
    </row>
    <row r="559" spans="2:10" outlineLevel="1">
      <c r="B559" s="14"/>
      <c r="C559" s="17" t="s">
        <v>24</v>
      </c>
      <c r="D559" s="18">
        <v>6.9</v>
      </c>
      <c r="E559" s="18" t="s">
        <v>0</v>
      </c>
      <c r="F559" s="18">
        <f t="shared" si="79"/>
        <v>4</v>
      </c>
      <c r="G559" s="19">
        <f t="shared" si="83"/>
        <v>27.6</v>
      </c>
      <c r="H559" s="20">
        <f t="shared" si="84"/>
        <v>13.8</v>
      </c>
      <c r="I559" s="18">
        <v>2</v>
      </c>
      <c r="J559" s="20">
        <f t="shared" si="85"/>
        <v>55.2</v>
      </c>
    </row>
    <row r="560" spans="2:10" outlineLevel="1">
      <c r="B560" s="14"/>
      <c r="C560" s="17" t="s">
        <v>25</v>
      </c>
      <c r="D560" s="18">
        <v>39.35</v>
      </c>
      <c r="E560" s="18" t="s">
        <v>0</v>
      </c>
      <c r="F560" s="18">
        <f t="shared" si="79"/>
        <v>4</v>
      </c>
      <c r="G560" s="19">
        <f t="shared" si="83"/>
        <v>157.4</v>
      </c>
      <c r="H560" s="20">
        <f t="shared" si="84"/>
        <v>39.35</v>
      </c>
      <c r="I560" s="18">
        <v>1</v>
      </c>
      <c r="J560" s="20">
        <f t="shared" si="85"/>
        <v>157.4</v>
      </c>
    </row>
    <row r="561" spans="2:10" outlineLevel="1">
      <c r="B561" s="14"/>
      <c r="C561" s="17" t="s">
        <v>26</v>
      </c>
      <c r="D561" s="18">
        <v>3</v>
      </c>
      <c r="E561" s="18" t="s">
        <v>0</v>
      </c>
      <c r="F561" s="18">
        <f t="shared" si="79"/>
        <v>4</v>
      </c>
      <c r="G561" s="19">
        <f t="shared" si="83"/>
        <v>12</v>
      </c>
      <c r="H561" s="20">
        <f t="shared" si="84"/>
        <v>6</v>
      </c>
      <c r="I561" s="18">
        <v>2</v>
      </c>
      <c r="J561" s="20">
        <f t="shared" si="85"/>
        <v>24</v>
      </c>
    </row>
    <row r="562" spans="2:10" outlineLevel="1">
      <c r="B562" s="14"/>
      <c r="C562" s="17" t="s">
        <v>27</v>
      </c>
      <c r="D562" s="18">
        <v>9.9</v>
      </c>
      <c r="E562" s="18" t="s">
        <v>0</v>
      </c>
      <c r="F562" s="18">
        <f t="shared" si="79"/>
        <v>4</v>
      </c>
      <c r="G562" s="19">
        <f t="shared" si="83"/>
        <v>39.6</v>
      </c>
      <c r="H562" s="20">
        <f t="shared" si="84"/>
        <v>19.8</v>
      </c>
      <c r="I562" s="18">
        <v>2</v>
      </c>
      <c r="J562" s="20">
        <f t="shared" si="85"/>
        <v>79.2</v>
      </c>
    </row>
    <row r="564" spans="2:10">
      <c r="B564" s="14" t="s">
        <v>158</v>
      </c>
      <c r="C564" s="1004" t="s">
        <v>159</v>
      </c>
      <c r="D564" s="1004"/>
      <c r="E564" s="1004"/>
      <c r="F564" s="1004"/>
      <c r="G564" s="1004"/>
      <c r="H564" s="1004"/>
      <c r="I564" s="1004"/>
      <c r="J564" s="15"/>
    </row>
    <row r="565" spans="2:10">
      <c r="B565" s="14"/>
      <c r="C565" s="24" t="s">
        <v>77</v>
      </c>
      <c r="D565" s="18"/>
      <c r="E565" s="18"/>
      <c r="F565" s="18"/>
      <c r="G565" s="19"/>
      <c r="H565" s="20">
        <f>SUM(H519:H555)</f>
        <v>639.94999999999993</v>
      </c>
      <c r="I565" s="18"/>
      <c r="J565" s="23">
        <f>J518</f>
        <v>2559.7999999999997</v>
      </c>
    </row>
    <row r="566" spans="2:10">
      <c r="B566" s="14"/>
      <c r="C566" s="24" t="s">
        <v>151</v>
      </c>
      <c r="D566" s="18"/>
      <c r="E566" s="18"/>
      <c r="F566" s="18" t="s">
        <v>0</v>
      </c>
      <c r="G566" s="19"/>
      <c r="H566" s="20">
        <f>SUM(H557:H562)</f>
        <v>113.95</v>
      </c>
      <c r="I566" s="18"/>
      <c r="J566" s="15">
        <f>J556</f>
        <v>455.8</v>
      </c>
    </row>
    <row r="568" spans="2:10">
      <c r="B568" s="14" t="s">
        <v>160</v>
      </c>
      <c r="C568" s="1004" t="s">
        <v>161</v>
      </c>
      <c r="D568" s="1004"/>
      <c r="E568" s="1004"/>
      <c r="F568" s="1004"/>
      <c r="G568" s="1004"/>
      <c r="H568" s="1004"/>
      <c r="I568" s="1004"/>
      <c r="J568" s="15"/>
    </row>
    <row r="569" spans="2:10">
      <c r="B569" s="14"/>
      <c r="C569" s="24" t="s">
        <v>77</v>
      </c>
      <c r="D569" s="18"/>
      <c r="E569" s="18"/>
      <c r="F569" s="18"/>
      <c r="G569" s="19"/>
      <c r="H569" s="20">
        <f>H565</f>
        <v>639.94999999999993</v>
      </c>
      <c r="I569" s="18"/>
      <c r="J569" s="23">
        <f>J565</f>
        <v>2559.7999999999997</v>
      </c>
    </row>
    <row r="570" spans="2:10">
      <c r="B570" s="14"/>
      <c r="C570" s="24" t="s">
        <v>151</v>
      </c>
      <c r="D570" s="18"/>
      <c r="E570" s="18"/>
      <c r="F570" s="18" t="s">
        <v>0</v>
      </c>
      <c r="G570" s="19"/>
      <c r="H570" s="20">
        <f>H566</f>
        <v>113.95</v>
      </c>
      <c r="I570" s="18"/>
      <c r="J570" s="15">
        <f>J566</f>
        <v>455.8</v>
      </c>
    </row>
    <row r="572" spans="2:10">
      <c r="B572" s="14" t="s">
        <v>162</v>
      </c>
      <c r="C572" s="1004" t="s">
        <v>163</v>
      </c>
      <c r="D572" s="1004"/>
      <c r="E572" s="1004"/>
      <c r="F572" s="1004"/>
      <c r="G572" s="1004"/>
      <c r="H572" s="1004"/>
      <c r="I572" s="1004"/>
      <c r="J572" s="15"/>
    </row>
    <row r="573" spans="2:10">
      <c r="B573" s="14"/>
      <c r="C573" s="24" t="s">
        <v>77</v>
      </c>
      <c r="D573" s="18"/>
      <c r="E573" s="18"/>
      <c r="F573" s="18"/>
      <c r="G573" s="19"/>
      <c r="H573" s="20"/>
      <c r="I573" s="18"/>
      <c r="J573" s="23">
        <f>SUM(J574:J610)</f>
        <v>1986.1999999999998</v>
      </c>
    </row>
    <row r="574" spans="2:10" outlineLevel="1">
      <c r="B574" s="14"/>
      <c r="C574" s="17" t="s">
        <v>10</v>
      </c>
      <c r="D574" s="18">
        <v>15</v>
      </c>
      <c r="E574" s="18" t="s">
        <v>0</v>
      </c>
      <c r="F574" s="18">
        <f>$I$12</f>
        <v>4</v>
      </c>
      <c r="G574" s="19">
        <f>PRODUCT(D574,E574,F574)</f>
        <v>60</v>
      </c>
      <c r="H574" s="20">
        <f t="shared" ref="H574:H589" si="86">D574*I574</f>
        <v>15</v>
      </c>
      <c r="I574" s="18">
        <v>1</v>
      </c>
      <c r="J574" s="20">
        <f t="shared" ref="J574:J610" si="87">IF(G574&gt;0,G574*I574,H574*I574)</f>
        <v>60</v>
      </c>
    </row>
    <row r="575" spans="2:10" outlineLevel="1">
      <c r="B575" s="14"/>
      <c r="C575" s="17" t="s">
        <v>131</v>
      </c>
      <c r="D575" s="18">
        <v>5.3</v>
      </c>
      <c r="E575" s="18" t="s">
        <v>0</v>
      </c>
      <c r="F575" s="18">
        <f t="shared" ref="F575:F589" si="88">$F$574</f>
        <v>4</v>
      </c>
      <c r="G575" s="19">
        <f t="shared" ref="G575:G589" si="89">PRODUCT(D575,E575,F575)</f>
        <v>21.2</v>
      </c>
      <c r="H575" s="20">
        <f t="shared" si="86"/>
        <v>5.3</v>
      </c>
      <c r="I575" s="18">
        <v>1</v>
      </c>
      <c r="J575" s="20">
        <f t="shared" si="87"/>
        <v>21.2</v>
      </c>
    </row>
    <row r="576" spans="2:10" outlineLevel="1">
      <c r="B576" s="14"/>
      <c r="C576" s="17" t="s">
        <v>132</v>
      </c>
      <c r="D576" s="18">
        <v>10.75</v>
      </c>
      <c r="E576" s="18" t="s">
        <v>0</v>
      </c>
      <c r="F576" s="18">
        <f t="shared" si="88"/>
        <v>4</v>
      </c>
      <c r="G576" s="19">
        <f t="shared" si="89"/>
        <v>43</v>
      </c>
      <c r="H576" s="20">
        <f t="shared" si="86"/>
        <v>10.75</v>
      </c>
      <c r="I576" s="18">
        <v>1</v>
      </c>
      <c r="J576" s="20">
        <f t="shared" si="87"/>
        <v>43</v>
      </c>
    </row>
    <row r="577" spans="2:10" outlineLevel="1">
      <c r="B577" s="14"/>
      <c r="C577" s="17" t="s">
        <v>133</v>
      </c>
      <c r="D577" s="18">
        <v>8.1999999999999993</v>
      </c>
      <c r="E577" s="18" t="s">
        <v>0</v>
      </c>
      <c r="F577" s="18">
        <f t="shared" si="88"/>
        <v>4</v>
      </c>
      <c r="G577" s="19">
        <f t="shared" si="89"/>
        <v>32.799999999999997</v>
      </c>
      <c r="H577" s="20">
        <f t="shared" si="86"/>
        <v>8.1999999999999993</v>
      </c>
      <c r="I577" s="18">
        <v>1</v>
      </c>
      <c r="J577" s="20">
        <f t="shared" si="87"/>
        <v>32.799999999999997</v>
      </c>
    </row>
    <row r="578" spans="2:10" outlineLevel="1">
      <c r="B578" s="14"/>
      <c r="C578" s="17" t="s">
        <v>134</v>
      </c>
      <c r="D578" s="18">
        <v>3.2</v>
      </c>
      <c r="E578" s="18" t="s">
        <v>0</v>
      </c>
      <c r="F578" s="18">
        <f t="shared" si="88"/>
        <v>4</v>
      </c>
      <c r="G578" s="19">
        <f t="shared" si="89"/>
        <v>12.8</v>
      </c>
      <c r="H578" s="20">
        <f t="shared" si="86"/>
        <v>3.2</v>
      </c>
      <c r="I578" s="18">
        <v>1</v>
      </c>
      <c r="J578" s="20">
        <f t="shared" si="87"/>
        <v>12.8</v>
      </c>
    </row>
    <row r="579" spans="2:10" outlineLevel="1">
      <c r="B579" s="14"/>
      <c r="C579" s="17" t="s">
        <v>135</v>
      </c>
      <c r="D579" s="18">
        <v>3.8</v>
      </c>
      <c r="E579" s="18" t="s">
        <v>0</v>
      </c>
      <c r="F579" s="18">
        <f t="shared" si="88"/>
        <v>4</v>
      </c>
      <c r="G579" s="19">
        <f t="shared" si="89"/>
        <v>15.2</v>
      </c>
      <c r="H579" s="20">
        <f t="shared" si="86"/>
        <v>3.8</v>
      </c>
      <c r="I579" s="18">
        <v>1</v>
      </c>
      <c r="J579" s="20">
        <f t="shared" si="87"/>
        <v>15.2</v>
      </c>
    </row>
    <row r="580" spans="2:10" outlineLevel="1">
      <c r="B580" s="14"/>
      <c r="C580" s="17" t="s">
        <v>136</v>
      </c>
      <c r="D580" s="18">
        <v>0</v>
      </c>
      <c r="E580" s="18" t="s">
        <v>0</v>
      </c>
      <c r="F580" s="18">
        <f t="shared" si="88"/>
        <v>4</v>
      </c>
      <c r="G580" s="19">
        <f t="shared" si="89"/>
        <v>0</v>
      </c>
      <c r="H580" s="20">
        <f t="shared" si="86"/>
        <v>0</v>
      </c>
      <c r="I580" s="18">
        <v>1</v>
      </c>
      <c r="J580" s="20">
        <f t="shared" si="87"/>
        <v>0</v>
      </c>
    </row>
    <row r="581" spans="2:10" outlineLevel="1">
      <c r="B581" s="14"/>
      <c r="C581" s="17" t="s">
        <v>137</v>
      </c>
      <c r="D581" s="18">
        <v>4.25</v>
      </c>
      <c r="E581" s="18" t="s">
        <v>0</v>
      </c>
      <c r="F581" s="18">
        <f t="shared" si="88"/>
        <v>4</v>
      </c>
      <c r="G581" s="19">
        <f t="shared" si="89"/>
        <v>17</v>
      </c>
      <c r="H581" s="20">
        <f t="shared" si="86"/>
        <v>4.25</v>
      </c>
      <c r="I581" s="18">
        <v>1</v>
      </c>
      <c r="J581" s="20">
        <f t="shared" si="87"/>
        <v>17</v>
      </c>
    </row>
    <row r="582" spans="2:10" outlineLevel="1">
      <c r="B582" s="14"/>
      <c r="C582" s="17" t="s">
        <v>11</v>
      </c>
      <c r="D582" s="18">
        <v>23.75</v>
      </c>
      <c r="E582" s="18" t="s">
        <v>0</v>
      </c>
      <c r="F582" s="18">
        <f t="shared" si="88"/>
        <v>4</v>
      </c>
      <c r="G582" s="19">
        <f t="shared" si="89"/>
        <v>95</v>
      </c>
      <c r="H582" s="20">
        <f t="shared" si="86"/>
        <v>23.75</v>
      </c>
      <c r="I582" s="18">
        <v>1</v>
      </c>
      <c r="J582" s="20">
        <f t="shared" si="87"/>
        <v>95</v>
      </c>
    </row>
    <row r="583" spans="2:10" outlineLevel="1">
      <c r="B583" s="14"/>
      <c r="C583" s="17" t="s">
        <v>138</v>
      </c>
      <c r="D583" s="18">
        <v>15.85</v>
      </c>
      <c r="E583" s="18" t="s">
        <v>0</v>
      </c>
      <c r="F583" s="18">
        <f t="shared" si="88"/>
        <v>4</v>
      </c>
      <c r="G583" s="19">
        <f t="shared" si="89"/>
        <v>63.4</v>
      </c>
      <c r="H583" s="20">
        <f t="shared" si="86"/>
        <v>15.85</v>
      </c>
      <c r="I583" s="18">
        <v>1</v>
      </c>
      <c r="J583" s="20">
        <f t="shared" si="87"/>
        <v>63.4</v>
      </c>
    </row>
    <row r="584" spans="2:10" outlineLevel="1">
      <c r="B584" s="14"/>
      <c r="C584" s="17" t="s">
        <v>139</v>
      </c>
      <c r="D584" s="18">
        <v>18</v>
      </c>
      <c r="E584" s="18" t="s">
        <v>0</v>
      </c>
      <c r="F584" s="18">
        <f t="shared" si="88"/>
        <v>4</v>
      </c>
      <c r="G584" s="19">
        <f t="shared" si="89"/>
        <v>72</v>
      </c>
      <c r="H584" s="20">
        <f t="shared" si="86"/>
        <v>18</v>
      </c>
      <c r="I584" s="18">
        <v>1</v>
      </c>
      <c r="J584" s="20">
        <f t="shared" si="87"/>
        <v>72</v>
      </c>
    </row>
    <row r="585" spans="2:10" outlineLevel="1">
      <c r="B585" s="14"/>
      <c r="C585" s="17" t="s">
        <v>140</v>
      </c>
      <c r="D585" s="18">
        <v>3.05</v>
      </c>
      <c r="E585" s="18" t="s">
        <v>0</v>
      </c>
      <c r="F585" s="18">
        <f t="shared" si="88"/>
        <v>4</v>
      </c>
      <c r="G585" s="19">
        <f t="shared" si="89"/>
        <v>12.2</v>
      </c>
      <c r="H585" s="20">
        <f t="shared" si="86"/>
        <v>3.05</v>
      </c>
      <c r="I585" s="18">
        <v>1</v>
      </c>
      <c r="J585" s="20">
        <f t="shared" si="87"/>
        <v>12.2</v>
      </c>
    </row>
    <row r="586" spans="2:10" outlineLevel="1">
      <c r="B586" s="14"/>
      <c r="C586" s="17" t="s">
        <v>141</v>
      </c>
      <c r="D586" s="18">
        <v>12.8</v>
      </c>
      <c r="E586" s="18" t="s">
        <v>0</v>
      </c>
      <c r="F586" s="18">
        <f t="shared" si="88"/>
        <v>4</v>
      </c>
      <c r="G586" s="19">
        <f t="shared" si="89"/>
        <v>51.2</v>
      </c>
      <c r="H586" s="20">
        <f t="shared" si="86"/>
        <v>12.8</v>
      </c>
      <c r="I586" s="18">
        <v>1</v>
      </c>
      <c r="J586" s="20">
        <f t="shared" si="87"/>
        <v>51.2</v>
      </c>
    </row>
    <row r="587" spans="2:10" outlineLevel="1">
      <c r="B587" s="14"/>
      <c r="C587" s="17" t="s">
        <v>142</v>
      </c>
      <c r="D587" s="18">
        <v>3.05</v>
      </c>
      <c r="E587" s="18" t="s">
        <v>0</v>
      </c>
      <c r="F587" s="18">
        <f t="shared" si="88"/>
        <v>4</v>
      </c>
      <c r="G587" s="19">
        <f t="shared" si="89"/>
        <v>12.2</v>
      </c>
      <c r="H587" s="20">
        <f t="shared" si="86"/>
        <v>3.05</v>
      </c>
      <c r="I587" s="18">
        <v>1</v>
      </c>
      <c r="J587" s="20">
        <f t="shared" si="87"/>
        <v>12.2</v>
      </c>
    </row>
    <row r="588" spans="2:10" outlineLevel="1">
      <c r="B588" s="14"/>
      <c r="C588" s="17" t="s">
        <v>143</v>
      </c>
      <c r="D588" s="18">
        <v>1.8</v>
      </c>
      <c r="E588" s="18" t="s">
        <v>0</v>
      </c>
      <c r="F588" s="18">
        <f t="shared" si="88"/>
        <v>4</v>
      </c>
      <c r="G588" s="19">
        <f t="shared" si="89"/>
        <v>7.2</v>
      </c>
      <c r="H588" s="20">
        <f t="shared" si="86"/>
        <v>1.8</v>
      </c>
      <c r="I588" s="18">
        <v>1</v>
      </c>
      <c r="J588" s="20">
        <f t="shared" si="87"/>
        <v>7.2</v>
      </c>
    </row>
    <row r="589" spans="2:10" outlineLevel="1">
      <c r="B589" s="14"/>
      <c r="C589" s="17" t="s">
        <v>148</v>
      </c>
      <c r="D589" s="18">
        <v>12.25</v>
      </c>
      <c r="E589" s="18" t="s">
        <v>0</v>
      </c>
      <c r="F589" s="18">
        <f t="shared" si="88"/>
        <v>4</v>
      </c>
      <c r="G589" s="19">
        <f t="shared" si="89"/>
        <v>49</v>
      </c>
      <c r="H589" s="20">
        <f t="shared" si="86"/>
        <v>12.25</v>
      </c>
      <c r="I589" s="18">
        <v>1</v>
      </c>
      <c r="J589" s="20">
        <f t="shared" si="87"/>
        <v>49</v>
      </c>
    </row>
    <row r="590" spans="2:10" outlineLevel="1">
      <c r="B590" s="14"/>
      <c r="C590" s="17"/>
      <c r="D590" s="18"/>
      <c r="E590" s="18"/>
      <c r="F590" s="18" t="s">
        <v>0</v>
      </c>
      <c r="G590" s="19"/>
      <c r="H590" s="20"/>
      <c r="I590" s="18" t="s">
        <v>0</v>
      </c>
      <c r="J590" s="20"/>
    </row>
    <row r="591" spans="2:10" outlineLevel="1">
      <c r="B591" s="14"/>
      <c r="C591" s="17" t="s">
        <v>37</v>
      </c>
      <c r="D591" s="18">
        <v>11.75</v>
      </c>
      <c r="E591" s="18" t="s">
        <v>0</v>
      </c>
      <c r="F591" s="18">
        <f t="shared" ref="F591:F610" si="90">$F$574</f>
        <v>4</v>
      </c>
      <c r="G591" s="19">
        <f t="shared" ref="G591:G610" si="91">PRODUCT(D591,E591,F591)</f>
        <v>47</v>
      </c>
      <c r="H591" s="20">
        <f t="shared" ref="H591:H610" si="92">D591*I591</f>
        <v>11.75</v>
      </c>
      <c r="I591" s="18">
        <v>1</v>
      </c>
      <c r="J591" s="20">
        <f t="shared" si="87"/>
        <v>47</v>
      </c>
    </row>
    <row r="592" spans="2:10" outlineLevel="1">
      <c r="B592" s="14"/>
      <c r="C592" s="17" t="s">
        <v>38</v>
      </c>
      <c r="D592" s="18">
        <v>3.15</v>
      </c>
      <c r="E592" s="18" t="s">
        <v>0</v>
      </c>
      <c r="F592" s="18">
        <f t="shared" si="90"/>
        <v>4</v>
      </c>
      <c r="G592" s="19">
        <f t="shared" si="91"/>
        <v>12.6</v>
      </c>
      <c r="H592" s="20">
        <f t="shared" si="92"/>
        <v>6.3</v>
      </c>
      <c r="I592" s="18">
        <v>2</v>
      </c>
      <c r="J592" s="20">
        <f t="shared" si="87"/>
        <v>25.2</v>
      </c>
    </row>
    <row r="593" spans="2:10" outlineLevel="1">
      <c r="B593" s="14"/>
      <c r="C593" s="17" t="s">
        <v>39</v>
      </c>
      <c r="D593" s="18">
        <v>2.25</v>
      </c>
      <c r="E593" s="18" t="s">
        <v>0</v>
      </c>
      <c r="F593" s="18">
        <f t="shared" si="90"/>
        <v>4</v>
      </c>
      <c r="G593" s="19">
        <f t="shared" si="91"/>
        <v>9</v>
      </c>
      <c r="H593" s="20">
        <f t="shared" si="92"/>
        <v>9</v>
      </c>
      <c r="I593" s="18">
        <v>4</v>
      </c>
      <c r="J593" s="20">
        <f t="shared" si="87"/>
        <v>36</v>
      </c>
    </row>
    <row r="594" spans="2:10" outlineLevel="1">
      <c r="B594" s="14"/>
      <c r="C594" s="17" t="s">
        <v>40</v>
      </c>
      <c r="D594" s="18">
        <v>21.85</v>
      </c>
      <c r="E594" s="18" t="s">
        <v>0</v>
      </c>
      <c r="F594" s="18">
        <f t="shared" si="90"/>
        <v>4</v>
      </c>
      <c r="G594" s="19">
        <f t="shared" si="91"/>
        <v>87.4</v>
      </c>
      <c r="H594" s="20">
        <f t="shared" si="92"/>
        <v>43.7</v>
      </c>
      <c r="I594" s="18">
        <v>2</v>
      </c>
      <c r="J594" s="20">
        <f t="shared" si="87"/>
        <v>174.8</v>
      </c>
    </row>
    <row r="595" spans="2:10" outlineLevel="1">
      <c r="B595" s="14"/>
      <c r="C595" s="17" t="s">
        <v>41</v>
      </c>
      <c r="D595" s="18">
        <v>8.25</v>
      </c>
      <c r="E595" s="18" t="s">
        <v>0</v>
      </c>
      <c r="F595" s="18">
        <f t="shared" si="90"/>
        <v>4</v>
      </c>
      <c r="G595" s="19">
        <f t="shared" si="91"/>
        <v>33</v>
      </c>
      <c r="H595" s="20">
        <f t="shared" si="92"/>
        <v>8.25</v>
      </c>
      <c r="I595" s="18">
        <v>1</v>
      </c>
      <c r="J595" s="20">
        <f t="shared" si="87"/>
        <v>33</v>
      </c>
    </row>
    <row r="596" spans="2:10" outlineLevel="1">
      <c r="B596" s="14"/>
      <c r="C596" s="17" t="s">
        <v>42</v>
      </c>
      <c r="D596" s="18">
        <v>13.6</v>
      </c>
      <c r="E596" s="18" t="s">
        <v>0</v>
      </c>
      <c r="F596" s="18">
        <f t="shared" si="90"/>
        <v>4</v>
      </c>
      <c r="G596" s="19">
        <f t="shared" si="91"/>
        <v>54.4</v>
      </c>
      <c r="H596" s="20">
        <f t="shared" si="92"/>
        <v>27.2</v>
      </c>
      <c r="I596" s="18">
        <v>2</v>
      </c>
      <c r="J596" s="20">
        <f t="shared" si="87"/>
        <v>108.8</v>
      </c>
    </row>
    <row r="597" spans="2:10" outlineLevel="1">
      <c r="B597" s="14"/>
      <c r="C597" s="17" t="s">
        <v>43</v>
      </c>
      <c r="D597" s="18">
        <v>7.45</v>
      </c>
      <c r="E597" s="18" t="s">
        <v>0</v>
      </c>
      <c r="F597" s="18">
        <f t="shared" si="90"/>
        <v>4</v>
      </c>
      <c r="G597" s="19">
        <f t="shared" si="91"/>
        <v>29.8</v>
      </c>
      <c r="H597" s="20">
        <f t="shared" si="92"/>
        <v>29.8</v>
      </c>
      <c r="I597" s="18">
        <v>4</v>
      </c>
      <c r="J597" s="20">
        <f t="shared" si="87"/>
        <v>119.2</v>
      </c>
    </row>
    <row r="598" spans="2:10" outlineLevel="1">
      <c r="B598" s="14"/>
      <c r="C598" s="17" t="s">
        <v>44</v>
      </c>
      <c r="D598" s="18">
        <v>3.4</v>
      </c>
      <c r="E598" s="18" t="s">
        <v>0</v>
      </c>
      <c r="F598" s="18">
        <f t="shared" si="90"/>
        <v>4</v>
      </c>
      <c r="G598" s="19">
        <f t="shared" si="91"/>
        <v>13.6</v>
      </c>
      <c r="H598" s="20">
        <f t="shared" si="92"/>
        <v>6.8</v>
      </c>
      <c r="I598" s="18">
        <v>2</v>
      </c>
      <c r="J598" s="20">
        <f t="shared" si="87"/>
        <v>27.2</v>
      </c>
    </row>
    <row r="599" spans="2:10" outlineLevel="1">
      <c r="B599" s="14"/>
      <c r="C599" s="17" t="s">
        <v>45</v>
      </c>
      <c r="D599" s="18">
        <v>3.2</v>
      </c>
      <c r="E599" s="18" t="s">
        <v>0</v>
      </c>
      <c r="F599" s="18">
        <f t="shared" si="90"/>
        <v>4</v>
      </c>
      <c r="G599" s="19">
        <f t="shared" si="91"/>
        <v>12.8</v>
      </c>
      <c r="H599" s="20">
        <f t="shared" si="92"/>
        <v>3.2</v>
      </c>
      <c r="I599" s="18">
        <v>1</v>
      </c>
      <c r="J599" s="20">
        <f t="shared" si="87"/>
        <v>12.8</v>
      </c>
    </row>
    <row r="600" spans="2:10" outlineLevel="1">
      <c r="B600" s="14"/>
      <c r="C600" s="17" t="s">
        <v>46</v>
      </c>
      <c r="D600" s="18">
        <v>33.200000000000003</v>
      </c>
      <c r="E600" s="18" t="s">
        <v>0</v>
      </c>
      <c r="F600" s="18">
        <f t="shared" si="90"/>
        <v>4</v>
      </c>
      <c r="G600" s="19">
        <f>PRODUCT(D600,E600,F600)</f>
        <v>132.80000000000001</v>
      </c>
      <c r="H600" s="20">
        <f t="shared" si="92"/>
        <v>33.200000000000003</v>
      </c>
      <c r="I600" s="18">
        <v>1</v>
      </c>
      <c r="J600" s="20">
        <f t="shared" si="87"/>
        <v>132.80000000000001</v>
      </c>
    </row>
    <row r="601" spans="2:10" outlineLevel="1">
      <c r="B601" s="14"/>
      <c r="C601" s="17" t="s">
        <v>47</v>
      </c>
      <c r="D601" s="18">
        <v>4.5999999999999996</v>
      </c>
      <c r="E601" s="18" t="s">
        <v>0</v>
      </c>
      <c r="F601" s="18">
        <f t="shared" si="90"/>
        <v>4</v>
      </c>
      <c r="G601" s="19">
        <f t="shared" si="91"/>
        <v>18.399999999999999</v>
      </c>
      <c r="H601" s="20">
        <f t="shared" si="92"/>
        <v>4.5999999999999996</v>
      </c>
      <c r="I601" s="18">
        <v>1</v>
      </c>
      <c r="J601" s="20">
        <f t="shared" si="87"/>
        <v>18.399999999999999</v>
      </c>
    </row>
    <row r="602" spans="2:10" outlineLevel="1">
      <c r="B602" s="14"/>
      <c r="C602" s="26" t="s">
        <v>58</v>
      </c>
      <c r="D602" s="18">
        <v>7.1</v>
      </c>
      <c r="E602" s="18" t="s">
        <v>0</v>
      </c>
      <c r="F602" s="18">
        <f t="shared" si="90"/>
        <v>4</v>
      </c>
      <c r="G602" s="27">
        <f t="shared" si="91"/>
        <v>28.4</v>
      </c>
      <c r="H602" s="20">
        <f t="shared" si="92"/>
        <v>14.2</v>
      </c>
      <c r="I602" s="18">
        <v>2</v>
      </c>
      <c r="J602" s="20">
        <f t="shared" si="87"/>
        <v>56.8</v>
      </c>
    </row>
    <row r="603" spans="2:10" outlineLevel="1">
      <c r="B603" s="14"/>
      <c r="C603" s="26" t="s">
        <v>59</v>
      </c>
      <c r="D603" s="18">
        <v>10.75</v>
      </c>
      <c r="E603" s="18" t="s">
        <v>0</v>
      </c>
      <c r="F603" s="18">
        <f t="shared" si="90"/>
        <v>4</v>
      </c>
      <c r="G603" s="27">
        <f t="shared" si="91"/>
        <v>43</v>
      </c>
      <c r="H603" s="20">
        <f t="shared" si="92"/>
        <v>10.75</v>
      </c>
      <c r="I603" s="18">
        <v>1</v>
      </c>
      <c r="J603" s="20">
        <f t="shared" si="87"/>
        <v>43</v>
      </c>
    </row>
    <row r="604" spans="2:10" outlineLevel="1">
      <c r="B604" s="14"/>
      <c r="C604" s="26" t="s">
        <v>60</v>
      </c>
      <c r="D604" s="18">
        <v>18.899999999999999</v>
      </c>
      <c r="E604" s="18" t="s">
        <v>0</v>
      </c>
      <c r="F604" s="18">
        <f t="shared" si="90"/>
        <v>4</v>
      </c>
      <c r="G604" s="27">
        <f t="shared" si="91"/>
        <v>75.599999999999994</v>
      </c>
      <c r="H604" s="20">
        <f t="shared" si="92"/>
        <v>56.699999999999996</v>
      </c>
      <c r="I604" s="18">
        <v>3</v>
      </c>
      <c r="J604" s="20">
        <f t="shared" si="87"/>
        <v>226.79999999999998</v>
      </c>
    </row>
    <row r="605" spans="2:10" outlineLevel="1">
      <c r="B605" s="14"/>
      <c r="C605" s="26" t="s">
        <v>61</v>
      </c>
      <c r="D605" s="18">
        <v>3.15</v>
      </c>
      <c r="E605" s="18" t="s">
        <v>0</v>
      </c>
      <c r="F605" s="18">
        <f t="shared" si="90"/>
        <v>4</v>
      </c>
      <c r="G605" s="27">
        <f t="shared" si="91"/>
        <v>12.6</v>
      </c>
      <c r="H605" s="20">
        <f t="shared" si="92"/>
        <v>3.15</v>
      </c>
      <c r="I605" s="18">
        <v>1</v>
      </c>
      <c r="J605" s="20">
        <f t="shared" si="87"/>
        <v>12.6</v>
      </c>
    </row>
    <row r="606" spans="2:10" outlineLevel="1">
      <c r="B606" s="14"/>
      <c r="C606" s="26" t="s">
        <v>62</v>
      </c>
      <c r="D606" s="18">
        <v>6.9</v>
      </c>
      <c r="E606" s="18" t="s">
        <v>0</v>
      </c>
      <c r="F606" s="18">
        <f t="shared" si="90"/>
        <v>4</v>
      </c>
      <c r="G606" s="27">
        <f t="shared" si="91"/>
        <v>27.6</v>
      </c>
      <c r="H606" s="20">
        <f t="shared" si="92"/>
        <v>27.6</v>
      </c>
      <c r="I606" s="18">
        <v>4</v>
      </c>
      <c r="J606" s="20">
        <f t="shared" si="87"/>
        <v>110.4</v>
      </c>
    </row>
    <row r="607" spans="2:10" outlineLevel="1">
      <c r="B607" s="14"/>
      <c r="C607" s="26" t="s">
        <v>63</v>
      </c>
      <c r="D607" s="18">
        <v>19</v>
      </c>
      <c r="E607" s="18" t="s">
        <v>0</v>
      </c>
      <c r="F607" s="18">
        <f t="shared" si="90"/>
        <v>4</v>
      </c>
      <c r="G607" s="27">
        <f t="shared" si="91"/>
        <v>76</v>
      </c>
      <c r="H607" s="20">
        <f t="shared" si="92"/>
        <v>19</v>
      </c>
      <c r="I607" s="18">
        <v>1</v>
      </c>
      <c r="J607" s="20">
        <f t="shared" si="87"/>
        <v>76</v>
      </c>
    </row>
    <row r="608" spans="2:10" outlineLevel="1">
      <c r="B608" s="14"/>
      <c r="C608" s="26" t="s">
        <v>64</v>
      </c>
      <c r="D608" s="18">
        <v>3.5</v>
      </c>
      <c r="E608" s="18" t="s">
        <v>0</v>
      </c>
      <c r="F608" s="18">
        <f t="shared" si="90"/>
        <v>4</v>
      </c>
      <c r="G608" s="27">
        <f t="shared" si="91"/>
        <v>14</v>
      </c>
      <c r="H608" s="20">
        <f t="shared" si="92"/>
        <v>7</v>
      </c>
      <c r="I608" s="18">
        <v>2</v>
      </c>
      <c r="J608" s="20">
        <f t="shared" si="87"/>
        <v>28</v>
      </c>
    </row>
    <row r="609" spans="2:10" outlineLevel="1">
      <c r="B609" s="14"/>
      <c r="C609" s="26" t="s">
        <v>65</v>
      </c>
      <c r="D609" s="18">
        <v>4.9000000000000004</v>
      </c>
      <c r="E609" s="18" t="s">
        <v>0</v>
      </c>
      <c r="F609" s="18">
        <f t="shared" si="90"/>
        <v>4</v>
      </c>
      <c r="G609" s="27">
        <f t="shared" si="91"/>
        <v>19.600000000000001</v>
      </c>
      <c r="H609" s="20">
        <f t="shared" si="92"/>
        <v>4.9000000000000004</v>
      </c>
      <c r="I609" s="18">
        <v>1</v>
      </c>
      <c r="J609" s="20">
        <f t="shared" si="87"/>
        <v>19.600000000000001</v>
      </c>
    </row>
    <row r="610" spans="2:10" outlineLevel="1">
      <c r="B610" s="14"/>
      <c r="C610" s="26" t="s">
        <v>66</v>
      </c>
      <c r="D610" s="18">
        <v>7.1</v>
      </c>
      <c r="E610" s="18" t="s">
        <v>0</v>
      </c>
      <c r="F610" s="18">
        <f t="shared" si="90"/>
        <v>4</v>
      </c>
      <c r="G610" s="27">
        <f t="shared" si="91"/>
        <v>28.4</v>
      </c>
      <c r="H610" s="20">
        <f t="shared" si="92"/>
        <v>28.4</v>
      </c>
      <c r="I610" s="18">
        <v>4</v>
      </c>
      <c r="J610" s="20">
        <f t="shared" si="87"/>
        <v>113.6</v>
      </c>
    </row>
    <row r="611" spans="2:10">
      <c r="B611" s="14"/>
      <c r="C611" s="24" t="s">
        <v>151</v>
      </c>
      <c r="D611" s="18"/>
      <c r="E611" s="18"/>
      <c r="F611" s="18" t="s">
        <v>0</v>
      </c>
      <c r="G611" s="19"/>
      <c r="H611" s="533"/>
      <c r="I611" s="18"/>
      <c r="J611" s="15">
        <f>SUM(J612:J617)</f>
        <v>455.8</v>
      </c>
    </row>
    <row r="612" spans="2:10" hidden="1" outlineLevel="1">
      <c r="B612" s="14"/>
      <c r="C612" s="17" t="s">
        <v>12</v>
      </c>
      <c r="D612" s="18">
        <v>6.25</v>
      </c>
      <c r="E612" s="18" t="s">
        <v>0</v>
      </c>
      <c r="F612" s="18">
        <f t="shared" ref="F612:F617" si="93">$F$574</f>
        <v>4</v>
      </c>
      <c r="G612" s="19">
        <f t="shared" ref="G612:G617" si="94">PRODUCT(D612,E612,F612)</f>
        <v>25</v>
      </c>
      <c r="H612" s="20">
        <f t="shared" ref="H612:H617" si="95">D612*I612</f>
        <v>25</v>
      </c>
      <c r="I612" s="18">
        <v>4</v>
      </c>
      <c r="J612" s="20">
        <f t="shared" ref="J612:J617" si="96">IF(G612&gt;0,G612*I612,H612*I612)</f>
        <v>100</v>
      </c>
    </row>
    <row r="613" spans="2:10" hidden="1" outlineLevel="1">
      <c r="B613" s="14"/>
      <c r="C613" s="17" t="s">
        <v>13</v>
      </c>
      <c r="D613" s="18">
        <v>2.5</v>
      </c>
      <c r="E613" s="18" t="s">
        <v>0</v>
      </c>
      <c r="F613" s="18">
        <f t="shared" si="93"/>
        <v>4</v>
      </c>
      <c r="G613" s="19">
        <f t="shared" si="94"/>
        <v>10</v>
      </c>
      <c r="H613" s="20">
        <f t="shared" si="95"/>
        <v>10</v>
      </c>
      <c r="I613" s="18">
        <v>4</v>
      </c>
      <c r="J613" s="20">
        <f t="shared" si="96"/>
        <v>40</v>
      </c>
    </row>
    <row r="614" spans="2:10" hidden="1" outlineLevel="1">
      <c r="B614" s="14"/>
      <c r="C614" s="17" t="s">
        <v>24</v>
      </c>
      <c r="D614" s="18">
        <v>6.9</v>
      </c>
      <c r="E614" s="18" t="s">
        <v>0</v>
      </c>
      <c r="F614" s="18">
        <f t="shared" si="93"/>
        <v>4</v>
      </c>
      <c r="G614" s="19">
        <f t="shared" si="94"/>
        <v>27.6</v>
      </c>
      <c r="H614" s="20">
        <f t="shared" si="95"/>
        <v>13.8</v>
      </c>
      <c r="I614" s="18">
        <v>2</v>
      </c>
      <c r="J614" s="20">
        <f t="shared" si="96"/>
        <v>55.2</v>
      </c>
    </row>
    <row r="615" spans="2:10" hidden="1" outlineLevel="1">
      <c r="B615" s="14"/>
      <c r="C615" s="17" t="s">
        <v>25</v>
      </c>
      <c r="D615" s="18">
        <v>39.35</v>
      </c>
      <c r="E615" s="18" t="s">
        <v>0</v>
      </c>
      <c r="F615" s="18">
        <f t="shared" si="93"/>
        <v>4</v>
      </c>
      <c r="G615" s="19">
        <f t="shared" si="94"/>
        <v>157.4</v>
      </c>
      <c r="H615" s="20">
        <f t="shared" si="95"/>
        <v>39.35</v>
      </c>
      <c r="I615" s="18">
        <v>1</v>
      </c>
      <c r="J615" s="20">
        <f t="shared" si="96"/>
        <v>157.4</v>
      </c>
    </row>
    <row r="616" spans="2:10" hidden="1" outlineLevel="1">
      <c r="B616" s="14"/>
      <c r="C616" s="17" t="s">
        <v>26</v>
      </c>
      <c r="D616" s="18">
        <v>3</v>
      </c>
      <c r="E616" s="18" t="s">
        <v>0</v>
      </c>
      <c r="F616" s="18">
        <f t="shared" si="93"/>
        <v>4</v>
      </c>
      <c r="G616" s="19">
        <f t="shared" si="94"/>
        <v>12</v>
      </c>
      <c r="H616" s="20">
        <f t="shared" si="95"/>
        <v>6</v>
      </c>
      <c r="I616" s="18">
        <v>2</v>
      </c>
      <c r="J616" s="20">
        <f t="shared" si="96"/>
        <v>24</v>
      </c>
    </row>
    <row r="617" spans="2:10" hidden="1" outlineLevel="1">
      <c r="B617" s="14"/>
      <c r="C617" s="17" t="s">
        <v>27</v>
      </c>
      <c r="D617" s="18">
        <v>9.9</v>
      </c>
      <c r="E617" s="18" t="s">
        <v>0</v>
      </c>
      <c r="F617" s="18">
        <f t="shared" si="93"/>
        <v>4</v>
      </c>
      <c r="G617" s="19">
        <f t="shared" si="94"/>
        <v>39.6</v>
      </c>
      <c r="H617" s="20">
        <f t="shared" si="95"/>
        <v>19.8</v>
      </c>
      <c r="I617" s="18">
        <v>2</v>
      </c>
      <c r="J617" s="20">
        <f t="shared" si="96"/>
        <v>79.2</v>
      </c>
    </row>
    <row r="618" spans="2:10" collapsed="1"/>
    <row r="619" spans="2:10">
      <c r="B619" s="14" t="s">
        <v>164</v>
      </c>
      <c r="C619" s="1004" t="s">
        <v>167</v>
      </c>
      <c r="D619" s="1004"/>
      <c r="E619" s="1004"/>
      <c r="F619" s="1004"/>
      <c r="G619" s="1004"/>
      <c r="H619" s="1004"/>
      <c r="I619" s="1004"/>
      <c r="J619" s="15"/>
    </row>
    <row r="620" spans="2:10">
      <c r="B620" s="14"/>
      <c r="C620" s="24" t="s">
        <v>2501</v>
      </c>
      <c r="D620" s="18"/>
      <c r="E620" s="18"/>
      <c r="F620" s="18" t="s">
        <v>0</v>
      </c>
      <c r="G620" s="19"/>
      <c r="H620" s="20"/>
      <c r="I620" s="18"/>
      <c r="J620" s="15">
        <f>J621*8</f>
        <v>545.6</v>
      </c>
    </row>
    <row r="621" spans="2:10" outlineLevel="1">
      <c r="B621" s="14"/>
      <c r="C621" s="24"/>
      <c r="D621" s="18"/>
      <c r="E621" s="18"/>
      <c r="F621" s="18"/>
      <c r="G621" s="19"/>
      <c r="H621" s="20"/>
      <c r="I621" s="18"/>
      <c r="J621" s="15">
        <f>SUM(J622:J623)</f>
        <v>68.2</v>
      </c>
    </row>
    <row r="622" spans="2:10" outlineLevel="1">
      <c r="B622" s="14"/>
      <c r="C622" s="17" t="s">
        <v>168</v>
      </c>
      <c r="D622" s="18">
        <v>3.15</v>
      </c>
      <c r="E622" s="18" t="s">
        <v>0</v>
      </c>
      <c r="F622" s="18">
        <f>$I$12</f>
        <v>4</v>
      </c>
      <c r="G622" s="19">
        <f>PRODUCT(D622,E622,F622)</f>
        <v>12.6</v>
      </c>
      <c r="H622" s="20">
        <f>D622*I622</f>
        <v>3.15</v>
      </c>
      <c r="I622" s="18">
        <v>1</v>
      </c>
      <c r="J622" s="20">
        <f>IF(G622&gt;0,G622*I622,H622*I622)</f>
        <v>12.6</v>
      </c>
    </row>
    <row r="623" spans="2:10" outlineLevel="1">
      <c r="B623" s="14"/>
      <c r="C623" s="17" t="s">
        <v>169</v>
      </c>
      <c r="D623" s="18">
        <v>6.95</v>
      </c>
      <c r="E623" s="18" t="s">
        <v>0</v>
      </c>
      <c r="F623" s="18">
        <f>$F$622</f>
        <v>4</v>
      </c>
      <c r="G623" s="19">
        <f>PRODUCT(D623,E623,F623)</f>
        <v>27.8</v>
      </c>
      <c r="H623" s="20">
        <f>D623*I623</f>
        <v>13.9</v>
      </c>
      <c r="I623" s="18">
        <v>2</v>
      </c>
      <c r="J623" s="20">
        <f>IF(G623&gt;0,G623*I623,H623*I623)</f>
        <v>55.6</v>
      </c>
    </row>
    <row r="625" spans="2:10">
      <c r="B625" s="14" t="s">
        <v>166</v>
      </c>
      <c r="C625" s="1004" t="s">
        <v>170</v>
      </c>
      <c r="D625" s="1004"/>
      <c r="E625" s="1004"/>
      <c r="F625" s="1004"/>
      <c r="G625" s="1004"/>
      <c r="H625" s="1004"/>
      <c r="I625" s="1004"/>
      <c r="J625" s="15"/>
    </row>
    <row r="626" spans="2:10">
      <c r="B626" s="14"/>
      <c r="C626" s="24" t="s">
        <v>77</v>
      </c>
      <c r="D626" s="18"/>
      <c r="E626" s="18"/>
      <c r="F626" s="18"/>
      <c r="G626" s="19"/>
      <c r="H626" s="20"/>
      <c r="I626" s="18"/>
      <c r="J626" s="15">
        <f>J627*8</f>
        <v>1968</v>
      </c>
    </row>
    <row r="627" spans="2:10" outlineLevel="1">
      <c r="B627" s="14"/>
      <c r="C627" s="24"/>
      <c r="D627" s="18"/>
      <c r="E627" s="18"/>
      <c r="F627" s="18"/>
      <c r="G627" s="19"/>
      <c r="H627" s="20"/>
      <c r="I627" s="18"/>
      <c r="J627" s="23">
        <f>SUM(J628:J631)</f>
        <v>246</v>
      </c>
    </row>
    <row r="628" spans="2:10" outlineLevel="1">
      <c r="B628" s="14"/>
      <c r="C628" s="17" t="s">
        <v>171</v>
      </c>
      <c r="D628" s="18">
        <v>12.4</v>
      </c>
      <c r="E628" s="18" t="s">
        <v>0</v>
      </c>
      <c r="F628" s="18">
        <f>3-$I$11</f>
        <v>2.5</v>
      </c>
      <c r="G628" s="19">
        <f>PRODUCT(D628,E628,F628)</f>
        <v>31</v>
      </c>
      <c r="H628" s="20">
        <f>D628*I628</f>
        <v>12.4</v>
      </c>
      <c r="I628" s="18">
        <v>1</v>
      </c>
      <c r="J628" s="20">
        <f>IF(G628&gt;0,G628*I628,H628*I628)</f>
        <v>31</v>
      </c>
    </row>
    <row r="629" spans="2:10" outlineLevel="1">
      <c r="B629" s="14"/>
      <c r="C629" s="17" t="s">
        <v>172</v>
      </c>
      <c r="D629" s="18">
        <v>11.25</v>
      </c>
      <c r="E629" s="18" t="s">
        <v>0</v>
      </c>
      <c r="F629" s="18">
        <f>$F$628</f>
        <v>2.5</v>
      </c>
      <c r="G629" s="19">
        <f>PRODUCT(D629,E629,F629)</f>
        <v>28.125</v>
      </c>
      <c r="H629" s="20">
        <f>D629*I629</f>
        <v>11.25</v>
      </c>
      <c r="I629" s="18">
        <v>1</v>
      </c>
      <c r="J629" s="20">
        <f>IF(G629&gt;0,G629*I629,H629*I629)</f>
        <v>28.125</v>
      </c>
    </row>
    <row r="630" spans="2:10" outlineLevel="1">
      <c r="B630" s="14"/>
      <c r="C630" s="17" t="s">
        <v>173</v>
      </c>
      <c r="D630" s="18">
        <v>35.35</v>
      </c>
      <c r="E630" s="18" t="s">
        <v>0</v>
      </c>
      <c r="F630" s="18">
        <f>$F$628</f>
        <v>2.5</v>
      </c>
      <c r="G630" s="19">
        <f>PRODUCT(D630,E630,F630)</f>
        <v>88.375</v>
      </c>
      <c r="H630" s="20">
        <f>D630*I630</f>
        <v>35.35</v>
      </c>
      <c r="I630" s="18">
        <v>1</v>
      </c>
      <c r="J630" s="20">
        <f>IF(G630&gt;0,G630*I630,H630*I630)</f>
        <v>88.375</v>
      </c>
    </row>
    <row r="631" spans="2:10" outlineLevel="1">
      <c r="B631" s="14"/>
      <c r="C631" s="17" t="s">
        <v>174</v>
      </c>
      <c r="D631" s="18">
        <v>39.4</v>
      </c>
      <c r="E631" s="18" t="s">
        <v>0</v>
      </c>
      <c r="F631" s="18">
        <f>$F$628</f>
        <v>2.5</v>
      </c>
      <c r="G631" s="19">
        <f>PRODUCT(D631,E631,F631)</f>
        <v>98.5</v>
      </c>
      <c r="H631" s="20">
        <f>D631*I631</f>
        <v>39.4</v>
      </c>
      <c r="I631" s="18">
        <v>1</v>
      </c>
      <c r="J631" s="20">
        <f>IF(G631&gt;0,G631*I631,H631*I631)</f>
        <v>98.5</v>
      </c>
    </row>
    <row r="633" spans="2:10">
      <c r="B633" s="14" t="s">
        <v>179</v>
      </c>
      <c r="C633" s="1004" t="s">
        <v>165</v>
      </c>
      <c r="D633" s="1004"/>
      <c r="E633" s="1004"/>
      <c r="F633" s="1004"/>
      <c r="G633" s="1004"/>
      <c r="H633" s="1004"/>
      <c r="I633" s="1004"/>
      <c r="J633" s="15"/>
    </row>
    <row r="634" spans="2:10">
      <c r="B634" s="14"/>
      <c r="C634" s="24" t="s">
        <v>77</v>
      </c>
      <c r="D634" s="18"/>
      <c r="E634" s="18"/>
      <c r="F634" s="18"/>
      <c r="G634" s="19"/>
      <c r="H634" s="20"/>
      <c r="I634" s="18"/>
      <c r="J634" s="23">
        <f>SUM(J635:J644)</f>
        <v>828</v>
      </c>
    </row>
    <row r="635" spans="2:10" outlineLevel="1">
      <c r="B635" s="14"/>
      <c r="C635" s="17" t="s">
        <v>10</v>
      </c>
      <c r="D635" s="18">
        <v>10.6</v>
      </c>
      <c r="E635" s="18" t="s">
        <v>0</v>
      </c>
      <c r="F635" s="18">
        <f>$I$12</f>
        <v>4</v>
      </c>
      <c r="G635" s="19">
        <f>PRODUCT(D635,E635,F635)</f>
        <v>42.4</v>
      </c>
      <c r="H635" s="20"/>
      <c r="I635" s="18">
        <v>1</v>
      </c>
      <c r="J635" s="20">
        <f>IF(G635&gt;0,G635*I635,H635*I635)</f>
        <v>42.4</v>
      </c>
    </row>
    <row r="636" spans="2:10" outlineLevel="1">
      <c r="B636" s="14"/>
      <c r="C636" s="17" t="s">
        <v>11</v>
      </c>
      <c r="D636" s="18">
        <v>23.75</v>
      </c>
      <c r="E636" s="18" t="s">
        <v>0</v>
      </c>
      <c r="F636" s="18">
        <f>$F$635</f>
        <v>4</v>
      </c>
      <c r="G636" s="19">
        <f t="shared" ref="G636:G641" si="97">PRODUCT(D636,E636,F636)</f>
        <v>95</v>
      </c>
      <c r="H636" s="20"/>
      <c r="I636" s="18">
        <v>1</v>
      </c>
      <c r="J636" s="20">
        <f>IF(G636&gt;0,G636*I636,H636*I636)</f>
        <v>95</v>
      </c>
    </row>
    <row r="637" spans="2:10" outlineLevel="1">
      <c r="B637" s="14"/>
      <c r="C637" s="17" t="s">
        <v>138</v>
      </c>
      <c r="D637" s="18">
        <v>15.85</v>
      </c>
      <c r="E637" s="18" t="s">
        <v>0</v>
      </c>
      <c r="F637" s="18">
        <f>$F$635</f>
        <v>4</v>
      </c>
      <c r="G637" s="19">
        <f t="shared" si="97"/>
        <v>63.4</v>
      </c>
      <c r="H637" s="20"/>
      <c r="I637" s="18">
        <v>3</v>
      </c>
      <c r="J637" s="20">
        <f>IF(G637&gt;0,G637*I637,H637*I637)</f>
        <v>190.2</v>
      </c>
    </row>
    <row r="638" spans="2:10" outlineLevel="1">
      <c r="B638" s="14"/>
      <c r="C638" s="17" t="s">
        <v>139</v>
      </c>
      <c r="D638" s="18">
        <v>18</v>
      </c>
      <c r="E638" s="18" t="s">
        <v>0</v>
      </c>
      <c r="F638" s="18">
        <f>$F$635</f>
        <v>4</v>
      </c>
      <c r="G638" s="19">
        <f t="shared" si="97"/>
        <v>72</v>
      </c>
      <c r="H638" s="20"/>
      <c r="I638" s="18">
        <v>1</v>
      </c>
      <c r="J638" s="20">
        <f>IF(G638&gt;0,G638*I638,H638*I638)</f>
        <v>72</v>
      </c>
    </row>
    <row r="639" spans="2:10" outlineLevel="1">
      <c r="B639" s="14"/>
      <c r="C639" s="17"/>
      <c r="D639" s="18"/>
      <c r="E639" s="18"/>
      <c r="F639" s="18" t="s">
        <v>0</v>
      </c>
      <c r="G639" s="19"/>
      <c r="H639" s="20"/>
      <c r="I639" s="18"/>
      <c r="J639" s="20"/>
    </row>
    <row r="640" spans="2:10" outlineLevel="1">
      <c r="B640" s="14"/>
      <c r="C640" s="17" t="s">
        <v>37</v>
      </c>
      <c r="D640" s="18">
        <v>13.6</v>
      </c>
      <c r="E640" s="18" t="s">
        <v>0</v>
      </c>
      <c r="F640" s="18">
        <f>$F$635</f>
        <v>4</v>
      </c>
      <c r="G640" s="19">
        <f t="shared" si="97"/>
        <v>54.4</v>
      </c>
      <c r="H640" s="20"/>
      <c r="I640" s="18">
        <v>2</v>
      </c>
      <c r="J640" s="20">
        <f>IF(G640&gt;0,G640*I640,H640*I640)</f>
        <v>108.8</v>
      </c>
    </row>
    <row r="641" spans="2:10" outlineLevel="1">
      <c r="B641" s="14"/>
      <c r="C641" s="17" t="s">
        <v>58</v>
      </c>
      <c r="D641" s="18">
        <v>5.15</v>
      </c>
      <c r="E641" s="18" t="s">
        <v>0</v>
      </c>
      <c r="F641" s="18">
        <f>$F$635</f>
        <v>4</v>
      </c>
      <c r="G641" s="19">
        <f t="shared" si="97"/>
        <v>20.6</v>
      </c>
      <c r="H641" s="20"/>
      <c r="I641" s="18">
        <v>2</v>
      </c>
      <c r="J641" s="20">
        <f>IF(G641&gt;0,G641*I641,H641*I641)</f>
        <v>41.2</v>
      </c>
    </row>
    <row r="642" spans="2:10" outlineLevel="1">
      <c r="B642" s="14"/>
      <c r="C642" s="17" t="s">
        <v>78</v>
      </c>
      <c r="D642" s="18">
        <v>23</v>
      </c>
      <c r="E642" s="18" t="s">
        <v>0</v>
      </c>
      <c r="F642" s="18">
        <f>$F$635</f>
        <v>4</v>
      </c>
      <c r="G642" s="19">
        <f>PRODUCT(D642,E642,F642)</f>
        <v>92</v>
      </c>
      <c r="H642" s="20"/>
      <c r="I642" s="18">
        <v>1</v>
      </c>
      <c r="J642" s="20">
        <f>IF(G642&gt;0,G642*I642,H642*I642)</f>
        <v>92</v>
      </c>
    </row>
    <row r="643" spans="2:10" outlineLevel="1">
      <c r="B643" s="14"/>
      <c r="C643" s="17" t="s">
        <v>79</v>
      </c>
      <c r="D643" s="18">
        <v>7.2</v>
      </c>
      <c r="E643" s="18" t="s">
        <v>0</v>
      </c>
      <c r="F643" s="18">
        <f>$F$635</f>
        <v>4</v>
      </c>
      <c r="G643" s="19">
        <f>PRODUCT(D643,E643,F643)</f>
        <v>28.8</v>
      </c>
      <c r="H643" s="20"/>
      <c r="I643" s="18">
        <v>1</v>
      </c>
      <c r="J643" s="20">
        <f>IF(G643&gt;0,G643*I643,H643*I643)</f>
        <v>28.8</v>
      </c>
    </row>
    <row r="644" spans="2:10" outlineLevel="1">
      <c r="B644" s="14"/>
      <c r="C644" s="17" t="s">
        <v>82</v>
      </c>
      <c r="D644" s="18">
        <v>39.4</v>
      </c>
      <c r="E644" s="18" t="s">
        <v>0</v>
      </c>
      <c r="F644" s="18">
        <f>$F$635</f>
        <v>4</v>
      </c>
      <c r="G644" s="19">
        <f>PRODUCT(D644,E644,F644)</f>
        <v>157.6</v>
      </c>
      <c r="H644" s="20"/>
      <c r="I644" s="18">
        <v>1</v>
      </c>
      <c r="J644" s="20">
        <f>IF(G644&gt;0,G644*I644,H644*I644)</f>
        <v>157.6</v>
      </c>
    </row>
    <row r="646" spans="2:10">
      <c r="G646" s="142" t="s">
        <v>1222</v>
      </c>
      <c r="H646" s="143">
        <f>SUM(H89:H644)</f>
        <v>8386.2500000000091</v>
      </c>
    </row>
  </sheetData>
  <mergeCells count="20">
    <mergeCell ref="C517:I517"/>
    <mergeCell ref="C564:I564"/>
    <mergeCell ref="C568:I568"/>
    <mergeCell ref="C572:I572"/>
    <mergeCell ref="C633:I633"/>
    <mergeCell ref="C619:I619"/>
    <mergeCell ref="C625:I625"/>
    <mergeCell ref="C194:I194"/>
    <mergeCell ref="B3:J3"/>
    <mergeCell ref="C87:I87"/>
    <mergeCell ref="C168:I168"/>
    <mergeCell ref="C180:I180"/>
    <mergeCell ref="B15:J15"/>
    <mergeCell ref="B82:J82"/>
    <mergeCell ref="C387:I387"/>
    <mergeCell ref="C450:I450"/>
    <mergeCell ref="C330:I330"/>
    <mergeCell ref="C260:I260"/>
    <mergeCell ref="C221:I221"/>
    <mergeCell ref="C253:I253"/>
  </mergeCells>
  <pageMargins left="0.511811024" right="0.511811024" top="0.78740157499999996" bottom="0.78740157499999996" header="0.31496062000000002" footer="0.31496062000000002"/>
  <pageSetup paperSize="9" orientation="portrait" r:id="rId1"/>
  <ignoredErrors>
    <ignoredError sqref="F90" unlockedFormula="1"/>
    <ignoredError sqref="J158" formula="1"/>
  </ignoredErrors>
</worksheet>
</file>

<file path=xl/worksheets/sheet4.xml><?xml version="1.0" encoding="utf-8"?>
<worksheet xmlns="http://schemas.openxmlformats.org/spreadsheetml/2006/main" xmlns:r="http://schemas.openxmlformats.org/officeDocument/2006/relationships">
  <dimension ref="A1:K489"/>
  <sheetViews>
    <sheetView workbookViewId="0"/>
  </sheetViews>
  <sheetFormatPr defaultColWidth="9" defaultRowHeight="15.6"/>
  <cols>
    <col min="1" max="1" width="3.3984375" style="1" customWidth="1"/>
    <col min="2" max="2" width="9" style="1"/>
    <col min="3" max="3" width="45.69921875" style="1" customWidth="1"/>
    <col min="4" max="7" width="12.59765625" style="1" customWidth="1"/>
    <col min="8" max="10" width="12.59765625" style="167" customWidth="1"/>
    <col min="11" max="16384" width="9" style="1"/>
  </cols>
  <sheetData>
    <row r="1" spans="1:11" ht="16.2" thickBot="1">
      <c r="A1" s="2" t="s">
        <v>0</v>
      </c>
      <c r="B1" s="3"/>
      <c r="C1" s="2"/>
      <c r="D1" s="2"/>
      <c r="E1" s="2"/>
      <c r="F1" s="2"/>
      <c r="G1" s="2"/>
      <c r="H1" s="13"/>
      <c r="I1" s="13"/>
      <c r="J1" s="13"/>
      <c r="K1" s="2"/>
    </row>
    <row r="2" spans="1:11">
      <c r="A2" s="2"/>
      <c r="B2" s="37"/>
      <c r="C2" s="38"/>
      <c r="D2" s="38"/>
      <c r="E2" s="38"/>
      <c r="F2" s="38"/>
      <c r="G2" s="38"/>
      <c r="H2" s="146"/>
      <c r="I2" s="146"/>
      <c r="J2" s="147"/>
      <c r="K2" s="2"/>
    </row>
    <row r="3" spans="1:11" ht="17.399999999999999">
      <c r="A3" s="2"/>
      <c r="B3" s="1006" t="s">
        <v>1373</v>
      </c>
      <c r="C3" s="1007"/>
      <c r="D3" s="1007"/>
      <c r="E3" s="1007"/>
      <c r="F3" s="1007"/>
      <c r="G3" s="1007"/>
      <c r="H3" s="1007"/>
      <c r="I3" s="1007"/>
      <c r="J3" s="1008"/>
      <c r="K3" s="2"/>
    </row>
    <row r="4" spans="1:11" ht="17.399999999999999">
      <c r="A4" s="2"/>
      <c r="B4" s="144"/>
      <c r="C4" s="145"/>
      <c r="D4" s="145"/>
      <c r="E4" s="145"/>
      <c r="F4" s="145"/>
      <c r="G4" s="145"/>
      <c r="H4" s="148"/>
      <c r="I4" s="148"/>
      <c r="J4" s="149"/>
      <c r="K4" s="2"/>
    </row>
    <row r="5" spans="1:11" ht="17.399999999999999">
      <c r="A5" s="2"/>
      <c r="B5" s="144"/>
      <c r="C5" s="150" t="s">
        <v>1223</v>
      </c>
      <c r="D5" s="215" t="s">
        <v>1224</v>
      </c>
      <c r="E5" s="215" t="s">
        <v>1225</v>
      </c>
      <c r="F5" s="215" t="s">
        <v>1226</v>
      </c>
      <c r="G5" s="152"/>
      <c r="H5" s="215" t="s">
        <v>1227</v>
      </c>
      <c r="I5" s="216" t="s">
        <v>1228</v>
      </c>
      <c r="J5" s="149"/>
      <c r="K5" s="2"/>
    </row>
    <row r="6" spans="1:11" ht="17.399999999999999">
      <c r="A6" s="2"/>
      <c r="B6" s="144"/>
      <c r="C6" s="154" t="s">
        <v>222</v>
      </c>
      <c r="D6" s="155"/>
      <c r="E6" s="155"/>
      <c r="F6" s="155"/>
      <c r="G6" s="156"/>
      <c r="H6" s="157"/>
      <c r="I6" s="158"/>
      <c r="J6" s="149"/>
      <c r="K6" s="2"/>
    </row>
    <row r="7" spans="1:11" ht="17.399999999999999">
      <c r="A7" s="2"/>
      <c r="B7" s="144"/>
      <c r="C7" s="59" t="s">
        <v>1229</v>
      </c>
      <c r="D7" s="159" t="s">
        <v>1230</v>
      </c>
      <c r="E7" s="159" t="s">
        <v>824</v>
      </c>
      <c r="F7" s="159" t="s">
        <v>1231</v>
      </c>
      <c r="G7" s="159"/>
      <c r="H7" s="159">
        <f>I39+I60</f>
        <v>3</v>
      </c>
      <c r="I7" s="159">
        <f>J39+J60</f>
        <v>12.600000000000001</v>
      </c>
      <c r="J7" s="160"/>
      <c r="K7" s="2"/>
    </row>
    <row r="8" spans="1:11" ht="17.399999999999999">
      <c r="A8" s="2"/>
      <c r="B8" s="144"/>
      <c r="C8" s="59" t="s">
        <v>1232</v>
      </c>
      <c r="D8" s="159" t="s">
        <v>1230</v>
      </c>
      <c r="E8" s="159" t="s">
        <v>1372</v>
      </c>
      <c r="F8" s="159" t="s">
        <v>1234</v>
      </c>
      <c r="G8" s="159"/>
      <c r="H8" s="159">
        <f>I40+I61+I81+I100+I117+I133+I150+I167+I184</f>
        <v>301</v>
      </c>
      <c r="I8" s="159">
        <f>J40+J61+J81+J100+J117+J133+J150+J167+J184</f>
        <v>505.68000000000006</v>
      </c>
      <c r="J8" s="160"/>
      <c r="K8" s="2"/>
    </row>
    <row r="9" spans="1:11" ht="17.399999999999999">
      <c r="A9" s="2"/>
      <c r="B9" s="144"/>
      <c r="C9" s="59" t="s">
        <v>1232</v>
      </c>
      <c r="D9" s="159" t="s">
        <v>1230</v>
      </c>
      <c r="E9" s="159" t="s">
        <v>1372</v>
      </c>
      <c r="F9" s="159" t="s">
        <v>1235</v>
      </c>
      <c r="G9" s="159"/>
      <c r="H9" s="159">
        <f>I41+I62+I82+I101+I118+I134+I151+I168+I185</f>
        <v>32</v>
      </c>
      <c r="I9" s="159">
        <f>J41+J62+J82+J101+J118+J134+J151+J168+J185</f>
        <v>60.480000000000011</v>
      </c>
      <c r="J9" s="160"/>
      <c r="K9" s="2"/>
    </row>
    <row r="10" spans="1:11" ht="17.399999999999999">
      <c r="A10" s="2"/>
      <c r="B10" s="144"/>
      <c r="C10" s="59" t="s">
        <v>1229</v>
      </c>
      <c r="D10" s="159" t="s">
        <v>1230</v>
      </c>
      <c r="E10" s="159" t="s">
        <v>1372</v>
      </c>
      <c r="F10" s="159" t="s">
        <v>1236</v>
      </c>
      <c r="G10" s="159"/>
      <c r="H10" s="159">
        <f>I83+I102+I119+I135+I152+I169+I186</f>
        <v>59</v>
      </c>
      <c r="I10" s="159">
        <f>J83+J102+J119+J135+J152+J169+J186</f>
        <v>148.68</v>
      </c>
      <c r="J10" s="160"/>
      <c r="K10" s="2"/>
    </row>
    <row r="11" spans="1:11" ht="17.399999999999999">
      <c r="A11" s="2"/>
      <c r="B11" s="144"/>
      <c r="C11" s="59" t="s">
        <v>1229</v>
      </c>
      <c r="D11" s="159" t="s">
        <v>1230</v>
      </c>
      <c r="E11" s="159" t="s">
        <v>1372</v>
      </c>
      <c r="F11" s="159" t="s">
        <v>1237</v>
      </c>
      <c r="G11" s="159"/>
      <c r="H11" s="159">
        <f>I42+I63+I84+I103+I120+I187+I203</f>
        <v>46</v>
      </c>
      <c r="I11" s="159">
        <f>J42+J63+J84+J103+J120+J187+J203</f>
        <v>154.56000000000003</v>
      </c>
      <c r="J11" s="160"/>
      <c r="K11" s="2"/>
    </row>
    <row r="12" spans="1:11" ht="17.399999999999999">
      <c r="A12" s="2"/>
      <c r="B12" s="144"/>
      <c r="C12" s="59" t="s">
        <v>1229</v>
      </c>
      <c r="D12" s="159" t="s">
        <v>1230</v>
      </c>
      <c r="E12" s="159" t="s">
        <v>1372</v>
      </c>
      <c r="F12" s="159" t="s">
        <v>1238</v>
      </c>
      <c r="G12" s="159"/>
      <c r="H12" s="159">
        <f>I64</f>
        <v>2</v>
      </c>
      <c r="I12" s="159">
        <f>J64</f>
        <v>8.82</v>
      </c>
      <c r="J12" s="160"/>
      <c r="K12" s="2"/>
    </row>
    <row r="13" spans="1:11" ht="17.399999999999999">
      <c r="A13" s="2"/>
      <c r="B13" s="144"/>
      <c r="C13" s="59" t="s">
        <v>1229</v>
      </c>
      <c r="D13" s="159" t="s">
        <v>1230</v>
      </c>
      <c r="E13" s="159" t="s">
        <v>1233</v>
      </c>
      <c r="F13" s="159" t="s">
        <v>1239</v>
      </c>
      <c r="G13" s="159"/>
      <c r="H13" s="159">
        <f>I65</f>
        <v>3</v>
      </c>
      <c r="I13" s="159">
        <f>J65</f>
        <v>13.860000000000003</v>
      </c>
      <c r="J13" s="160"/>
      <c r="K13" s="2"/>
    </row>
    <row r="14" spans="1:11" ht="17.399999999999999">
      <c r="A14" s="2"/>
      <c r="B14" s="144"/>
      <c r="C14" s="59" t="s">
        <v>1232</v>
      </c>
      <c r="D14" s="159" t="s">
        <v>1230</v>
      </c>
      <c r="E14" s="159" t="s">
        <v>1240</v>
      </c>
      <c r="F14" s="159" t="s">
        <v>1241</v>
      </c>
      <c r="G14" s="159"/>
      <c r="H14" s="159">
        <f>I43+I66+I85+I104+I121+I136+I153+I170+I188</f>
        <v>86</v>
      </c>
      <c r="I14" s="159"/>
      <c r="J14" s="160"/>
      <c r="K14" s="2"/>
    </row>
    <row r="15" spans="1:11" ht="17.399999999999999">
      <c r="A15" s="2"/>
      <c r="B15" s="144"/>
      <c r="C15" s="59" t="s">
        <v>1232</v>
      </c>
      <c r="D15" s="159" t="s">
        <v>1230</v>
      </c>
      <c r="E15" s="161" t="s">
        <v>1242</v>
      </c>
      <c r="F15" s="159" t="s">
        <v>1241</v>
      </c>
      <c r="G15" s="159"/>
      <c r="H15" s="159">
        <f>I44</f>
        <v>3</v>
      </c>
      <c r="I15" s="159"/>
      <c r="J15" s="160"/>
      <c r="K15" s="2"/>
    </row>
    <row r="16" spans="1:11" ht="17.399999999999999">
      <c r="A16" s="2"/>
      <c r="B16" s="144"/>
      <c r="C16" s="59" t="s">
        <v>230</v>
      </c>
      <c r="D16" s="159"/>
      <c r="E16" s="159"/>
      <c r="F16" s="159"/>
      <c r="G16" s="159"/>
      <c r="H16" s="159"/>
      <c r="I16" s="159"/>
      <c r="J16" s="160"/>
      <c r="K16" s="2"/>
    </row>
    <row r="17" spans="1:11" ht="17.399999999999999">
      <c r="A17" s="2"/>
      <c r="B17" s="144"/>
      <c r="C17" s="59" t="s">
        <v>1232</v>
      </c>
      <c r="D17" s="159" t="s">
        <v>1243</v>
      </c>
      <c r="E17" s="159" t="s">
        <v>1244</v>
      </c>
      <c r="F17" s="159" t="s">
        <v>1245</v>
      </c>
      <c r="G17" s="159"/>
      <c r="H17" s="159">
        <f>I46+I68+I87+I138+I155+I172+I190</f>
        <v>80</v>
      </c>
      <c r="I17" s="159"/>
      <c r="J17" s="160"/>
      <c r="K17" s="2"/>
    </row>
    <row r="18" spans="1:11" ht="17.399999999999999">
      <c r="A18" s="2"/>
      <c r="B18" s="144"/>
      <c r="C18" s="59" t="s">
        <v>1232</v>
      </c>
      <c r="D18" s="159" t="s">
        <v>1230</v>
      </c>
      <c r="E18" s="159" t="s">
        <v>1233</v>
      </c>
      <c r="F18" s="159" t="s">
        <v>1245</v>
      </c>
      <c r="G18" s="159"/>
      <c r="H18" s="159">
        <f>I47</f>
        <v>4</v>
      </c>
      <c r="I18" s="159"/>
      <c r="J18" s="160"/>
      <c r="K18" s="2"/>
    </row>
    <row r="19" spans="1:11" ht="17.399999999999999">
      <c r="A19" s="2"/>
      <c r="B19" s="144"/>
      <c r="C19" s="59" t="s">
        <v>1232</v>
      </c>
      <c r="D19" s="159" t="s">
        <v>1230</v>
      </c>
      <c r="E19" s="159" t="s">
        <v>1233</v>
      </c>
      <c r="F19" s="159" t="s">
        <v>1246</v>
      </c>
      <c r="G19" s="159"/>
      <c r="H19" s="159">
        <f>I48</f>
        <v>2</v>
      </c>
      <c r="I19" s="159"/>
      <c r="J19" s="160"/>
      <c r="K19" s="2"/>
    </row>
    <row r="20" spans="1:11" ht="17.399999999999999">
      <c r="A20" s="2"/>
      <c r="B20" s="144"/>
      <c r="C20" s="59" t="s">
        <v>1232</v>
      </c>
      <c r="D20" s="159" t="s">
        <v>1230</v>
      </c>
      <c r="E20" s="159" t="s">
        <v>1233</v>
      </c>
      <c r="F20" s="159" t="s">
        <v>1247</v>
      </c>
      <c r="G20" s="159"/>
      <c r="H20" s="159">
        <f>I69</f>
        <v>10</v>
      </c>
      <c r="I20" s="159"/>
      <c r="J20" s="160"/>
      <c r="K20" s="2"/>
    </row>
    <row r="21" spans="1:11" ht="17.399999999999999">
      <c r="A21" s="2"/>
      <c r="B21" s="144"/>
      <c r="C21" s="154" t="s">
        <v>223</v>
      </c>
      <c r="D21" s="155"/>
      <c r="E21" s="155"/>
      <c r="F21" s="155" t="s">
        <v>0</v>
      </c>
      <c r="G21" s="156"/>
      <c r="H21" s="157"/>
      <c r="I21" s="158"/>
      <c r="J21" s="160"/>
      <c r="K21" s="2"/>
    </row>
    <row r="22" spans="1:11" ht="17.399999999999999">
      <c r="A22" s="2"/>
      <c r="B22" s="144"/>
      <c r="C22" s="59" t="s">
        <v>1248</v>
      </c>
      <c r="D22" s="159" t="s">
        <v>1233</v>
      </c>
      <c r="E22" s="159" t="s">
        <v>1249</v>
      </c>
      <c r="F22" s="159" t="s">
        <v>1250</v>
      </c>
      <c r="G22" s="159"/>
      <c r="H22" s="159"/>
      <c r="I22" s="159">
        <f>J50+J71+J89+J106+J123+J140+J157+J174+J192+J205</f>
        <v>1765.9255999999996</v>
      </c>
      <c r="J22" s="160"/>
      <c r="K22" s="2"/>
    </row>
    <row r="23" spans="1:11" ht="17.399999999999999">
      <c r="A23" s="2"/>
      <c r="B23" s="144"/>
      <c r="C23" s="59" t="s">
        <v>1251</v>
      </c>
      <c r="D23" s="159" t="s">
        <v>1252</v>
      </c>
      <c r="E23" s="159" t="s">
        <v>1253</v>
      </c>
      <c r="F23" s="159" t="s">
        <v>1250</v>
      </c>
      <c r="G23" s="159"/>
      <c r="H23" s="159">
        <f>I51+I72+I90+I107+I124+I141+I158+I175+I193</f>
        <v>36</v>
      </c>
      <c r="I23" s="159">
        <f>J51+J72+J90+J107+J124+J141+J158+J175+J193</f>
        <v>14.399999999999999</v>
      </c>
      <c r="J23" s="160"/>
      <c r="K23" s="2"/>
    </row>
    <row r="24" spans="1:11" ht="17.399999999999999">
      <c r="A24" s="2"/>
      <c r="B24" s="144"/>
      <c r="C24" s="154" t="s">
        <v>264</v>
      </c>
      <c r="D24" s="155"/>
      <c r="E24" s="155"/>
      <c r="F24" s="155"/>
      <c r="G24" s="156"/>
      <c r="H24" s="157"/>
      <c r="I24" s="158"/>
      <c r="J24" s="160"/>
      <c r="K24" s="2"/>
    </row>
    <row r="25" spans="1:11" ht="17.399999999999999">
      <c r="A25" s="2"/>
      <c r="B25" s="144"/>
      <c r="C25" s="59" t="s">
        <v>269</v>
      </c>
      <c r="D25" s="159" t="s">
        <v>1252</v>
      </c>
      <c r="E25" s="159" t="s">
        <v>824</v>
      </c>
      <c r="F25" s="159" t="s">
        <v>1250</v>
      </c>
      <c r="G25" s="159"/>
      <c r="H25" s="159" t="s">
        <v>0</v>
      </c>
      <c r="I25" s="159">
        <f>J53+J92+J109+J195</f>
        <v>19.492000000000001</v>
      </c>
      <c r="J25" s="160"/>
      <c r="K25" s="2"/>
    </row>
    <row r="26" spans="1:11" ht="17.399999999999999">
      <c r="A26" s="2"/>
      <c r="B26" s="144"/>
      <c r="C26" s="59" t="s">
        <v>1254</v>
      </c>
      <c r="D26" s="159" t="s">
        <v>1252</v>
      </c>
      <c r="E26" s="159" t="s">
        <v>824</v>
      </c>
      <c r="F26" s="159" t="s">
        <v>1250</v>
      </c>
      <c r="G26" s="159"/>
      <c r="H26" s="159" t="s">
        <v>0</v>
      </c>
      <c r="I26" s="159">
        <f>J54</f>
        <v>26.154000000000003</v>
      </c>
      <c r="J26" s="160"/>
      <c r="K26" s="2"/>
    </row>
    <row r="27" spans="1:11" ht="17.399999999999999">
      <c r="A27" s="2"/>
      <c r="B27" s="144"/>
      <c r="C27" s="59" t="s">
        <v>1255</v>
      </c>
      <c r="D27" s="159" t="s">
        <v>1252</v>
      </c>
      <c r="E27" s="159" t="s">
        <v>824</v>
      </c>
      <c r="F27" s="159" t="s">
        <v>1250</v>
      </c>
      <c r="G27" s="159"/>
      <c r="H27" s="159">
        <f>I55+I74+I93+I110+I126+I143+I160+I177+I196</f>
        <v>104</v>
      </c>
      <c r="I27" s="159">
        <f>J55+J74+J93+J110+J126+J143+J160+J177+J196</f>
        <v>4.16</v>
      </c>
      <c r="J27" s="160"/>
      <c r="K27" s="2"/>
    </row>
    <row r="28" spans="1:11" ht="17.399999999999999">
      <c r="A28" s="2"/>
      <c r="B28" s="144"/>
      <c r="C28" s="154" t="s">
        <v>1256</v>
      </c>
      <c r="D28" s="155"/>
      <c r="E28" s="155"/>
      <c r="F28" s="155" t="s">
        <v>0</v>
      </c>
      <c r="G28" s="156"/>
      <c r="H28" s="157"/>
      <c r="I28" s="158"/>
      <c r="J28" s="160"/>
      <c r="K28" s="2"/>
    </row>
    <row r="29" spans="1:11" ht="17.399999999999999">
      <c r="A29" s="2"/>
      <c r="B29" s="144"/>
      <c r="C29" s="59" t="s">
        <v>1257</v>
      </c>
      <c r="D29" s="159" t="s">
        <v>1252</v>
      </c>
      <c r="E29" s="159" t="s">
        <v>1253</v>
      </c>
      <c r="F29" s="159" t="s">
        <v>1250</v>
      </c>
      <c r="G29" s="19"/>
      <c r="H29" s="69"/>
      <c r="I29" s="162">
        <f>J76+J95+J112+J128+J145+J162+J179+J198</f>
        <v>427.84000000000003</v>
      </c>
      <c r="J29" s="160"/>
      <c r="K29" s="2"/>
    </row>
    <row r="30" spans="1:11" ht="17.399999999999999">
      <c r="A30" s="2"/>
      <c r="B30" s="144"/>
      <c r="C30" s="48"/>
      <c r="D30" s="44"/>
      <c r="E30" s="145"/>
      <c r="F30" s="145"/>
      <c r="G30" s="145"/>
      <c r="H30" s="148"/>
      <c r="I30" s="163"/>
      <c r="J30" s="160"/>
      <c r="K30" s="2"/>
    </row>
    <row r="31" spans="1:11" ht="16.2" thickBot="1">
      <c r="A31" s="2"/>
      <c r="B31" s="55"/>
      <c r="C31" s="56"/>
      <c r="D31" s="56"/>
      <c r="E31" s="56"/>
      <c r="F31" s="56"/>
      <c r="G31" s="56"/>
      <c r="H31" s="164"/>
      <c r="I31" s="164"/>
      <c r="J31" s="165"/>
      <c r="K31" s="2"/>
    </row>
    <row r="32" spans="1:11">
      <c r="A32" s="2"/>
      <c r="B32" s="35"/>
      <c r="C32" s="36"/>
      <c r="D32" s="36"/>
      <c r="E32" s="36"/>
      <c r="F32" s="36"/>
      <c r="G32" s="36"/>
      <c r="H32" s="166"/>
      <c r="I32" s="166"/>
      <c r="J32" s="166"/>
      <c r="K32" s="2"/>
    </row>
    <row r="33" spans="1:11">
      <c r="A33" s="2"/>
      <c r="B33" s="35"/>
      <c r="C33" s="36"/>
      <c r="D33" s="36"/>
      <c r="E33" s="36"/>
      <c r="F33" s="36"/>
      <c r="G33" s="36"/>
      <c r="H33" s="166"/>
      <c r="I33" s="166"/>
      <c r="J33" s="166"/>
      <c r="K33" s="2"/>
    </row>
    <row r="34" spans="1:11">
      <c r="A34" s="2"/>
      <c r="B34" s="1018" t="s">
        <v>175</v>
      </c>
      <c r="C34" s="1018"/>
      <c r="D34" s="1018"/>
      <c r="E34" s="1018"/>
      <c r="F34" s="1018"/>
      <c r="G34" s="1018"/>
      <c r="H34" s="1018"/>
      <c r="I34" s="1018"/>
      <c r="J34" s="1018"/>
      <c r="K34" s="2"/>
    </row>
    <row r="35" spans="1:11">
      <c r="A35" s="2"/>
      <c r="K35" s="2"/>
    </row>
    <row r="36" spans="1:11">
      <c r="A36" s="2"/>
      <c r="B36" s="14" t="s">
        <v>86</v>
      </c>
      <c r="C36" s="1005" t="s">
        <v>103</v>
      </c>
      <c r="D36" s="1005"/>
      <c r="E36" s="1005"/>
      <c r="F36" s="1005"/>
      <c r="G36" s="1005"/>
      <c r="H36" s="1005"/>
      <c r="I36" s="1005"/>
      <c r="J36" s="15"/>
      <c r="K36" s="2"/>
    </row>
    <row r="37" spans="1:11">
      <c r="A37" s="2"/>
      <c r="B37" s="60"/>
      <c r="C37" s="150" t="s">
        <v>1223</v>
      </c>
      <c r="D37" s="215" t="s">
        <v>1224</v>
      </c>
      <c r="E37" s="215" t="s">
        <v>1225</v>
      </c>
      <c r="F37" s="215" t="s">
        <v>1226</v>
      </c>
      <c r="G37" s="152"/>
      <c r="H37" s="153"/>
      <c r="I37" s="151" t="s">
        <v>1227</v>
      </c>
      <c r="J37" s="153" t="s">
        <v>1228</v>
      </c>
      <c r="K37" s="2"/>
    </row>
    <row r="38" spans="1:11">
      <c r="A38" s="2"/>
      <c r="B38" s="168"/>
      <c r="C38" s="154" t="s">
        <v>222</v>
      </c>
      <c r="D38" s="155"/>
      <c r="E38" s="155"/>
      <c r="F38" s="155"/>
      <c r="G38" s="156"/>
      <c r="H38" s="157"/>
      <c r="I38" s="158"/>
      <c r="J38" s="169" t="s">
        <v>0</v>
      </c>
      <c r="K38" s="2"/>
    </row>
    <row r="39" spans="1:11">
      <c r="A39" s="2"/>
      <c r="B39" s="60" t="s">
        <v>0</v>
      </c>
      <c r="C39" s="59" t="s">
        <v>1229</v>
      </c>
      <c r="D39" s="159" t="s">
        <v>1230</v>
      </c>
      <c r="E39" s="159" t="s">
        <v>824</v>
      </c>
      <c r="F39" s="159" t="s">
        <v>1231</v>
      </c>
      <c r="G39" s="19" t="s">
        <v>0</v>
      </c>
      <c r="H39" s="69" t="s">
        <v>0</v>
      </c>
      <c r="I39" s="151">
        <f t="shared" ref="I39:J41" si="0">I216</f>
        <v>2</v>
      </c>
      <c r="J39" s="153">
        <f t="shared" si="0"/>
        <v>8.4</v>
      </c>
      <c r="K39" s="2"/>
    </row>
    <row r="40" spans="1:11">
      <c r="A40" s="2"/>
      <c r="B40" s="60" t="s">
        <v>0</v>
      </c>
      <c r="C40" s="59" t="s">
        <v>1232</v>
      </c>
      <c r="D40" s="159" t="s">
        <v>1230</v>
      </c>
      <c r="E40" s="159" t="s">
        <v>1233</v>
      </c>
      <c r="F40" s="159" t="s">
        <v>1234</v>
      </c>
      <c r="G40" s="19" t="s">
        <v>0</v>
      </c>
      <c r="H40" s="69" t="s">
        <v>0</v>
      </c>
      <c r="I40" s="151">
        <f t="shared" si="0"/>
        <v>35</v>
      </c>
      <c r="J40" s="151">
        <f t="shared" si="0"/>
        <v>58.800000000000004</v>
      </c>
      <c r="K40" s="2"/>
    </row>
    <row r="41" spans="1:11">
      <c r="A41" s="2"/>
      <c r="B41" s="60" t="s">
        <v>0</v>
      </c>
      <c r="C41" s="59" t="s">
        <v>1232</v>
      </c>
      <c r="D41" s="159" t="s">
        <v>1230</v>
      </c>
      <c r="E41" s="159" t="s">
        <v>1233</v>
      </c>
      <c r="F41" s="159" t="s">
        <v>1235</v>
      </c>
      <c r="G41" s="19" t="s">
        <v>0</v>
      </c>
      <c r="H41" s="69" t="s">
        <v>0</v>
      </c>
      <c r="I41" s="151">
        <f t="shared" si="0"/>
        <v>6</v>
      </c>
      <c r="J41" s="151">
        <f t="shared" si="0"/>
        <v>11.34</v>
      </c>
      <c r="K41" s="2"/>
    </row>
    <row r="42" spans="1:11">
      <c r="A42" s="2"/>
      <c r="B42" s="60" t="s">
        <v>0</v>
      </c>
      <c r="C42" s="59" t="s">
        <v>1229</v>
      </c>
      <c r="D42" s="159" t="s">
        <v>1230</v>
      </c>
      <c r="E42" s="159" t="s">
        <v>1233</v>
      </c>
      <c r="F42" s="159" t="s">
        <v>1237</v>
      </c>
      <c r="G42" s="19" t="s">
        <v>0</v>
      </c>
      <c r="H42" s="69" t="s">
        <v>0</v>
      </c>
      <c r="I42" s="151">
        <f>SUM(I219:I220)</f>
        <v>16</v>
      </c>
      <c r="J42" s="151">
        <f>SUM(J219:J220)</f>
        <v>53.760000000000005</v>
      </c>
      <c r="K42" s="2"/>
    </row>
    <row r="43" spans="1:11">
      <c r="A43" s="2"/>
      <c r="B43" s="60" t="s">
        <v>0</v>
      </c>
      <c r="C43" s="59" t="s">
        <v>1232</v>
      </c>
      <c r="D43" s="159" t="s">
        <v>1230</v>
      </c>
      <c r="E43" s="159" t="s">
        <v>1240</v>
      </c>
      <c r="F43" s="159" t="s">
        <v>1241</v>
      </c>
      <c r="G43" s="19" t="s">
        <v>0</v>
      </c>
      <c r="H43" s="69" t="s">
        <v>0</v>
      </c>
      <c r="I43" s="151">
        <f>I221</f>
        <v>8</v>
      </c>
      <c r="J43" s="153">
        <f>J221</f>
        <v>16.8</v>
      </c>
      <c r="K43" s="2"/>
    </row>
    <row r="44" spans="1:11">
      <c r="A44" s="2"/>
      <c r="B44" s="60" t="s">
        <v>0</v>
      </c>
      <c r="C44" s="59" t="s">
        <v>1232</v>
      </c>
      <c r="D44" s="159" t="s">
        <v>1230</v>
      </c>
      <c r="E44" s="161" t="s">
        <v>1242</v>
      </c>
      <c r="F44" s="159" t="s">
        <v>1241</v>
      </c>
      <c r="G44" s="19" t="s">
        <v>0</v>
      </c>
      <c r="H44" s="69" t="s">
        <v>0</v>
      </c>
      <c r="I44" s="151">
        <f>I222</f>
        <v>3</v>
      </c>
      <c r="J44" s="153">
        <f>J222</f>
        <v>6.3000000000000007</v>
      </c>
      <c r="K44" s="2"/>
    </row>
    <row r="45" spans="1:11">
      <c r="A45" s="2"/>
      <c r="B45" s="60"/>
      <c r="C45" s="59" t="s">
        <v>230</v>
      </c>
      <c r="D45" s="159"/>
      <c r="E45" s="159"/>
      <c r="F45" s="159"/>
      <c r="G45" s="19"/>
      <c r="H45" s="69"/>
      <c r="I45" s="162"/>
      <c r="J45" s="153"/>
      <c r="K45" s="2"/>
    </row>
    <row r="46" spans="1:11">
      <c r="A46" s="2"/>
      <c r="B46" s="60" t="s">
        <v>0</v>
      </c>
      <c r="C46" s="59" t="s">
        <v>1232</v>
      </c>
      <c r="D46" s="159" t="s">
        <v>1243</v>
      </c>
      <c r="E46" s="159" t="s">
        <v>1244</v>
      </c>
      <c r="F46" s="159" t="s">
        <v>1245</v>
      </c>
      <c r="G46" s="19" t="s">
        <v>0</v>
      </c>
      <c r="H46" s="69" t="s">
        <v>0</v>
      </c>
      <c r="I46" s="151">
        <f t="shared" ref="I46:J48" si="1">I224</f>
        <v>22</v>
      </c>
      <c r="J46" s="151">
        <f t="shared" si="1"/>
        <v>23.76</v>
      </c>
      <c r="K46" s="2"/>
    </row>
    <row r="47" spans="1:11">
      <c r="A47" s="2"/>
      <c r="B47" s="60" t="s">
        <v>0</v>
      </c>
      <c r="C47" s="59" t="s">
        <v>1232</v>
      </c>
      <c r="D47" s="159" t="s">
        <v>1230</v>
      </c>
      <c r="E47" s="159" t="s">
        <v>1233</v>
      </c>
      <c r="F47" s="159" t="s">
        <v>1245</v>
      </c>
      <c r="G47" s="19" t="s">
        <v>0</v>
      </c>
      <c r="H47" s="69" t="s">
        <v>0</v>
      </c>
      <c r="I47" s="151">
        <f t="shared" si="1"/>
        <v>4</v>
      </c>
      <c r="J47" s="151">
        <f t="shared" si="1"/>
        <v>4.32</v>
      </c>
      <c r="K47" s="2"/>
    </row>
    <row r="48" spans="1:11">
      <c r="A48" s="2"/>
      <c r="B48" s="60" t="s">
        <v>0</v>
      </c>
      <c r="C48" s="59" t="s">
        <v>1232</v>
      </c>
      <c r="D48" s="159" t="s">
        <v>1230</v>
      </c>
      <c r="E48" s="159" t="s">
        <v>1233</v>
      </c>
      <c r="F48" s="159" t="s">
        <v>1246</v>
      </c>
      <c r="G48" s="19" t="s">
        <v>0</v>
      </c>
      <c r="H48" s="69" t="s">
        <v>0</v>
      </c>
      <c r="I48" s="151">
        <f t="shared" si="1"/>
        <v>2</v>
      </c>
      <c r="J48" s="151">
        <f t="shared" si="1"/>
        <v>3.24</v>
      </c>
      <c r="K48" s="2"/>
    </row>
    <row r="49" spans="1:11">
      <c r="A49" s="2"/>
      <c r="B49" s="168"/>
      <c r="C49" s="154" t="s">
        <v>223</v>
      </c>
      <c r="D49" s="155"/>
      <c r="E49" s="155"/>
      <c r="F49" s="155" t="s">
        <v>0</v>
      </c>
      <c r="G49" s="156"/>
      <c r="H49" s="157"/>
      <c r="I49" s="158"/>
      <c r="J49" s="169"/>
      <c r="K49" s="2"/>
    </row>
    <row r="50" spans="1:11">
      <c r="A50" s="2"/>
      <c r="B50" s="60" t="s">
        <v>0</v>
      </c>
      <c r="C50" s="59" t="s">
        <v>1248</v>
      </c>
      <c r="D50" s="159" t="s">
        <v>1233</v>
      </c>
      <c r="E50" s="159" t="s">
        <v>1249</v>
      </c>
      <c r="F50" s="159" t="s">
        <v>1250</v>
      </c>
      <c r="G50" s="19" t="s">
        <v>0</v>
      </c>
      <c r="H50" s="69" t="s">
        <v>0</v>
      </c>
      <c r="I50" s="162" t="s">
        <v>0</v>
      </c>
      <c r="J50" s="153">
        <f>SUM($J$228:$J$255)</f>
        <v>144.55000000000001</v>
      </c>
      <c r="K50" s="2"/>
    </row>
    <row r="51" spans="1:11">
      <c r="A51" s="2"/>
      <c r="B51" s="170"/>
      <c r="C51" s="59" t="s">
        <v>1251</v>
      </c>
      <c r="D51" s="159" t="s">
        <v>1252</v>
      </c>
      <c r="E51" s="159" t="s">
        <v>1253</v>
      </c>
      <c r="F51" s="159" t="s">
        <v>1250</v>
      </c>
      <c r="G51" s="19"/>
      <c r="H51" s="69"/>
      <c r="I51" s="151">
        <v>4</v>
      </c>
      <c r="J51" s="153">
        <f>I51*0.4</f>
        <v>1.6</v>
      </c>
      <c r="K51" s="2"/>
    </row>
    <row r="52" spans="1:11">
      <c r="A52" s="2"/>
      <c r="B52" s="168"/>
      <c r="C52" s="154" t="s">
        <v>264</v>
      </c>
      <c r="D52" s="155"/>
      <c r="E52" s="155"/>
      <c r="F52" s="155"/>
      <c r="G52" s="156"/>
      <c r="H52" s="157"/>
      <c r="I52" s="158"/>
      <c r="J52" s="169" t="s">
        <v>0</v>
      </c>
      <c r="K52" s="2"/>
    </row>
    <row r="53" spans="1:11">
      <c r="A53" s="2"/>
      <c r="B53" s="60" t="s">
        <v>0</v>
      </c>
      <c r="C53" s="59" t="s">
        <v>269</v>
      </c>
      <c r="D53" s="159" t="s">
        <v>1252</v>
      </c>
      <c r="E53" s="159" t="s">
        <v>824</v>
      </c>
      <c r="F53" s="159" t="s">
        <v>1250</v>
      </c>
      <c r="G53" s="19" t="s">
        <v>0</v>
      </c>
      <c r="H53" s="69" t="s">
        <v>0</v>
      </c>
      <c r="I53" s="162" t="s">
        <v>0</v>
      </c>
      <c r="J53" s="153">
        <f>SUM($J$257:$J$261)</f>
        <v>11.792000000000002</v>
      </c>
      <c r="K53" s="2"/>
    </row>
    <row r="54" spans="1:11">
      <c r="A54" s="2"/>
      <c r="B54" s="60" t="s">
        <v>0</v>
      </c>
      <c r="C54" s="59" t="s">
        <v>1254</v>
      </c>
      <c r="D54" s="159" t="s">
        <v>1252</v>
      </c>
      <c r="E54" s="159" t="s">
        <v>824</v>
      </c>
      <c r="F54" s="159" t="s">
        <v>1250</v>
      </c>
      <c r="G54" s="19" t="s">
        <v>0</v>
      </c>
      <c r="H54" s="69" t="s">
        <v>0</v>
      </c>
      <c r="I54" s="162" t="s">
        <v>0</v>
      </c>
      <c r="J54" s="153">
        <f>SUM($J$262:$J$266)</f>
        <v>26.154000000000003</v>
      </c>
      <c r="K54" s="2"/>
    </row>
    <row r="55" spans="1:11">
      <c r="A55" s="2"/>
      <c r="B55" s="170"/>
      <c r="C55" s="59" t="s">
        <v>1255</v>
      </c>
      <c r="D55" s="159" t="s">
        <v>1252</v>
      </c>
      <c r="E55" s="159" t="s">
        <v>824</v>
      </c>
      <c r="F55" s="159" t="s">
        <v>1250</v>
      </c>
      <c r="G55" s="19" t="s">
        <v>0</v>
      </c>
      <c r="H55" s="69" t="s">
        <v>0</v>
      </c>
      <c r="I55" s="151">
        <v>8</v>
      </c>
      <c r="J55" s="153">
        <f>I55*0.2*0.2</f>
        <v>0.32000000000000006</v>
      </c>
      <c r="K55" s="2"/>
    </row>
    <row r="56" spans="1:11">
      <c r="A56" s="2"/>
      <c r="B56" s="171"/>
      <c r="C56" s="172"/>
      <c r="D56" s="173"/>
      <c r="E56" s="173"/>
      <c r="F56" s="173"/>
      <c r="G56" s="13"/>
      <c r="H56" s="174"/>
      <c r="I56" s="175"/>
      <c r="J56" s="176"/>
      <c r="K56" s="2"/>
    </row>
    <row r="57" spans="1:11">
      <c r="A57" s="2"/>
      <c r="B57" s="14" t="s">
        <v>129</v>
      </c>
      <c r="C57" s="1005" t="s">
        <v>130</v>
      </c>
      <c r="D57" s="1005"/>
      <c r="E57" s="1005"/>
      <c r="F57" s="1005"/>
      <c r="G57" s="1005"/>
      <c r="H57" s="1005"/>
      <c r="I57" s="1005"/>
      <c r="J57" s="15"/>
      <c r="K57" s="2"/>
    </row>
    <row r="58" spans="1:11">
      <c r="A58" s="2"/>
      <c r="B58" s="60"/>
      <c r="C58" s="150" t="s">
        <v>1223</v>
      </c>
      <c r="D58" s="151" t="s">
        <v>1224</v>
      </c>
      <c r="E58" s="151" t="s">
        <v>1225</v>
      </c>
      <c r="F58" s="151" t="s">
        <v>1226</v>
      </c>
      <c r="G58" s="152"/>
      <c r="H58" s="153"/>
      <c r="I58" s="151" t="s">
        <v>1227</v>
      </c>
      <c r="J58" s="153" t="s">
        <v>1228</v>
      </c>
      <c r="K58" s="2"/>
    </row>
    <row r="59" spans="1:11">
      <c r="A59" s="2"/>
      <c r="B59" s="168"/>
      <c r="C59" s="154" t="s">
        <v>222</v>
      </c>
      <c r="D59" s="155"/>
      <c r="E59" s="155"/>
      <c r="F59" s="155"/>
      <c r="G59" s="156"/>
      <c r="H59" s="157"/>
      <c r="I59" s="158"/>
      <c r="J59" s="169" t="s">
        <v>0</v>
      </c>
      <c r="K59" s="2"/>
    </row>
    <row r="60" spans="1:11">
      <c r="A60" s="2"/>
      <c r="B60" s="60" t="s">
        <v>0</v>
      </c>
      <c r="C60" s="59" t="s">
        <v>1229</v>
      </c>
      <c r="D60" s="159" t="s">
        <v>1230</v>
      </c>
      <c r="E60" s="159" t="s">
        <v>824</v>
      </c>
      <c r="F60" s="159" t="s">
        <v>1231</v>
      </c>
      <c r="G60" s="19" t="s">
        <v>0</v>
      </c>
      <c r="H60" s="69" t="s">
        <v>0</v>
      </c>
      <c r="I60" s="151">
        <f t="shared" ref="I60:J62" si="2">I285</f>
        <v>1</v>
      </c>
      <c r="J60" s="151">
        <f t="shared" si="2"/>
        <v>4.2</v>
      </c>
      <c r="K60" s="2"/>
    </row>
    <row r="61" spans="1:11">
      <c r="A61" s="2"/>
      <c r="B61" s="60" t="s">
        <v>0</v>
      </c>
      <c r="C61" s="59" t="s">
        <v>1232</v>
      </c>
      <c r="D61" s="159" t="s">
        <v>1230</v>
      </c>
      <c r="E61" s="159" t="s">
        <v>1233</v>
      </c>
      <c r="F61" s="159" t="s">
        <v>1234</v>
      </c>
      <c r="G61" s="19" t="s">
        <v>0</v>
      </c>
      <c r="H61" s="69" t="s">
        <v>0</v>
      </c>
      <c r="I61" s="151">
        <f t="shared" si="2"/>
        <v>39</v>
      </c>
      <c r="J61" s="151">
        <f t="shared" si="2"/>
        <v>65.52000000000001</v>
      </c>
      <c r="K61" s="2"/>
    </row>
    <row r="62" spans="1:11">
      <c r="A62" s="2"/>
      <c r="B62" s="60" t="s">
        <v>0</v>
      </c>
      <c r="C62" s="59" t="s">
        <v>1232</v>
      </c>
      <c r="D62" s="159" t="s">
        <v>1230</v>
      </c>
      <c r="E62" s="159" t="s">
        <v>1233</v>
      </c>
      <c r="F62" s="159" t="s">
        <v>1235</v>
      </c>
      <c r="G62" s="19" t="s">
        <v>0</v>
      </c>
      <c r="H62" s="69" t="s">
        <v>0</v>
      </c>
      <c r="I62" s="151">
        <f t="shared" si="2"/>
        <v>2</v>
      </c>
      <c r="J62" s="151">
        <f t="shared" si="2"/>
        <v>3.7800000000000002</v>
      </c>
      <c r="K62" s="2"/>
    </row>
    <row r="63" spans="1:11">
      <c r="A63" s="2"/>
      <c r="B63" s="60" t="s">
        <v>0</v>
      </c>
      <c r="C63" s="59" t="s">
        <v>1229</v>
      </c>
      <c r="D63" s="159" t="s">
        <v>1230</v>
      </c>
      <c r="E63" s="159" t="s">
        <v>1233</v>
      </c>
      <c r="F63" s="159" t="s">
        <v>1237</v>
      </c>
      <c r="G63" s="19" t="s">
        <v>0</v>
      </c>
      <c r="H63" s="69" t="s">
        <v>0</v>
      </c>
      <c r="I63" s="151">
        <f>SUM(I288:I289)</f>
        <v>3</v>
      </c>
      <c r="J63" s="151">
        <f>SUM(J288:J289)</f>
        <v>10.080000000000002</v>
      </c>
      <c r="K63" s="2"/>
    </row>
    <row r="64" spans="1:11">
      <c r="A64" s="2"/>
      <c r="B64" s="60" t="s">
        <v>0</v>
      </c>
      <c r="C64" s="59" t="s">
        <v>1229</v>
      </c>
      <c r="D64" s="159" t="s">
        <v>1230</v>
      </c>
      <c r="E64" s="159" t="s">
        <v>1233</v>
      </c>
      <c r="F64" s="159" t="s">
        <v>1238</v>
      </c>
      <c r="G64" s="19" t="s">
        <v>0</v>
      </c>
      <c r="H64" s="69" t="s">
        <v>0</v>
      </c>
      <c r="I64" s="151">
        <f>I291</f>
        <v>2</v>
      </c>
      <c r="J64" s="151">
        <f>J291</f>
        <v>8.82</v>
      </c>
      <c r="K64" s="2"/>
    </row>
    <row r="65" spans="1:11">
      <c r="A65" s="2"/>
      <c r="B65" s="60" t="s">
        <v>0</v>
      </c>
      <c r="C65" s="59" t="s">
        <v>1229</v>
      </c>
      <c r="D65" s="159" t="s">
        <v>1230</v>
      </c>
      <c r="E65" s="159" t="s">
        <v>1233</v>
      </c>
      <c r="F65" s="159" t="s">
        <v>1239</v>
      </c>
      <c r="G65" s="19" t="s">
        <v>0</v>
      </c>
      <c r="H65" s="69" t="s">
        <v>0</v>
      </c>
      <c r="I65" s="151">
        <f>I290</f>
        <v>3</v>
      </c>
      <c r="J65" s="153">
        <f>J290</f>
        <v>13.860000000000003</v>
      </c>
      <c r="K65" s="2"/>
    </row>
    <row r="66" spans="1:11">
      <c r="A66" s="2"/>
      <c r="B66" s="60" t="s">
        <v>0</v>
      </c>
      <c r="C66" s="59" t="s">
        <v>1232</v>
      </c>
      <c r="D66" s="159" t="s">
        <v>1230</v>
      </c>
      <c r="E66" s="159" t="s">
        <v>1240</v>
      </c>
      <c r="F66" s="159" t="s">
        <v>1241</v>
      </c>
      <c r="G66" s="19" t="s">
        <v>0</v>
      </c>
      <c r="H66" s="69" t="s">
        <v>0</v>
      </c>
      <c r="I66" s="151">
        <f>I292</f>
        <v>15</v>
      </c>
      <c r="J66" s="153">
        <f>J292</f>
        <v>31.5</v>
      </c>
      <c r="K66" s="2"/>
    </row>
    <row r="67" spans="1:11">
      <c r="A67" s="2"/>
      <c r="B67" s="60"/>
      <c r="C67" s="59" t="s">
        <v>230</v>
      </c>
      <c r="D67" s="159"/>
      <c r="E67" s="159"/>
      <c r="F67" s="159"/>
      <c r="G67" s="19"/>
      <c r="H67" s="69"/>
      <c r="I67" s="162"/>
      <c r="J67" s="153"/>
      <c r="K67" s="2"/>
    </row>
    <row r="68" spans="1:11">
      <c r="A68" s="2"/>
      <c r="B68" s="67" t="s">
        <v>0</v>
      </c>
      <c r="C68" s="59" t="s">
        <v>1232</v>
      </c>
      <c r="D68" s="159" t="s">
        <v>1243</v>
      </c>
      <c r="E68" s="159" t="s">
        <v>1244</v>
      </c>
      <c r="F68" s="159" t="s">
        <v>1245</v>
      </c>
      <c r="G68" s="19" t="s">
        <v>0</v>
      </c>
      <c r="H68" s="69" t="s">
        <v>0</v>
      </c>
      <c r="I68" s="151">
        <f>I294</f>
        <v>10</v>
      </c>
      <c r="J68" s="151">
        <f>J294</f>
        <v>10.8</v>
      </c>
      <c r="K68" s="2"/>
    </row>
    <row r="69" spans="1:11">
      <c r="A69" s="2"/>
      <c r="B69" s="67" t="s">
        <v>0</v>
      </c>
      <c r="C69" s="59" t="s">
        <v>1232</v>
      </c>
      <c r="D69" s="159" t="s">
        <v>1230</v>
      </c>
      <c r="E69" s="159" t="s">
        <v>1233</v>
      </c>
      <c r="F69" s="159" t="s">
        <v>1247</v>
      </c>
      <c r="G69" s="19" t="s">
        <v>0</v>
      </c>
      <c r="H69" s="69" t="s">
        <v>0</v>
      </c>
      <c r="I69" s="151">
        <f>I295</f>
        <v>10</v>
      </c>
      <c r="J69" s="151">
        <f>J295</f>
        <v>12.6</v>
      </c>
      <c r="K69" s="2"/>
    </row>
    <row r="70" spans="1:11">
      <c r="A70" s="2"/>
      <c r="B70" s="168"/>
      <c r="C70" s="154" t="s">
        <v>223</v>
      </c>
      <c r="D70" s="155"/>
      <c r="E70" s="155"/>
      <c r="F70" s="155" t="s">
        <v>0</v>
      </c>
      <c r="G70" s="156"/>
      <c r="H70" s="157"/>
      <c r="I70" s="158"/>
      <c r="J70" s="169"/>
      <c r="K70" s="2"/>
    </row>
    <row r="71" spans="1:11">
      <c r="A71" s="2"/>
      <c r="B71" s="60" t="s">
        <v>0</v>
      </c>
      <c r="C71" s="59" t="s">
        <v>1248</v>
      </c>
      <c r="D71" s="159" t="s">
        <v>1233</v>
      </c>
      <c r="E71" s="159" t="s">
        <v>1249</v>
      </c>
      <c r="F71" s="159" t="s">
        <v>1250</v>
      </c>
      <c r="G71" s="19" t="s">
        <v>0</v>
      </c>
      <c r="H71" s="69" t="s">
        <v>0</v>
      </c>
      <c r="I71" s="162" t="s">
        <v>0</v>
      </c>
      <c r="J71" s="153">
        <f>SUM($J$297:$J$303)</f>
        <v>189.42400000000001</v>
      </c>
      <c r="K71" s="2"/>
    </row>
    <row r="72" spans="1:11">
      <c r="A72" s="2"/>
      <c r="B72" s="170"/>
      <c r="C72" s="59" t="s">
        <v>1251</v>
      </c>
      <c r="D72" s="159" t="s">
        <v>1252</v>
      </c>
      <c r="E72" s="159" t="s">
        <v>1253</v>
      </c>
      <c r="F72" s="159" t="s">
        <v>1250</v>
      </c>
      <c r="G72" s="19"/>
      <c r="H72" s="69"/>
      <c r="I72" s="151">
        <v>4</v>
      </c>
      <c r="J72" s="153">
        <f>I72*0.4</f>
        <v>1.6</v>
      </c>
      <c r="K72" s="2"/>
    </row>
    <row r="73" spans="1:11">
      <c r="A73" s="2"/>
      <c r="B73" s="168"/>
      <c r="C73" s="154" t="s">
        <v>264</v>
      </c>
      <c r="D73" s="155"/>
      <c r="E73" s="155"/>
      <c r="F73" s="155"/>
      <c r="G73" s="156"/>
      <c r="H73" s="157"/>
      <c r="I73" s="158"/>
      <c r="J73" s="169" t="s">
        <v>0</v>
      </c>
      <c r="K73" s="2"/>
    </row>
    <row r="74" spans="1:11">
      <c r="A74" s="2"/>
      <c r="B74" s="170"/>
      <c r="C74" s="59" t="s">
        <v>1255</v>
      </c>
      <c r="D74" s="159" t="s">
        <v>1252</v>
      </c>
      <c r="E74" s="159" t="s">
        <v>824</v>
      </c>
      <c r="F74" s="159" t="s">
        <v>1250</v>
      </c>
      <c r="G74" s="19" t="s">
        <v>0</v>
      </c>
      <c r="H74" s="69" t="s">
        <v>0</v>
      </c>
      <c r="I74" s="151">
        <v>12</v>
      </c>
      <c r="J74" s="153">
        <f>I74*0.2*0.2</f>
        <v>0.48000000000000009</v>
      </c>
      <c r="K74" s="2"/>
    </row>
    <row r="75" spans="1:11">
      <c r="A75" s="2"/>
      <c r="B75" s="168"/>
      <c r="C75" s="154" t="s">
        <v>1256</v>
      </c>
      <c r="D75" s="155"/>
      <c r="E75" s="155"/>
      <c r="F75" s="155" t="s">
        <v>0</v>
      </c>
      <c r="G75" s="156"/>
      <c r="H75" s="157"/>
      <c r="I75" s="158"/>
      <c r="J75" s="169"/>
      <c r="K75" s="2"/>
    </row>
    <row r="76" spans="1:11">
      <c r="A76" s="2"/>
      <c r="B76" s="170"/>
      <c r="C76" s="59" t="s">
        <v>1257</v>
      </c>
      <c r="D76" s="159" t="s">
        <v>1252</v>
      </c>
      <c r="E76" s="159" t="s">
        <v>1253</v>
      </c>
      <c r="F76" s="159" t="s">
        <v>1250</v>
      </c>
      <c r="G76" s="19"/>
      <c r="H76" s="69"/>
      <c r="I76" s="151"/>
      <c r="J76" s="153">
        <f>15.28*3.5</f>
        <v>53.48</v>
      </c>
      <c r="K76" s="2"/>
    </row>
    <row r="77" spans="1:11">
      <c r="A77" s="2"/>
      <c r="K77" s="2"/>
    </row>
    <row r="78" spans="1:11">
      <c r="A78" s="2"/>
      <c r="B78" s="14" t="s">
        <v>149</v>
      </c>
      <c r="C78" s="1005" t="s">
        <v>150</v>
      </c>
      <c r="D78" s="1005"/>
      <c r="E78" s="1005"/>
      <c r="F78" s="1005"/>
      <c r="G78" s="1005"/>
      <c r="H78" s="1005"/>
      <c r="I78" s="1005"/>
      <c r="J78" s="15"/>
      <c r="K78" s="2"/>
    </row>
    <row r="79" spans="1:11">
      <c r="A79" s="2"/>
      <c r="B79" s="60"/>
      <c r="C79" s="150" t="s">
        <v>1223</v>
      </c>
      <c r="D79" s="151" t="s">
        <v>1224</v>
      </c>
      <c r="E79" s="151" t="s">
        <v>1225</v>
      </c>
      <c r="F79" s="151" t="s">
        <v>1226</v>
      </c>
      <c r="G79" s="152"/>
      <c r="H79" s="153"/>
      <c r="I79" s="151" t="s">
        <v>1227</v>
      </c>
      <c r="J79" s="153" t="s">
        <v>1228</v>
      </c>
      <c r="K79" s="2"/>
    </row>
    <row r="80" spans="1:11">
      <c r="A80" s="2"/>
      <c r="B80" s="168"/>
      <c r="C80" s="154" t="s">
        <v>222</v>
      </c>
      <c r="D80" s="155"/>
      <c r="E80" s="155"/>
      <c r="F80" s="155"/>
      <c r="G80" s="156"/>
      <c r="H80" s="157"/>
      <c r="I80" s="158"/>
      <c r="J80" s="169" t="s">
        <v>0</v>
      </c>
      <c r="K80" s="2"/>
    </row>
    <row r="81" spans="1:11">
      <c r="A81" s="2"/>
      <c r="B81" s="60" t="s">
        <v>0</v>
      </c>
      <c r="C81" s="59" t="s">
        <v>1232</v>
      </c>
      <c r="D81" s="159" t="s">
        <v>1230</v>
      </c>
      <c r="E81" s="159" t="s">
        <v>1233</v>
      </c>
      <c r="F81" s="159" t="s">
        <v>1234</v>
      </c>
      <c r="G81" s="19" t="s">
        <v>0</v>
      </c>
      <c r="H81" s="69" t="s">
        <v>0</v>
      </c>
      <c r="I81" s="151">
        <f>I307</f>
        <v>32</v>
      </c>
      <c r="J81" s="151">
        <f>J307</f>
        <v>53.760000000000005</v>
      </c>
      <c r="K81" s="2"/>
    </row>
    <row r="82" spans="1:11">
      <c r="A82" s="2"/>
      <c r="B82" s="60" t="s">
        <v>0</v>
      </c>
      <c r="C82" s="59" t="s">
        <v>1232</v>
      </c>
      <c r="D82" s="159" t="s">
        <v>1230</v>
      </c>
      <c r="E82" s="159" t="s">
        <v>1233</v>
      </c>
      <c r="F82" s="159" t="s">
        <v>1235</v>
      </c>
      <c r="G82" s="19" t="s">
        <v>0</v>
      </c>
      <c r="H82" s="69" t="s">
        <v>0</v>
      </c>
      <c r="I82" s="151">
        <f>I308</f>
        <v>2</v>
      </c>
      <c r="J82" s="151">
        <f>J308</f>
        <v>3.7800000000000002</v>
      </c>
      <c r="K82" s="2"/>
    </row>
    <row r="83" spans="1:11">
      <c r="A83" s="2"/>
      <c r="B83" s="60" t="s">
        <v>0</v>
      </c>
      <c r="C83" s="59" t="s">
        <v>1229</v>
      </c>
      <c r="D83" s="159" t="s">
        <v>1230</v>
      </c>
      <c r="E83" s="159" t="s">
        <v>1233</v>
      </c>
      <c r="F83" s="159" t="s">
        <v>1236</v>
      </c>
      <c r="G83" s="19" t="s">
        <v>0</v>
      </c>
      <c r="H83" s="69" t="s">
        <v>0</v>
      </c>
      <c r="I83" s="151">
        <f>I310</f>
        <v>8</v>
      </c>
      <c r="J83" s="151">
        <f>J310</f>
        <v>20.16</v>
      </c>
      <c r="K83" s="2"/>
    </row>
    <row r="84" spans="1:11">
      <c r="A84" s="2"/>
      <c r="B84" s="60" t="s">
        <v>0</v>
      </c>
      <c r="C84" s="59" t="s">
        <v>1229</v>
      </c>
      <c r="D84" s="159" t="s">
        <v>1230</v>
      </c>
      <c r="E84" s="159" t="s">
        <v>1233</v>
      </c>
      <c r="F84" s="159" t="s">
        <v>1237</v>
      </c>
      <c r="G84" s="19" t="s">
        <v>0</v>
      </c>
      <c r="H84" s="69" t="s">
        <v>0</v>
      </c>
      <c r="I84" s="151">
        <f>I309</f>
        <v>13</v>
      </c>
      <c r="J84" s="151">
        <f>J309</f>
        <v>43.680000000000007</v>
      </c>
      <c r="K84" s="2"/>
    </row>
    <row r="85" spans="1:11">
      <c r="A85" s="2"/>
      <c r="B85" s="60" t="s">
        <v>0</v>
      </c>
      <c r="C85" s="59" t="s">
        <v>1232</v>
      </c>
      <c r="D85" s="159" t="s">
        <v>1230</v>
      </c>
      <c r="E85" s="159" t="s">
        <v>1240</v>
      </c>
      <c r="F85" s="159" t="s">
        <v>1241</v>
      </c>
      <c r="G85" s="19" t="s">
        <v>0</v>
      </c>
      <c r="H85" s="69" t="s">
        <v>0</v>
      </c>
      <c r="I85" s="151">
        <f>I311</f>
        <v>9</v>
      </c>
      <c r="J85" s="153">
        <f>J311</f>
        <v>18.900000000000002</v>
      </c>
      <c r="K85" s="2"/>
    </row>
    <row r="86" spans="1:11">
      <c r="A86" s="2"/>
      <c r="B86" s="60"/>
      <c r="C86" s="59" t="s">
        <v>230</v>
      </c>
      <c r="D86" s="159"/>
      <c r="E86" s="159"/>
      <c r="F86" s="159"/>
      <c r="G86" s="19"/>
      <c r="H86" s="69"/>
      <c r="I86" s="162"/>
      <c r="J86" s="153"/>
      <c r="K86" s="2"/>
    </row>
    <row r="87" spans="1:11">
      <c r="A87" s="2"/>
      <c r="B87" s="67" t="s">
        <v>0</v>
      </c>
      <c r="C87" s="59" t="s">
        <v>1232</v>
      </c>
      <c r="D87" s="159" t="s">
        <v>1243</v>
      </c>
      <c r="E87" s="159" t="s">
        <v>1244</v>
      </c>
      <c r="F87" s="159" t="s">
        <v>1245</v>
      </c>
      <c r="G87" s="19" t="s">
        <v>0</v>
      </c>
      <c r="H87" s="69" t="s">
        <v>0</v>
      </c>
      <c r="I87" s="151">
        <f>I313</f>
        <v>8</v>
      </c>
      <c r="J87" s="151">
        <f>J313</f>
        <v>8.64</v>
      </c>
      <c r="K87" s="2"/>
    </row>
    <row r="88" spans="1:11">
      <c r="A88" s="2"/>
      <c r="B88" s="168"/>
      <c r="C88" s="154" t="s">
        <v>223</v>
      </c>
      <c r="D88" s="155"/>
      <c r="E88" s="155"/>
      <c r="F88" s="155" t="s">
        <v>0</v>
      </c>
      <c r="G88" s="156"/>
      <c r="H88" s="157"/>
      <c r="I88" s="158"/>
      <c r="J88" s="169"/>
      <c r="K88" s="2"/>
    </row>
    <row r="89" spans="1:11">
      <c r="A89" s="2"/>
      <c r="B89" s="60" t="s">
        <v>0</v>
      </c>
      <c r="C89" s="59" t="s">
        <v>1248</v>
      </c>
      <c r="D89" s="159" t="s">
        <v>1233</v>
      </c>
      <c r="E89" s="159" t="s">
        <v>1249</v>
      </c>
      <c r="F89" s="159" t="s">
        <v>1250</v>
      </c>
      <c r="G89" s="19" t="s">
        <v>0</v>
      </c>
      <c r="H89" s="69" t="s">
        <v>0</v>
      </c>
      <c r="I89" s="162" t="s">
        <v>0</v>
      </c>
      <c r="J89" s="153">
        <f>SUM(J315:J327)</f>
        <v>206.54879999999997</v>
      </c>
      <c r="K89" s="2"/>
    </row>
    <row r="90" spans="1:11">
      <c r="A90" s="2"/>
      <c r="B90" s="170"/>
      <c r="C90" s="59" t="s">
        <v>1251</v>
      </c>
      <c r="D90" s="159" t="s">
        <v>1252</v>
      </c>
      <c r="E90" s="159" t="s">
        <v>1253</v>
      </c>
      <c r="F90" s="159" t="s">
        <v>1250</v>
      </c>
      <c r="G90" s="19"/>
      <c r="H90" s="69"/>
      <c r="I90" s="151">
        <v>4</v>
      </c>
      <c r="J90" s="153">
        <f>I90*0.4</f>
        <v>1.6</v>
      </c>
      <c r="K90" s="2"/>
    </row>
    <row r="91" spans="1:11">
      <c r="A91" s="2"/>
      <c r="B91" s="168"/>
      <c r="C91" s="154" t="s">
        <v>264</v>
      </c>
      <c r="D91" s="155"/>
      <c r="E91" s="155"/>
      <c r="F91" s="155"/>
      <c r="G91" s="156"/>
      <c r="H91" s="157"/>
      <c r="I91" s="158"/>
      <c r="J91" s="169" t="s">
        <v>0</v>
      </c>
      <c r="K91" s="2"/>
    </row>
    <row r="92" spans="1:11">
      <c r="A92" s="2"/>
      <c r="B92" s="60" t="s">
        <v>0</v>
      </c>
      <c r="C92" s="59" t="s">
        <v>269</v>
      </c>
      <c r="D92" s="159" t="s">
        <v>1252</v>
      </c>
      <c r="E92" s="159" t="s">
        <v>824</v>
      </c>
      <c r="F92" s="159" t="s">
        <v>1250</v>
      </c>
      <c r="G92" s="19" t="s">
        <v>0</v>
      </c>
      <c r="H92" s="69" t="s">
        <v>0</v>
      </c>
      <c r="I92" s="162" t="s">
        <v>0</v>
      </c>
      <c r="J92" s="153">
        <f>SUM(J329:J330)</f>
        <v>3.8500000000000005</v>
      </c>
      <c r="K92" s="2"/>
    </row>
    <row r="93" spans="1:11">
      <c r="A93" s="2"/>
      <c r="B93" s="170"/>
      <c r="C93" s="59" t="s">
        <v>1255</v>
      </c>
      <c r="D93" s="159" t="s">
        <v>1252</v>
      </c>
      <c r="E93" s="159" t="s">
        <v>824</v>
      </c>
      <c r="F93" s="159" t="s">
        <v>1250</v>
      </c>
      <c r="G93" s="19" t="s">
        <v>0</v>
      </c>
      <c r="H93" s="69" t="s">
        <v>0</v>
      </c>
      <c r="I93" s="151">
        <v>12</v>
      </c>
      <c r="J93" s="153">
        <f>I93*0.2*0.2</f>
        <v>0.48000000000000009</v>
      </c>
      <c r="K93" s="2"/>
    </row>
    <row r="94" spans="1:11">
      <c r="A94" s="2"/>
      <c r="B94" s="168"/>
      <c r="C94" s="154" t="s">
        <v>1256</v>
      </c>
      <c r="D94" s="155"/>
      <c r="E94" s="155"/>
      <c r="F94" s="155" t="s">
        <v>0</v>
      </c>
      <c r="G94" s="156"/>
      <c r="H94" s="157"/>
      <c r="I94" s="158"/>
      <c r="J94" s="169"/>
      <c r="K94" s="2"/>
    </row>
    <row r="95" spans="1:11">
      <c r="A95" s="2"/>
      <c r="B95" s="170"/>
      <c r="C95" s="59" t="s">
        <v>1257</v>
      </c>
      <c r="D95" s="159" t="s">
        <v>1252</v>
      </c>
      <c r="E95" s="159" t="s">
        <v>1253</v>
      </c>
      <c r="F95" s="159" t="s">
        <v>1250</v>
      </c>
      <c r="G95" s="19"/>
      <c r="H95" s="69"/>
      <c r="I95" s="151"/>
      <c r="J95" s="153">
        <f>15.28*3.5</f>
        <v>53.48</v>
      </c>
      <c r="K95" s="2"/>
    </row>
    <row r="96" spans="1:11">
      <c r="A96" s="2"/>
      <c r="K96" s="2"/>
    </row>
    <row r="97" spans="1:11">
      <c r="A97" s="2"/>
      <c r="B97" s="14" t="s">
        <v>152</v>
      </c>
      <c r="C97" s="1005" t="s">
        <v>153</v>
      </c>
      <c r="D97" s="1005"/>
      <c r="E97" s="1005"/>
      <c r="F97" s="1005"/>
      <c r="G97" s="1005"/>
      <c r="H97" s="1005"/>
      <c r="I97" s="1005"/>
      <c r="J97" s="15"/>
      <c r="K97" s="2"/>
    </row>
    <row r="98" spans="1:11">
      <c r="A98" s="2"/>
      <c r="B98" s="60"/>
      <c r="C98" s="150" t="s">
        <v>1223</v>
      </c>
      <c r="D98" s="151" t="s">
        <v>1224</v>
      </c>
      <c r="E98" s="151" t="s">
        <v>1225</v>
      </c>
      <c r="F98" s="151" t="s">
        <v>1226</v>
      </c>
      <c r="G98" s="152"/>
      <c r="H98" s="153"/>
      <c r="I98" s="151" t="s">
        <v>1227</v>
      </c>
      <c r="J98" s="153" t="s">
        <v>1228</v>
      </c>
      <c r="K98" s="2"/>
    </row>
    <row r="99" spans="1:11">
      <c r="A99" s="2"/>
      <c r="B99" s="168"/>
      <c r="C99" s="154" t="s">
        <v>222</v>
      </c>
      <c r="D99" s="155"/>
      <c r="E99" s="155"/>
      <c r="F99" s="155"/>
      <c r="G99" s="156"/>
      <c r="H99" s="157"/>
      <c r="I99" s="158"/>
      <c r="J99" s="169" t="s">
        <v>0</v>
      </c>
      <c r="K99" s="2"/>
    </row>
    <row r="100" spans="1:11">
      <c r="A100" s="2"/>
      <c r="B100" s="60" t="s">
        <v>0</v>
      </c>
      <c r="C100" s="59" t="s">
        <v>1232</v>
      </c>
      <c r="D100" s="159" t="s">
        <v>1230</v>
      </c>
      <c r="E100" s="159" t="s">
        <v>1233</v>
      </c>
      <c r="F100" s="159" t="s">
        <v>1234</v>
      </c>
      <c r="G100" s="19" t="s">
        <v>0</v>
      </c>
      <c r="H100" s="69" t="s">
        <v>0</v>
      </c>
      <c r="I100" s="151">
        <f>I334</f>
        <v>33</v>
      </c>
      <c r="J100" s="151">
        <f>J334</f>
        <v>55.440000000000005</v>
      </c>
      <c r="K100" s="2"/>
    </row>
    <row r="101" spans="1:11">
      <c r="A101" s="2"/>
      <c r="B101" s="60" t="s">
        <v>0</v>
      </c>
      <c r="C101" s="59" t="s">
        <v>1232</v>
      </c>
      <c r="D101" s="159" t="s">
        <v>1230</v>
      </c>
      <c r="E101" s="159" t="s">
        <v>1233</v>
      </c>
      <c r="F101" s="159" t="s">
        <v>1235</v>
      </c>
      <c r="G101" s="19" t="s">
        <v>0</v>
      </c>
      <c r="H101" s="69" t="s">
        <v>0</v>
      </c>
      <c r="I101" s="151">
        <f>I335</f>
        <v>2</v>
      </c>
      <c r="J101" s="151">
        <f>J335</f>
        <v>3.7800000000000002</v>
      </c>
      <c r="K101" s="2"/>
    </row>
    <row r="102" spans="1:11">
      <c r="A102" s="2"/>
      <c r="B102" s="60" t="s">
        <v>0</v>
      </c>
      <c r="C102" s="59" t="s">
        <v>1229</v>
      </c>
      <c r="D102" s="159" t="s">
        <v>1230</v>
      </c>
      <c r="E102" s="159" t="s">
        <v>1233</v>
      </c>
      <c r="F102" s="159" t="s">
        <v>1236</v>
      </c>
      <c r="G102" s="19" t="s">
        <v>0</v>
      </c>
      <c r="H102" s="69" t="s">
        <v>0</v>
      </c>
      <c r="I102" s="151">
        <f>I337</f>
        <v>2</v>
      </c>
      <c r="J102" s="151">
        <f>J337</f>
        <v>5.04</v>
      </c>
      <c r="K102" s="2"/>
    </row>
    <row r="103" spans="1:11">
      <c r="A103" s="2"/>
      <c r="B103" s="60" t="s">
        <v>0</v>
      </c>
      <c r="C103" s="59" t="s">
        <v>1229</v>
      </c>
      <c r="D103" s="159" t="s">
        <v>1230</v>
      </c>
      <c r="E103" s="159" t="s">
        <v>1233</v>
      </c>
      <c r="F103" s="159" t="s">
        <v>1237</v>
      </c>
      <c r="G103" s="19" t="s">
        <v>0</v>
      </c>
      <c r="H103" s="69" t="s">
        <v>0</v>
      </c>
      <c r="I103" s="151">
        <f>I336</f>
        <v>5</v>
      </c>
      <c r="J103" s="151">
        <f>J336</f>
        <v>16.8</v>
      </c>
      <c r="K103" s="2"/>
    </row>
    <row r="104" spans="1:11">
      <c r="A104" s="2"/>
      <c r="B104" s="60" t="s">
        <v>0</v>
      </c>
      <c r="C104" s="59" t="s">
        <v>1232</v>
      </c>
      <c r="D104" s="159" t="s">
        <v>1230</v>
      </c>
      <c r="E104" s="159" t="s">
        <v>1240</v>
      </c>
      <c r="F104" s="159" t="s">
        <v>1241</v>
      </c>
      <c r="G104" s="19" t="s">
        <v>0</v>
      </c>
      <c r="H104" s="69" t="s">
        <v>0</v>
      </c>
      <c r="I104" s="151">
        <f>I338</f>
        <v>9</v>
      </c>
      <c r="J104" s="153">
        <f>J338</f>
        <v>18.900000000000002</v>
      </c>
      <c r="K104" s="2"/>
    </row>
    <row r="105" spans="1:11">
      <c r="A105" s="2"/>
      <c r="B105" s="168"/>
      <c r="C105" s="154" t="s">
        <v>223</v>
      </c>
      <c r="D105" s="155"/>
      <c r="E105" s="155"/>
      <c r="F105" s="155" t="s">
        <v>0</v>
      </c>
      <c r="G105" s="156"/>
      <c r="H105" s="157"/>
      <c r="I105" s="158"/>
      <c r="J105" s="169"/>
      <c r="K105" s="2"/>
    </row>
    <row r="106" spans="1:11">
      <c r="A106" s="2"/>
      <c r="B106" s="60" t="s">
        <v>0</v>
      </c>
      <c r="C106" s="59" t="s">
        <v>1248</v>
      </c>
      <c r="D106" s="159" t="s">
        <v>1233</v>
      </c>
      <c r="E106" s="159" t="s">
        <v>1249</v>
      </c>
      <c r="F106" s="159" t="s">
        <v>1250</v>
      </c>
      <c r="G106" s="19" t="s">
        <v>0</v>
      </c>
      <c r="H106" s="69" t="s">
        <v>0</v>
      </c>
      <c r="I106" s="162" t="s">
        <v>0</v>
      </c>
      <c r="J106" s="153">
        <f>SUM(J340:J346)</f>
        <v>200.54879999999997</v>
      </c>
      <c r="K106" s="2"/>
    </row>
    <row r="107" spans="1:11">
      <c r="A107" s="2"/>
      <c r="B107" s="170"/>
      <c r="C107" s="59" t="s">
        <v>1251</v>
      </c>
      <c r="D107" s="159" t="s">
        <v>1252</v>
      </c>
      <c r="E107" s="159" t="s">
        <v>1253</v>
      </c>
      <c r="F107" s="159" t="s">
        <v>1250</v>
      </c>
      <c r="G107" s="19"/>
      <c r="H107" s="69"/>
      <c r="I107" s="151">
        <v>4</v>
      </c>
      <c r="J107" s="153">
        <f>I107*0.4</f>
        <v>1.6</v>
      </c>
      <c r="K107" s="2"/>
    </row>
    <row r="108" spans="1:11">
      <c r="A108" s="2"/>
      <c r="B108" s="168"/>
      <c r="C108" s="154" t="s">
        <v>264</v>
      </c>
      <c r="D108" s="155"/>
      <c r="E108" s="155"/>
      <c r="F108" s="155"/>
      <c r="G108" s="156"/>
      <c r="H108" s="157"/>
      <c r="I108" s="158"/>
      <c r="J108" s="169" t="s">
        <v>0</v>
      </c>
      <c r="K108" s="2"/>
    </row>
    <row r="109" spans="1:11">
      <c r="A109" s="2"/>
      <c r="B109" s="60" t="s">
        <v>0</v>
      </c>
      <c r="C109" s="59" t="s">
        <v>269</v>
      </c>
      <c r="D109" s="159" t="s">
        <v>1252</v>
      </c>
      <c r="E109" s="159" t="s">
        <v>824</v>
      </c>
      <c r="F109" s="159" t="s">
        <v>1250</v>
      </c>
      <c r="G109" s="19" t="s">
        <v>0</v>
      </c>
      <c r="H109" s="69" t="s">
        <v>0</v>
      </c>
      <c r="I109" s="162" t="s">
        <v>0</v>
      </c>
      <c r="J109" s="153">
        <f>SUM(J348)</f>
        <v>2.2000000000000002</v>
      </c>
      <c r="K109" s="2"/>
    </row>
    <row r="110" spans="1:11">
      <c r="A110" s="2"/>
      <c r="B110" s="170"/>
      <c r="C110" s="59" t="s">
        <v>1255</v>
      </c>
      <c r="D110" s="159" t="s">
        <v>1252</v>
      </c>
      <c r="E110" s="159" t="s">
        <v>824</v>
      </c>
      <c r="F110" s="159" t="s">
        <v>1250</v>
      </c>
      <c r="G110" s="19" t="s">
        <v>0</v>
      </c>
      <c r="H110" s="69" t="s">
        <v>0</v>
      </c>
      <c r="I110" s="151">
        <v>12</v>
      </c>
      <c r="J110" s="153">
        <f>I110*0.2*0.2</f>
        <v>0.48000000000000009</v>
      </c>
      <c r="K110" s="2"/>
    </row>
    <row r="111" spans="1:11">
      <c r="A111" s="2"/>
      <c r="B111" s="168"/>
      <c r="C111" s="154" t="s">
        <v>1256</v>
      </c>
      <c r="D111" s="155"/>
      <c r="E111" s="155"/>
      <c r="F111" s="155" t="s">
        <v>0</v>
      </c>
      <c r="G111" s="156"/>
      <c r="H111" s="157"/>
      <c r="I111" s="158"/>
      <c r="J111" s="169"/>
      <c r="K111" s="2"/>
    </row>
    <row r="112" spans="1:11">
      <c r="A112" s="2"/>
      <c r="B112" s="170"/>
      <c r="C112" s="59" t="s">
        <v>1257</v>
      </c>
      <c r="D112" s="159" t="s">
        <v>1252</v>
      </c>
      <c r="E112" s="159" t="s">
        <v>1253</v>
      </c>
      <c r="F112" s="159" t="s">
        <v>1250</v>
      </c>
      <c r="G112" s="19"/>
      <c r="H112" s="69"/>
      <c r="I112" s="151"/>
      <c r="J112" s="153">
        <f>15.28*3.5</f>
        <v>53.48</v>
      </c>
      <c r="K112" s="2"/>
    </row>
    <row r="113" spans="1:11">
      <c r="A113" s="2"/>
      <c r="K113" s="2"/>
    </row>
    <row r="114" spans="1:11">
      <c r="A114" s="2"/>
      <c r="B114" s="14" t="s">
        <v>154</v>
      </c>
      <c r="C114" s="1005" t="s">
        <v>155</v>
      </c>
      <c r="D114" s="1005"/>
      <c r="E114" s="1005"/>
      <c r="F114" s="1005"/>
      <c r="G114" s="1005"/>
      <c r="H114" s="1005"/>
      <c r="I114" s="1005"/>
      <c r="J114" s="15"/>
      <c r="K114" s="2"/>
    </row>
    <row r="115" spans="1:11">
      <c r="A115" s="2"/>
      <c r="B115" s="60"/>
      <c r="C115" s="150" t="s">
        <v>1223</v>
      </c>
      <c r="D115" s="151" t="s">
        <v>1224</v>
      </c>
      <c r="E115" s="151" t="s">
        <v>1225</v>
      </c>
      <c r="F115" s="151" t="s">
        <v>1226</v>
      </c>
      <c r="G115" s="152"/>
      <c r="H115" s="153"/>
      <c r="I115" s="151" t="s">
        <v>1227</v>
      </c>
      <c r="J115" s="153" t="s">
        <v>1228</v>
      </c>
      <c r="K115" s="2"/>
    </row>
    <row r="116" spans="1:11">
      <c r="A116" s="2"/>
      <c r="B116" s="168"/>
      <c r="C116" s="154" t="s">
        <v>222</v>
      </c>
      <c r="D116" s="155"/>
      <c r="E116" s="155"/>
      <c r="F116" s="155"/>
      <c r="G116" s="156"/>
      <c r="H116" s="157"/>
      <c r="I116" s="158"/>
      <c r="J116" s="169" t="s">
        <v>0</v>
      </c>
      <c r="K116" s="2"/>
    </row>
    <row r="117" spans="1:11">
      <c r="A117" s="2"/>
      <c r="B117" s="60" t="s">
        <v>0</v>
      </c>
      <c r="C117" s="59" t="s">
        <v>1232</v>
      </c>
      <c r="D117" s="159" t="s">
        <v>1230</v>
      </c>
      <c r="E117" s="159" t="s">
        <v>1233</v>
      </c>
      <c r="F117" s="159" t="s">
        <v>1234</v>
      </c>
      <c r="G117" s="19" t="s">
        <v>0</v>
      </c>
      <c r="H117" s="69" t="s">
        <v>0</v>
      </c>
      <c r="I117" s="151">
        <f>I352</f>
        <v>42</v>
      </c>
      <c r="J117" s="151">
        <f>J352</f>
        <v>70.56</v>
      </c>
      <c r="K117" s="2"/>
    </row>
    <row r="118" spans="1:11">
      <c r="A118" s="2"/>
      <c r="B118" s="60" t="s">
        <v>0</v>
      </c>
      <c r="C118" s="59" t="s">
        <v>1232</v>
      </c>
      <c r="D118" s="159" t="s">
        <v>1230</v>
      </c>
      <c r="E118" s="159" t="s">
        <v>1233</v>
      </c>
      <c r="F118" s="159" t="s">
        <v>1235</v>
      </c>
      <c r="G118" s="19" t="s">
        <v>0</v>
      </c>
      <c r="H118" s="69" t="s">
        <v>0</v>
      </c>
      <c r="I118" s="151">
        <f>I353</f>
        <v>4</v>
      </c>
      <c r="J118" s="151">
        <f>J353</f>
        <v>7.5600000000000005</v>
      </c>
      <c r="K118" s="2"/>
    </row>
    <row r="119" spans="1:11">
      <c r="A119" s="2"/>
      <c r="B119" s="60" t="s">
        <v>0</v>
      </c>
      <c r="C119" s="59" t="s">
        <v>1229</v>
      </c>
      <c r="D119" s="159" t="s">
        <v>1230</v>
      </c>
      <c r="E119" s="159" t="s">
        <v>1233</v>
      </c>
      <c r="F119" s="159" t="s">
        <v>1236</v>
      </c>
      <c r="G119" s="19" t="s">
        <v>0</v>
      </c>
      <c r="H119" s="69" t="s">
        <v>0</v>
      </c>
      <c r="I119" s="151">
        <f>I355</f>
        <v>3</v>
      </c>
      <c r="J119" s="151">
        <f>J355</f>
        <v>7.5600000000000005</v>
      </c>
      <c r="K119" s="2"/>
    </row>
    <row r="120" spans="1:11">
      <c r="A120" s="2"/>
      <c r="B120" s="60" t="s">
        <v>0</v>
      </c>
      <c r="C120" s="59" t="s">
        <v>1229</v>
      </c>
      <c r="D120" s="159" t="s">
        <v>1230</v>
      </c>
      <c r="E120" s="159" t="s">
        <v>1233</v>
      </c>
      <c r="F120" s="159" t="s">
        <v>1237</v>
      </c>
      <c r="G120" s="19" t="s">
        <v>0</v>
      </c>
      <c r="H120" s="69" t="s">
        <v>0</v>
      </c>
      <c r="I120" s="151">
        <f>I354</f>
        <v>3</v>
      </c>
      <c r="J120" s="151">
        <f>J354</f>
        <v>10.080000000000002</v>
      </c>
      <c r="K120" s="2"/>
    </row>
    <row r="121" spans="1:11">
      <c r="A121" s="2"/>
      <c r="B121" s="60" t="s">
        <v>0</v>
      </c>
      <c r="C121" s="59" t="s">
        <v>1232</v>
      </c>
      <c r="D121" s="159" t="s">
        <v>1230</v>
      </c>
      <c r="E121" s="159" t="s">
        <v>1240</v>
      </c>
      <c r="F121" s="159" t="s">
        <v>1241</v>
      </c>
      <c r="G121" s="19" t="s">
        <v>0</v>
      </c>
      <c r="H121" s="69" t="s">
        <v>0</v>
      </c>
      <c r="I121" s="151">
        <f>I356</f>
        <v>9</v>
      </c>
      <c r="J121" s="153">
        <f>J356</f>
        <v>18.900000000000002</v>
      </c>
      <c r="K121" s="2"/>
    </row>
    <row r="122" spans="1:11">
      <c r="A122" s="2"/>
      <c r="B122" s="168"/>
      <c r="C122" s="154" t="s">
        <v>223</v>
      </c>
      <c r="D122" s="155"/>
      <c r="E122" s="155"/>
      <c r="F122" s="155" t="s">
        <v>0</v>
      </c>
      <c r="G122" s="156"/>
      <c r="H122" s="157"/>
      <c r="I122" s="158"/>
      <c r="J122" s="169"/>
      <c r="K122" s="2"/>
    </row>
    <row r="123" spans="1:11">
      <c r="A123" s="2"/>
      <c r="B123" s="60" t="s">
        <v>0</v>
      </c>
      <c r="C123" s="59" t="s">
        <v>1248</v>
      </c>
      <c r="D123" s="159" t="s">
        <v>1233</v>
      </c>
      <c r="E123" s="159" t="s">
        <v>1249</v>
      </c>
      <c r="F123" s="159" t="s">
        <v>1250</v>
      </c>
      <c r="G123" s="19" t="s">
        <v>0</v>
      </c>
      <c r="H123" s="69" t="s">
        <v>0</v>
      </c>
      <c r="I123" s="162" t="s">
        <v>0</v>
      </c>
      <c r="J123" s="153">
        <f>SUM(J358:J370)</f>
        <v>202.7388</v>
      </c>
      <c r="K123" s="2"/>
    </row>
    <row r="124" spans="1:11">
      <c r="A124" s="2"/>
      <c r="B124" s="170"/>
      <c r="C124" s="59" t="s">
        <v>1251</v>
      </c>
      <c r="D124" s="159" t="s">
        <v>1252</v>
      </c>
      <c r="E124" s="159" t="s">
        <v>1253</v>
      </c>
      <c r="F124" s="159" t="s">
        <v>1250</v>
      </c>
      <c r="G124" s="19"/>
      <c r="H124" s="69"/>
      <c r="I124" s="151">
        <v>4</v>
      </c>
      <c r="J124" s="153">
        <f>I124*0.4</f>
        <v>1.6</v>
      </c>
      <c r="K124" s="2"/>
    </row>
    <row r="125" spans="1:11">
      <c r="A125" s="2"/>
      <c r="B125" s="168"/>
      <c r="C125" s="154" t="s">
        <v>264</v>
      </c>
      <c r="D125" s="155"/>
      <c r="E125" s="155"/>
      <c r="F125" s="155"/>
      <c r="G125" s="156"/>
      <c r="H125" s="157"/>
      <c r="I125" s="158"/>
      <c r="J125" s="169" t="s">
        <v>0</v>
      </c>
      <c r="K125" s="2"/>
    </row>
    <row r="126" spans="1:11">
      <c r="A126" s="2"/>
      <c r="B126" s="170"/>
      <c r="C126" s="59" t="s">
        <v>1255</v>
      </c>
      <c r="D126" s="159" t="s">
        <v>1252</v>
      </c>
      <c r="E126" s="159" t="s">
        <v>824</v>
      </c>
      <c r="F126" s="159" t="s">
        <v>1250</v>
      </c>
      <c r="G126" s="19" t="s">
        <v>0</v>
      </c>
      <c r="H126" s="69" t="s">
        <v>0</v>
      </c>
      <c r="I126" s="151">
        <v>12</v>
      </c>
      <c r="J126" s="153">
        <f>I126*0.2*0.2</f>
        <v>0.48000000000000009</v>
      </c>
      <c r="K126" s="2"/>
    </row>
    <row r="127" spans="1:11">
      <c r="A127" s="2"/>
      <c r="B127" s="168"/>
      <c r="C127" s="154" t="s">
        <v>1256</v>
      </c>
      <c r="D127" s="155"/>
      <c r="E127" s="155"/>
      <c r="F127" s="155" t="s">
        <v>0</v>
      </c>
      <c r="G127" s="156"/>
      <c r="H127" s="157"/>
      <c r="I127" s="158"/>
      <c r="J127" s="169"/>
      <c r="K127" s="2"/>
    </row>
    <row r="128" spans="1:11">
      <c r="A128" s="2"/>
      <c r="B128" s="170"/>
      <c r="C128" s="59" t="s">
        <v>1257</v>
      </c>
      <c r="D128" s="159" t="s">
        <v>1252</v>
      </c>
      <c r="E128" s="159" t="s">
        <v>1253</v>
      </c>
      <c r="F128" s="159" t="s">
        <v>1250</v>
      </c>
      <c r="G128" s="19"/>
      <c r="H128" s="69"/>
      <c r="I128" s="151"/>
      <c r="J128" s="153">
        <f>15.28*3.5</f>
        <v>53.48</v>
      </c>
      <c r="K128" s="2"/>
    </row>
    <row r="129" spans="1:11">
      <c r="A129" s="2"/>
      <c r="K129" s="2"/>
    </row>
    <row r="130" spans="1:11">
      <c r="A130" s="2"/>
      <c r="B130" s="14" t="s">
        <v>156</v>
      </c>
      <c r="C130" s="1005" t="s">
        <v>157</v>
      </c>
      <c r="D130" s="1005"/>
      <c r="E130" s="1005"/>
      <c r="F130" s="1005"/>
      <c r="G130" s="1005"/>
      <c r="H130" s="1005"/>
      <c r="I130" s="1005"/>
      <c r="J130" s="15"/>
      <c r="K130" s="2"/>
    </row>
    <row r="131" spans="1:11">
      <c r="A131" s="2"/>
      <c r="B131" s="60"/>
      <c r="C131" s="150" t="s">
        <v>1223</v>
      </c>
      <c r="D131" s="151" t="s">
        <v>1224</v>
      </c>
      <c r="E131" s="151" t="s">
        <v>1225</v>
      </c>
      <c r="F131" s="151" t="s">
        <v>1226</v>
      </c>
      <c r="G131" s="152"/>
      <c r="H131" s="153"/>
      <c r="I131" s="151" t="s">
        <v>1227</v>
      </c>
      <c r="J131" s="153" t="s">
        <v>1228</v>
      </c>
      <c r="K131" s="2"/>
    </row>
    <row r="132" spans="1:11">
      <c r="A132" s="2"/>
      <c r="B132" s="168"/>
      <c r="C132" s="154" t="s">
        <v>222</v>
      </c>
      <c r="D132" s="155"/>
      <c r="E132" s="155"/>
      <c r="F132" s="155"/>
      <c r="G132" s="156"/>
      <c r="H132" s="157"/>
      <c r="I132" s="158"/>
      <c r="J132" s="169" t="s">
        <v>0</v>
      </c>
      <c r="K132" s="2"/>
    </row>
    <row r="133" spans="1:11">
      <c r="A133" s="2"/>
      <c r="B133" s="60" t="s">
        <v>0</v>
      </c>
      <c r="C133" s="59" t="s">
        <v>1232</v>
      </c>
      <c r="D133" s="159" t="s">
        <v>1230</v>
      </c>
      <c r="E133" s="159" t="s">
        <v>1233</v>
      </c>
      <c r="F133" s="159" t="s">
        <v>1234</v>
      </c>
      <c r="G133" s="19" t="s">
        <v>0</v>
      </c>
      <c r="H133" s="69" t="s">
        <v>0</v>
      </c>
      <c r="I133" s="151">
        <f>$I$374</f>
        <v>33</v>
      </c>
      <c r="J133" s="151">
        <f>$J$374</f>
        <v>55.440000000000005</v>
      </c>
      <c r="K133" s="2"/>
    </row>
    <row r="134" spans="1:11">
      <c r="A134" s="2"/>
      <c r="B134" s="60" t="s">
        <v>0</v>
      </c>
      <c r="C134" s="59" t="s">
        <v>1232</v>
      </c>
      <c r="D134" s="159" t="s">
        <v>1230</v>
      </c>
      <c r="E134" s="159" t="s">
        <v>1233</v>
      </c>
      <c r="F134" s="159" t="s">
        <v>1235</v>
      </c>
      <c r="G134" s="19" t="s">
        <v>0</v>
      </c>
      <c r="H134" s="69" t="s">
        <v>0</v>
      </c>
      <c r="I134" s="151">
        <f>$I$375</f>
        <v>4</v>
      </c>
      <c r="J134" s="151">
        <f>$J$375</f>
        <v>7.5600000000000005</v>
      </c>
      <c r="K134" s="2"/>
    </row>
    <row r="135" spans="1:11">
      <c r="A135" s="2"/>
      <c r="B135" s="60" t="s">
        <v>0</v>
      </c>
      <c r="C135" s="59" t="s">
        <v>1229</v>
      </c>
      <c r="D135" s="159" t="s">
        <v>1230</v>
      </c>
      <c r="E135" s="159" t="s">
        <v>1233</v>
      </c>
      <c r="F135" s="159" t="s">
        <v>1236</v>
      </c>
      <c r="G135" s="19" t="s">
        <v>0</v>
      </c>
      <c r="H135" s="69" t="s">
        <v>0</v>
      </c>
      <c r="I135" s="151">
        <f>$I$376</f>
        <v>15</v>
      </c>
      <c r="J135" s="151">
        <f>$J$376</f>
        <v>37.799999999999997</v>
      </c>
      <c r="K135" s="2"/>
    </row>
    <row r="136" spans="1:11">
      <c r="A136" s="2"/>
      <c r="B136" s="60" t="s">
        <v>0</v>
      </c>
      <c r="C136" s="59" t="s">
        <v>1232</v>
      </c>
      <c r="D136" s="159" t="s">
        <v>1230</v>
      </c>
      <c r="E136" s="159" t="s">
        <v>1240</v>
      </c>
      <c r="F136" s="159" t="s">
        <v>1241</v>
      </c>
      <c r="G136" s="19" t="s">
        <v>0</v>
      </c>
      <c r="H136" s="69" t="s">
        <v>0</v>
      </c>
      <c r="I136" s="151">
        <f>$I$377</f>
        <v>9</v>
      </c>
      <c r="J136" s="153">
        <f>$J$377</f>
        <v>18.900000000000002</v>
      </c>
      <c r="K136" s="2"/>
    </row>
    <row r="137" spans="1:11">
      <c r="A137" s="2"/>
      <c r="B137" s="170"/>
      <c r="C137" s="59" t="s">
        <v>230</v>
      </c>
      <c r="D137" s="159"/>
      <c r="E137" s="159"/>
      <c r="F137" s="159"/>
      <c r="G137" s="19"/>
      <c r="H137" s="69"/>
      <c r="I137" s="151"/>
      <c r="J137" s="153"/>
      <c r="K137" s="2"/>
    </row>
    <row r="138" spans="1:11">
      <c r="A138" s="2"/>
      <c r="B138" s="170"/>
      <c r="C138" s="59" t="s">
        <v>1232</v>
      </c>
      <c r="D138" s="159" t="s">
        <v>1243</v>
      </c>
      <c r="E138" s="159" t="s">
        <v>1244</v>
      </c>
      <c r="F138" s="159" t="s">
        <v>1245</v>
      </c>
      <c r="G138" s="19" t="s">
        <v>0</v>
      </c>
      <c r="H138" s="69"/>
      <c r="I138" s="151">
        <f>$I$379</f>
        <v>10</v>
      </c>
      <c r="J138" s="153">
        <f>$J$379</f>
        <v>10.8</v>
      </c>
      <c r="K138" s="2"/>
    </row>
    <row r="139" spans="1:11">
      <c r="A139" s="2"/>
      <c r="B139" s="168"/>
      <c r="C139" s="154" t="s">
        <v>223</v>
      </c>
      <c r="D139" s="155"/>
      <c r="E139" s="155"/>
      <c r="F139" s="155" t="s">
        <v>0</v>
      </c>
      <c r="G139" s="156"/>
      <c r="H139" s="157"/>
      <c r="I139" s="158"/>
      <c r="J139" s="169"/>
      <c r="K139" s="2"/>
    </row>
    <row r="140" spans="1:11">
      <c r="A140" s="2"/>
      <c r="B140" s="60" t="s">
        <v>0</v>
      </c>
      <c r="C140" s="59" t="s">
        <v>1248</v>
      </c>
      <c r="D140" s="159" t="s">
        <v>1233</v>
      </c>
      <c r="E140" s="159" t="s">
        <v>1249</v>
      </c>
      <c r="F140" s="159" t="s">
        <v>1250</v>
      </c>
      <c r="G140" s="19" t="s">
        <v>0</v>
      </c>
      <c r="H140" s="69" t="s">
        <v>0</v>
      </c>
      <c r="I140" s="162" t="s">
        <v>0</v>
      </c>
      <c r="J140" s="153">
        <f>SUM($J$381:$J$394)</f>
        <v>205.70879999999997</v>
      </c>
      <c r="K140" s="2"/>
    </row>
    <row r="141" spans="1:11">
      <c r="A141" s="2"/>
      <c r="B141" s="170"/>
      <c r="C141" s="59" t="s">
        <v>1251</v>
      </c>
      <c r="D141" s="159" t="s">
        <v>1252</v>
      </c>
      <c r="E141" s="159" t="s">
        <v>1253</v>
      </c>
      <c r="F141" s="159" t="s">
        <v>1250</v>
      </c>
      <c r="G141" s="19"/>
      <c r="H141" s="69"/>
      <c r="I141" s="151">
        <v>4</v>
      </c>
      <c r="J141" s="153">
        <f>I141*0.4</f>
        <v>1.6</v>
      </c>
      <c r="K141" s="2"/>
    </row>
    <row r="142" spans="1:11">
      <c r="A142" s="2"/>
      <c r="B142" s="168"/>
      <c r="C142" s="154" t="s">
        <v>264</v>
      </c>
      <c r="D142" s="155"/>
      <c r="E142" s="155"/>
      <c r="F142" s="155"/>
      <c r="G142" s="156"/>
      <c r="H142" s="157"/>
      <c r="I142" s="158"/>
      <c r="J142" s="169" t="s">
        <v>0</v>
      </c>
      <c r="K142" s="2"/>
    </row>
    <row r="143" spans="1:11">
      <c r="A143" s="2"/>
      <c r="B143" s="170"/>
      <c r="C143" s="59" t="s">
        <v>1255</v>
      </c>
      <c r="D143" s="159" t="s">
        <v>1252</v>
      </c>
      <c r="E143" s="159" t="s">
        <v>824</v>
      </c>
      <c r="F143" s="159" t="s">
        <v>1250</v>
      </c>
      <c r="G143" s="19" t="s">
        <v>0</v>
      </c>
      <c r="H143" s="69" t="s">
        <v>0</v>
      </c>
      <c r="I143" s="151">
        <v>12</v>
      </c>
      <c r="J143" s="153">
        <f>I143*0.2*0.2</f>
        <v>0.48000000000000009</v>
      </c>
      <c r="K143" s="2"/>
    </row>
    <row r="144" spans="1:11">
      <c r="A144" s="2"/>
      <c r="B144" s="168"/>
      <c r="C144" s="154" t="s">
        <v>1256</v>
      </c>
      <c r="D144" s="155"/>
      <c r="E144" s="155"/>
      <c r="F144" s="155" t="s">
        <v>0</v>
      </c>
      <c r="G144" s="156"/>
      <c r="H144" s="157"/>
      <c r="I144" s="158"/>
      <c r="J144" s="169"/>
      <c r="K144" s="2"/>
    </row>
    <row r="145" spans="1:11">
      <c r="A145" s="2"/>
      <c r="B145" s="170"/>
      <c r="C145" s="59" t="s">
        <v>1257</v>
      </c>
      <c r="D145" s="159" t="s">
        <v>1252</v>
      </c>
      <c r="E145" s="159" t="s">
        <v>1253</v>
      </c>
      <c r="F145" s="159" t="s">
        <v>1250</v>
      </c>
      <c r="G145" s="19"/>
      <c r="H145" s="69"/>
      <c r="I145" s="151"/>
      <c r="J145" s="153">
        <f>15.28*3.5</f>
        <v>53.48</v>
      </c>
      <c r="K145" s="2"/>
    </row>
    <row r="146" spans="1:11">
      <c r="A146" s="2"/>
      <c r="K146" s="2"/>
    </row>
    <row r="147" spans="1:11">
      <c r="A147" s="2"/>
      <c r="B147" s="14" t="s">
        <v>158</v>
      </c>
      <c r="C147" s="1005" t="s">
        <v>159</v>
      </c>
      <c r="D147" s="1005"/>
      <c r="E147" s="1005"/>
      <c r="F147" s="1005"/>
      <c r="G147" s="1005"/>
      <c r="H147" s="1005"/>
      <c r="I147" s="1005"/>
      <c r="J147" s="15"/>
      <c r="K147" s="2"/>
    </row>
    <row r="148" spans="1:11">
      <c r="A148" s="2"/>
      <c r="B148" s="60"/>
      <c r="C148" s="150" t="s">
        <v>1223</v>
      </c>
      <c r="D148" s="151" t="s">
        <v>1224</v>
      </c>
      <c r="E148" s="151" t="s">
        <v>1225</v>
      </c>
      <c r="F148" s="151" t="s">
        <v>1226</v>
      </c>
      <c r="G148" s="152"/>
      <c r="H148" s="153"/>
      <c r="I148" s="151" t="s">
        <v>1227</v>
      </c>
      <c r="J148" s="153" t="s">
        <v>1228</v>
      </c>
      <c r="K148" s="2"/>
    </row>
    <row r="149" spans="1:11">
      <c r="A149" s="2"/>
      <c r="B149" s="168"/>
      <c r="C149" s="154" t="s">
        <v>222</v>
      </c>
      <c r="D149" s="155"/>
      <c r="E149" s="155"/>
      <c r="F149" s="155"/>
      <c r="G149" s="156"/>
      <c r="H149" s="157"/>
      <c r="I149" s="158"/>
      <c r="J149" s="169" t="s">
        <v>0</v>
      </c>
      <c r="K149" s="2"/>
    </row>
    <row r="150" spans="1:11">
      <c r="A150" s="2"/>
      <c r="B150" s="60" t="s">
        <v>0</v>
      </c>
      <c r="C150" s="59" t="s">
        <v>1232</v>
      </c>
      <c r="D150" s="159" t="s">
        <v>1230</v>
      </c>
      <c r="E150" s="159" t="s">
        <v>1233</v>
      </c>
      <c r="F150" s="159" t="s">
        <v>1234</v>
      </c>
      <c r="G150" s="19" t="s">
        <v>0</v>
      </c>
      <c r="H150" s="69" t="s">
        <v>0</v>
      </c>
      <c r="I150" s="151">
        <f>$I$374</f>
        <v>33</v>
      </c>
      <c r="J150" s="151">
        <f>$J$374</f>
        <v>55.440000000000005</v>
      </c>
      <c r="K150" s="2"/>
    </row>
    <row r="151" spans="1:11">
      <c r="A151" s="2"/>
      <c r="B151" s="60" t="s">
        <v>0</v>
      </c>
      <c r="C151" s="59" t="s">
        <v>1232</v>
      </c>
      <c r="D151" s="159" t="s">
        <v>1230</v>
      </c>
      <c r="E151" s="159" t="s">
        <v>1233</v>
      </c>
      <c r="F151" s="159" t="s">
        <v>1235</v>
      </c>
      <c r="G151" s="19" t="s">
        <v>0</v>
      </c>
      <c r="H151" s="69" t="s">
        <v>0</v>
      </c>
      <c r="I151" s="151">
        <f>$I$375</f>
        <v>4</v>
      </c>
      <c r="J151" s="151">
        <f>$J$375</f>
        <v>7.5600000000000005</v>
      </c>
      <c r="K151" s="2"/>
    </row>
    <row r="152" spans="1:11">
      <c r="A152" s="2"/>
      <c r="B152" s="60" t="s">
        <v>0</v>
      </c>
      <c r="C152" s="59" t="s">
        <v>1229</v>
      </c>
      <c r="D152" s="159" t="s">
        <v>1230</v>
      </c>
      <c r="E152" s="159" t="s">
        <v>1233</v>
      </c>
      <c r="F152" s="159" t="s">
        <v>1236</v>
      </c>
      <c r="G152" s="19" t="s">
        <v>0</v>
      </c>
      <c r="H152" s="69" t="s">
        <v>0</v>
      </c>
      <c r="I152" s="151">
        <f>$I$376</f>
        <v>15</v>
      </c>
      <c r="J152" s="151">
        <f>$J$376</f>
        <v>37.799999999999997</v>
      </c>
      <c r="K152" s="2"/>
    </row>
    <row r="153" spans="1:11">
      <c r="A153" s="2"/>
      <c r="B153" s="60" t="s">
        <v>0</v>
      </c>
      <c r="C153" s="59" t="s">
        <v>1232</v>
      </c>
      <c r="D153" s="159" t="s">
        <v>1230</v>
      </c>
      <c r="E153" s="159" t="s">
        <v>1240</v>
      </c>
      <c r="F153" s="159" t="s">
        <v>1241</v>
      </c>
      <c r="G153" s="19" t="s">
        <v>0</v>
      </c>
      <c r="H153" s="69" t="s">
        <v>0</v>
      </c>
      <c r="I153" s="151">
        <f>$I$377</f>
        <v>9</v>
      </c>
      <c r="J153" s="153">
        <f>$J$377</f>
        <v>18.900000000000002</v>
      </c>
      <c r="K153" s="2"/>
    </row>
    <row r="154" spans="1:11">
      <c r="A154" s="2"/>
      <c r="B154" s="170"/>
      <c r="C154" s="59" t="s">
        <v>230</v>
      </c>
      <c r="D154" s="159"/>
      <c r="E154" s="159"/>
      <c r="F154" s="159"/>
      <c r="G154" s="19"/>
      <c r="H154" s="69"/>
      <c r="I154" s="151"/>
      <c r="J154" s="153"/>
      <c r="K154" s="2"/>
    </row>
    <row r="155" spans="1:11">
      <c r="A155" s="2"/>
      <c r="B155" s="170"/>
      <c r="C155" s="59" t="s">
        <v>1232</v>
      </c>
      <c r="D155" s="159" t="s">
        <v>1243</v>
      </c>
      <c r="E155" s="159" t="s">
        <v>1244</v>
      </c>
      <c r="F155" s="159" t="s">
        <v>1245</v>
      </c>
      <c r="G155" s="19" t="s">
        <v>0</v>
      </c>
      <c r="H155" s="69"/>
      <c r="I155" s="151">
        <f>$I$379</f>
        <v>10</v>
      </c>
      <c r="J155" s="153">
        <f>$J$379</f>
        <v>10.8</v>
      </c>
      <c r="K155" s="2"/>
    </row>
    <row r="156" spans="1:11">
      <c r="A156" s="2"/>
      <c r="B156" s="168"/>
      <c r="C156" s="154" t="s">
        <v>223</v>
      </c>
      <c r="D156" s="155"/>
      <c r="E156" s="155"/>
      <c r="F156" s="155" t="s">
        <v>0</v>
      </c>
      <c r="G156" s="156"/>
      <c r="H156" s="157"/>
      <c r="I156" s="158"/>
      <c r="J156" s="169"/>
      <c r="K156" s="2"/>
    </row>
    <row r="157" spans="1:11">
      <c r="A157" s="2"/>
      <c r="B157" s="60" t="s">
        <v>0</v>
      </c>
      <c r="C157" s="59" t="s">
        <v>1248</v>
      </c>
      <c r="D157" s="159" t="s">
        <v>1233</v>
      </c>
      <c r="E157" s="159" t="s">
        <v>1249</v>
      </c>
      <c r="F157" s="159" t="s">
        <v>1250</v>
      </c>
      <c r="G157" s="19" t="s">
        <v>0</v>
      </c>
      <c r="H157" s="69" t="s">
        <v>0</v>
      </c>
      <c r="I157" s="162" t="s">
        <v>0</v>
      </c>
      <c r="J157" s="153">
        <f>SUM($J$381:$J$394)</f>
        <v>205.70879999999997</v>
      </c>
      <c r="K157" s="2"/>
    </row>
    <row r="158" spans="1:11">
      <c r="A158" s="2"/>
      <c r="B158" s="170"/>
      <c r="C158" s="59" t="s">
        <v>1251</v>
      </c>
      <c r="D158" s="159" t="s">
        <v>1252</v>
      </c>
      <c r="E158" s="159" t="s">
        <v>1253</v>
      </c>
      <c r="F158" s="159" t="s">
        <v>1250</v>
      </c>
      <c r="G158" s="19"/>
      <c r="H158" s="69"/>
      <c r="I158" s="151">
        <v>4</v>
      </c>
      <c r="J158" s="153">
        <f>I158*0.4</f>
        <v>1.6</v>
      </c>
      <c r="K158" s="2"/>
    </row>
    <row r="159" spans="1:11">
      <c r="A159" s="2"/>
      <c r="B159" s="168"/>
      <c r="C159" s="154" t="s">
        <v>264</v>
      </c>
      <c r="D159" s="155"/>
      <c r="E159" s="155"/>
      <c r="F159" s="155"/>
      <c r="G159" s="156"/>
      <c r="H159" s="157"/>
      <c r="I159" s="158"/>
      <c r="J159" s="169" t="s">
        <v>0</v>
      </c>
      <c r="K159" s="2"/>
    </row>
    <row r="160" spans="1:11">
      <c r="A160" s="2"/>
      <c r="B160" s="170"/>
      <c r="C160" s="59" t="s">
        <v>1255</v>
      </c>
      <c r="D160" s="159" t="s">
        <v>1252</v>
      </c>
      <c r="E160" s="159" t="s">
        <v>824</v>
      </c>
      <c r="F160" s="159" t="s">
        <v>1250</v>
      </c>
      <c r="G160" s="19" t="s">
        <v>0</v>
      </c>
      <c r="H160" s="69" t="s">
        <v>0</v>
      </c>
      <c r="I160" s="151">
        <v>12</v>
      </c>
      <c r="J160" s="153">
        <f>I160*0.2*0.2</f>
        <v>0.48000000000000009</v>
      </c>
      <c r="K160" s="2"/>
    </row>
    <row r="161" spans="1:11">
      <c r="A161" s="2"/>
      <c r="B161" s="168"/>
      <c r="C161" s="154" t="s">
        <v>1256</v>
      </c>
      <c r="D161" s="155"/>
      <c r="E161" s="155"/>
      <c r="F161" s="155" t="s">
        <v>0</v>
      </c>
      <c r="G161" s="156"/>
      <c r="H161" s="157"/>
      <c r="I161" s="158"/>
      <c r="J161" s="169"/>
      <c r="K161" s="2"/>
    </row>
    <row r="162" spans="1:11">
      <c r="A162" s="2"/>
      <c r="B162" s="170"/>
      <c r="C162" s="59" t="s">
        <v>1257</v>
      </c>
      <c r="D162" s="159" t="s">
        <v>1252</v>
      </c>
      <c r="E162" s="159" t="s">
        <v>1253</v>
      </c>
      <c r="F162" s="159" t="s">
        <v>1250</v>
      </c>
      <c r="G162" s="19"/>
      <c r="H162" s="69"/>
      <c r="I162" s="151"/>
      <c r="J162" s="153">
        <f>15.28*3.5</f>
        <v>53.48</v>
      </c>
      <c r="K162" s="2"/>
    </row>
    <row r="163" spans="1:11">
      <c r="A163" s="2"/>
      <c r="K163" s="2"/>
    </row>
    <row r="164" spans="1:11">
      <c r="A164" s="2"/>
      <c r="B164" s="14" t="s">
        <v>160</v>
      </c>
      <c r="C164" s="1005" t="s">
        <v>161</v>
      </c>
      <c r="D164" s="1005"/>
      <c r="E164" s="1005"/>
      <c r="F164" s="1005"/>
      <c r="G164" s="1005"/>
      <c r="H164" s="1005"/>
      <c r="I164" s="1005"/>
      <c r="J164" s="15"/>
      <c r="K164" s="2"/>
    </row>
    <row r="165" spans="1:11">
      <c r="A165" s="2"/>
      <c r="B165" s="60"/>
      <c r="C165" s="150" t="s">
        <v>1223</v>
      </c>
      <c r="D165" s="151" t="s">
        <v>1224</v>
      </c>
      <c r="E165" s="151" t="s">
        <v>1225</v>
      </c>
      <c r="F165" s="151" t="s">
        <v>1226</v>
      </c>
      <c r="G165" s="152"/>
      <c r="H165" s="153"/>
      <c r="I165" s="151" t="s">
        <v>1227</v>
      </c>
      <c r="J165" s="153" t="s">
        <v>1228</v>
      </c>
      <c r="K165" s="2"/>
    </row>
    <row r="166" spans="1:11">
      <c r="A166" s="2"/>
      <c r="B166" s="168"/>
      <c r="C166" s="154" t="s">
        <v>222</v>
      </c>
      <c r="D166" s="155"/>
      <c r="E166" s="155"/>
      <c r="F166" s="155"/>
      <c r="G166" s="156"/>
      <c r="H166" s="157"/>
      <c r="I166" s="158"/>
      <c r="J166" s="169" t="s">
        <v>0</v>
      </c>
      <c r="K166" s="2"/>
    </row>
    <row r="167" spans="1:11">
      <c r="A167" s="2"/>
      <c r="B167" s="60" t="s">
        <v>0</v>
      </c>
      <c r="C167" s="59" t="s">
        <v>1232</v>
      </c>
      <c r="D167" s="159" t="s">
        <v>1230</v>
      </c>
      <c r="E167" s="159" t="s">
        <v>1233</v>
      </c>
      <c r="F167" s="159" t="s">
        <v>1234</v>
      </c>
      <c r="G167" s="19" t="s">
        <v>0</v>
      </c>
      <c r="H167" s="69" t="s">
        <v>0</v>
      </c>
      <c r="I167" s="151">
        <f>$I$374</f>
        <v>33</v>
      </c>
      <c r="J167" s="151">
        <f>$J$374</f>
        <v>55.440000000000005</v>
      </c>
      <c r="K167" s="2"/>
    </row>
    <row r="168" spans="1:11">
      <c r="A168" s="2"/>
      <c r="B168" s="60" t="s">
        <v>0</v>
      </c>
      <c r="C168" s="59" t="s">
        <v>1232</v>
      </c>
      <c r="D168" s="159" t="s">
        <v>1230</v>
      </c>
      <c r="E168" s="159" t="s">
        <v>1233</v>
      </c>
      <c r="F168" s="159" t="s">
        <v>1235</v>
      </c>
      <c r="G168" s="19" t="s">
        <v>0</v>
      </c>
      <c r="H168" s="69" t="s">
        <v>0</v>
      </c>
      <c r="I168" s="151">
        <f>$I$375</f>
        <v>4</v>
      </c>
      <c r="J168" s="151">
        <f>$J$375</f>
        <v>7.5600000000000005</v>
      </c>
      <c r="K168" s="2"/>
    </row>
    <row r="169" spans="1:11">
      <c r="A169" s="2"/>
      <c r="B169" s="60" t="s">
        <v>0</v>
      </c>
      <c r="C169" s="59" t="s">
        <v>1229</v>
      </c>
      <c r="D169" s="159" t="s">
        <v>1230</v>
      </c>
      <c r="E169" s="159" t="s">
        <v>1233</v>
      </c>
      <c r="F169" s="159" t="s">
        <v>1236</v>
      </c>
      <c r="G169" s="19" t="s">
        <v>0</v>
      </c>
      <c r="H169" s="69" t="s">
        <v>0</v>
      </c>
      <c r="I169" s="151">
        <f>$I$376</f>
        <v>15</v>
      </c>
      <c r="J169" s="151">
        <f>$J$376</f>
        <v>37.799999999999997</v>
      </c>
      <c r="K169" s="2"/>
    </row>
    <row r="170" spans="1:11">
      <c r="A170" s="2"/>
      <c r="B170" s="60" t="s">
        <v>0</v>
      </c>
      <c r="C170" s="59" t="s">
        <v>1232</v>
      </c>
      <c r="D170" s="159" t="s">
        <v>1230</v>
      </c>
      <c r="E170" s="159" t="s">
        <v>1240</v>
      </c>
      <c r="F170" s="159" t="s">
        <v>1241</v>
      </c>
      <c r="G170" s="19" t="s">
        <v>0</v>
      </c>
      <c r="H170" s="69" t="s">
        <v>0</v>
      </c>
      <c r="I170" s="151">
        <f>$I$377</f>
        <v>9</v>
      </c>
      <c r="J170" s="153">
        <f>$J$377</f>
        <v>18.900000000000002</v>
      </c>
      <c r="K170" s="2"/>
    </row>
    <row r="171" spans="1:11">
      <c r="A171" s="2"/>
      <c r="B171" s="170"/>
      <c r="C171" s="59" t="s">
        <v>230</v>
      </c>
      <c r="D171" s="159"/>
      <c r="E171" s="159"/>
      <c r="F171" s="159"/>
      <c r="G171" s="19"/>
      <c r="H171" s="69"/>
      <c r="I171" s="151"/>
      <c r="J171" s="153"/>
      <c r="K171" s="2"/>
    </row>
    <row r="172" spans="1:11">
      <c r="A172" s="2"/>
      <c r="B172" s="170"/>
      <c r="C172" s="59" t="s">
        <v>1232</v>
      </c>
      <c r="D172" s="159" t="s">
        <v>1243</v>
      </c>
      <c r="E172" s="159" t="s">
        <v>1244</v>
      </c>
      <c r="F172" s="159" t="s">
        <v>1245</v>
      </c>
      <c r="G172" s="19" t="s">
        <v>0</v>
      </c>
      <c r="H172" s="69"/>
      <c r="I172" s="151">
        <f>$I$379</f>
        <v>10</v>
      </c>
      <c r="J172" s="153">
        <f>$J$379</f>
        <v>10.8</v>
      </c>
      <c r="K172" s="2"/>
    </row>
    <row r="173" spans="1:11">
      <c r="A173" s="2"/>
      <c r="B173" s="168"/>
      <c r="C173" s="154" t="s">
        <v>223</v>
      </c>
      <c r="D173" s="155"/>
      <c r="E173" s="155"/>
      <c r="F173" s="155" t="s">
        <v>0</v>
      </c>
      <c r="G173" s="156"/>
      <c r="H173" s="157"/>
      <c r="I173" s="158"/>
      <c r="J173" s="169"/>
      <c r="K173" s="2"/>
    </row>
    <row r="174" spans="1:11">
      <c r="A174" s="2"/>
      <c r="B174" s="60" t="s">
        <v>0</v>
      </c>
      <c r="C174" s="59" t="s">
        <v>1248</v>
      </c>
      <c r="D174" s="159" t="s">
        <v>1233</v>
      </c>
      <c r="E174" s="159" t="s">
        <v>1249</v>
      </c>
      <c r="F174" s="159" t="s">
        <v>1250</v>
      </c>
      <c r="G174" s="19" t="s">
        <v>0</v>
      </c>
      <c r="H174" s="69" t="s">
        <v>0</v>
      </c>
      <c r="I174" s="162" t="s">
        <v>0</v>
      </c>
      <c r="J174" s="153">
        <f>SUM($J$381:$J$394)</f>
        <v>205.70879999999997</v>
      </c>
      <c r="K174" s="2"/>
    </row>
    <row r="175" spans="1:11">
      <c r="A175" s="2"/>
      <c r="B175" s="170"/>
      <c r="C175" s="59" t="s">
        <v>1251</v>
      </c>
      <c r="D175" s="159" t="s">
        <v>1252</v>
      </c>
      <c r="E175" s="159" t="s">
        <v>1253</v>
      </c>
      <c r="F175" s="159" t="s">
        <v>1250</v>
      </c>
      <c r="G175" s="19"/>
      <c r="H175" s="69"/>
      <c r="I175" s="151">
        <v>4</v>
      </c>
      <c r="J175" s="153">
        <f>I175*0.4</f>
        <v>1.6</v>
      </c>
      <c r="K175" s="2"/>
    </row>
    <row r="176" spans="1:11">
      <c r="A176" s="2"/>
      <c r="B176" s="168"/>
      <c r="C176" s="154" t="s">
        <v>264</v>
      </c>
      <c r="D176" s="155"/>
      <c r="E176" s="155"/>
      <c r="F176" s="155"/>
      <c r="G176" s="156"/>
      <c r="H176" s="157"/>
      <c r="I176" s="158"/>
      <c r="J176" s="169" t="s">
        <v>0</v>
      </c>
      <c r="K176" s="2"/>
    </row>
    <row r="177" spans="1:11">
      <c r="A177" s="2"/>
      <c r="B177" s="170"/>
      <c r="C177" s="59" t="s">
        <v>1255</v>
      </c>
      <c r="D177" s="159" t="s">
        <v>1252</v>
      </c>
      <c r="E177" s="159" t="s">
        <v>824</v>
      </c>
      <c r="F177" s="159" t="s">
        <v>1250</v>
      </c>
      <c r="G177" s="19" t="s">
        <v>0</v>
      </c>
      <c r="H177" s="69" t="s">
        <v>0</v>
      </c>
      <c r="I177" s="151">
        <v>12</v>
      </c>
      <c r="J177" s="153">
        <f>I177*0.2*0.2</f>
        <v>0.48000000000000009</v>
      </c>
      <c r="K177" s="2"/>
    </row>
    <row r="178" spans="1:11">
      <c r="A178" s="2"/>
      <c r="B178" s="168"/>
      <c r="C178" s="154" t="s">
        <v>1256</v>
      </c>
      <c r="D178" s="155"/>
      <c r="E178" s="155"/>
      <c r="F178" s="155" t="s">
        <v>0</v>
      </c>
      <c r="G178" s="156"/>
      <c r="H178" s="157"/>
      <c r="I178" s="158"/>
      <c r="J178" s="169"/>
      <c r="K178" s="2"/>
    </row>
    <row r="179" spans="1:11">
      <c r="A179" s="2"/>
      <c r="B179" s="170"/>
      <c r="C179" s="59" t="s">
        <v>1257</v>
      </c>
      <c r="D179" s="159" t="s">
        <v>1252</v>
      </c>
      <c r="E179" s="159" t="s">
        <v>1253</v>
      </c>
      <c r="F179" s="159" t="s">
        <v>1250</v>
      </c>
      <c r="G179" s="19"/>
      <c r="H179" s="69"/>
      <c r="I179" s="151"/>
      <c r="J179" s="153">
        <f>15.28*3.5</f>
        <v>53.48</v>
      </c>
      <c r="K179" s="2"/>
    </row>
    <row r="180" spans="1:11">
      <c r="A180" s="2"/>
      <c r="K180" s="2"/>
    </row>
    <row r="181" spans="1:11">
      <c r="A181" s="2"/>
      <c r="B181" s="14" t="s">
        <v>162</v>
      </c>
      <c r="C181" s="1005" t="s">
        <v>163</v>
      </c>
      <c r="D181" s="1005"/>
      <c r="E181" s="1005"/>
      <c r="F181" s="1005"/>
      <c r="G181" s="1005"/>
      <c r="H181" s="1005"/>
      <c r="I181" s="1005"/>
      <c r="J181" s="15"/>
      <c r="K181" s="2"/>
    </row>
    <row r="182" spans="1:11">
      <c r="A182" s="2"/>
      <c r="B182" s="60"/>
      <c r="C182" s="150" t="s">
        <v>1223</v>
      </c>
      <c r="D182" s="151" t="s">
        <v>1224</v>
      </c>
      <c r="E182" s="151" t="s">
        <v>1225</v>
      </c>
      <c r="F182" s="151" t="s">
        <v>1226</v>
      </c>
      <c r="G182" s="152"/>
      <c r="H182" s="153"/>
      <c r="I182" s="151" t="s">
        <v>1227</v>
      </c>
      <c r="J182" s="153" t="s">
        <v>1228</v>
      </c>
      <c r="K182" s="2"/>
    </row>
    <row r="183" spans="1:11">
      <c r="A183" s="2"/>
      <c r="B183" s="168"/>
      <c r="C183" s="154" t="s">
        <v>222</v>
      </c>
      <c r="D183" s="155"/>
      <c r="E183" s="155"/>
      <c r="F183" s="155"/>
      <c r="G183" s="156"/>
      <c r="H183" s="157"/>
      <c r="I183" s="158"/>
      <c r="J183" s="169" t="s">
        <v>0</v>
      </c>
      <c r="K183" s="2"/>
    </row>
    <row r="184" spans="1:11">
      <c r="A184" s="2"/>
      <c r="B184" s="60" t="s">
        <v>0</v>
      </c>
      <c r="C184" s="59" t="s">
        <v>1232</v>
      </c>
      <c r="D184" s="159" t="s">
        <v>1230</v>
      </c>
      <c r="E184" s="159" t="s">
        <v>1233</v>
      </c>
      <c r="F184" s="159" t="s">
        <v>1234</v>
      </c>
      <c r="G184" s="19" t="s">
        <v>0</v>
      </c>
      <c r="H184" s="69" t="s">
        <v>0</v>
      </c>
      <c r="I184" s="151">
        <f>I398</f>
        <v>21</v>
      </c>
      <c r="J184" s="151">
        <f>J398</f>
        <v>35.28</v>
      </c>
      <c r="K184" s="2"/>
    </row>
    <row r="185" spans="1:11">
      <c r="A185" s="2"/>
      <c r="B185" s="60" t="s">
        <v>0</v>
      </c>
      <c r="C185" s="59" t="s">
        <v>1232</v>
      </c>
      <c r="D185" s="159" t="s">
        <v>1230</v>
      </c>
      <c r="E185" s="159" t="s">
        <v>1233</v>
      </c>
      <c r="F185" s="159" t="s">
        <v>1235</v>
      </c>
      <c r="G185" s="19" t="s">
        <v>0</v>
      </c>
      <c r="H185" s="69" t="s">
        <v>0</v>
      </c>
      <c r="I185" s="151">
        <f>I399</f>
        <v>4</v>
      </c>
      <c r="J185" s="151">
        <f>J399</f>
        <v>7.5600000000000005</v>
      </c>
      <c r="K185" s="2"/>
    </row>
    <row r="186" spans="1:11">
      <c r="A186" s="2"/>
      <c r="B186" s="60" t="s">
        <v>0</v>
      </c>
      <c r="C186" s="59" t="s">
        <v>1229</v>
      </c>
      <c r="D186" s="159" t="s">
        <v>1230</v>
      </c>
      <c r="E186" s="159" t="s">
        <v>1233</v>
      </c>
      <c r="F186" s="159" t="s">
        <v>1236</v>
      </c>
      <c r="G186" s="19" t="s">
        <v>0</v>
      </c>
      <c r="H186" s="69" t="s">
        <v>0</v>
      </c>
      <c r="I186" s="151">
        <f>I401</f>
        <v>1</v>
      </c>
      <c r="J186" s="151">
        <f>J401</f>
        <v>2.52</v>
      </c>
      <c r="K186" s="2"/>
    </row>
    <row r="187" spans="1:11">
      <c r="A187" s="2"/>
      <c r="B187" s="60" t="s">
        <v>0</v>
      </c>
      <c r="C187" s="59" t="s">
        <v>1229</v>
      </c>
      <c r="D187" s="159" t="s">
        <v>1230</v>
      </c>
      <c r="E187" s="159" t="s">
        <v>1233</v>
      </c>
      <c r="F187" s="159" t="s">
        <v>1237</v>
      </c>
      <c r="G187" s="19" t="s">
        <v>0</v>
      </c>
      <c r="H187" s="69" t="s">
        <v>0</v>
      </c>
      <c r="I187" s="151">
        <f>I400</f>
        <v>5</v>
      </c>
      <c r="J187" s="153">
        <f>J400</f>
        <v>16.8</v>
      </c>
      <c r="K187" s="2"/>
    </row>
    <row r="188" spans="1:11">
      <c r="A188" s="2"/>
      <c r="B188" s="60" t="s">
        <v>0</v>
      </c>
      <c r="C188" s="59" t="s">
        <v>1232</v>
      </c>
      <c r="D188" s="159" t="s">
        <v>1230</v>
      </c>
      <c r="E188" s="159" t="s">
        <v>1240</v>
      </c>
      <c r="F188" s="159" t="s">
        <v>1241</v>
      </c>
      <c r="G188" s="19" t="s">
        <v>0</v>
      </c>
      <c r="H188" s="69" t="s">
        <v>0</v>
      </c>
      <c r="I188" s="151">
        <f>I402</f>
        <v>9</v>
      </c>
      <c r="J188" s="153">
        <f>J402</f>
        <v>18.900000000000002</v>
      </c>
      <c r="K188" s="2"/>
    </row>
    <row r="189" spans="1:11">
      <c r="A189" s="2"/>
      <c r="B189" s="170"/>
      <c r="C189" s="59" t="s">
        <v>230</v>
      </c>
      <c r="D189" s="159"/>
      <c r="E189" s="159"/>
      <c r="F189" s="159"/>
      <c r="G189" s="19"/>
      <c r="H189" s="69"/>
      <c r="I189" s="151"/>
      <c r="J189" s="153"/>
      <c r="K189" s="2"/>
    </row>
    <row r="190" spans="1:11">
      <c r="A190" s="2"/>
      <c r="B190" s="170"/>
      <c r="C190" s="59" t="s">
        <v>1232</v>
      </c>
      <c r="D190" s="159" t="s">
        <v>1243</v>
      </c>
      <c r="E190" s="159" t="s">
        <v>1244</v>
      </c>
      <c r="F190" s="159" t="s">
        <v>1245</v>
      </c>
      <c r="G190" s="19" t="s">
        <v>0</v>
      </c>
      <c r="H190" s="69"/>
      <c r="I190" s="151">
        <f>I404</f>
        <v>10</v>
      </c>
      <c r="J190" s="153">
        <f>J404</f>
        <v>10.8</v>
      </c>
      <c r="K190" s="2"/>
    </row>
    <row r="191" spans="1:11">
      <c r="A191" s="2"/>
      <c r="B191" s="168"/>
      <c r="C191" s="154" t="s">
        <v>223</v>
      </c>
      <c r="D191" s="155"/>
      <c r="E191" s="155"/>
      <c r="F191" s="155" t="s">
        <v>0</v>
      </c>
      <c r="G191" s="156"/>
      <c r="H191" s="157"/>
      <c r="I191" s="158"/>
      <c r="J191" s="169"/>
      <c r="K191" s="2"/>
    </row>
    <row r="192" spans="1:11">
      <c r="A192" s="2"/>
      <c r="B192" s="60" t="s">
        <v>0</v>
      </c>
      <c r="C192" s="59" t="s">
        <v>1248</v>
      </c>
      <c r="D192" s="159" t="s">
        <v>1233</v>
      </c>
      <c r="E192" s="159" t="s">
        <v>1249</v>
      </c>
      <c r="F192" s="159" t="s">
        <v>1250</v>
      </c>
      <c r="G192" s="19" t="s">
        <v>0</v>
      </c>
      <c r="H192" s="69" t="s">
        <v>0</v>
      </c>
      <c r="I192" s="162" t="s">
        <v>0</v>
      </c>
      <c r="J192" s="153">
        <f>SUM(J406:J411)</f>
        <v>200.18879999999999</v>
      </c>
      <c r="K192" s="2"/>
    </row>
    <row r="193" spans="1:11">
      <c r="A193" s="2"/>
      <c r="B193" s="170"/>
      <c r="C193" s="59" t="s">
        <v>1251</v>
      </c>
      <c r="D193" s="159" t="s">
        <v>1252</v>
      </c>
      <c r="E193" s="159" t="s">
        <v>1253</v>
      </c>
      <c r="F193" s="159" t="s">
        <v>1250</v>
      </c>
      <c r="G193" s="19"/>
      <c r="H193" s="69"/>
      <c r="I193" s="151">
        <v>4</v>
      </c>
      <c r="J193" s="153">
        <f>I193*0.4</f>
        <v>1.6</v>
      </c>
      <c r="K193" s="2"/>
    </row>
    <row r="194" spans="1:11">
      <c r="A194" s="2"/>
      <c r="B194" s="168"/>
      <c r="C194" s="154" t="s">
        <v>264</v>
      </c>
      <c r="D194" s="155"/>
      <c r="E194" s="155"/>
      <c r="F194" s="155"/>
      <c r="G194" s="156"/>
      <c r="H194" s="157"/>
      <c r="I194" s="158"/>
      <c r="J194" s="169" t="s">
        <v>0</v>
      </c>
      <c r="K194" s="2"/>
    </row>
    <row r="195" spans="1:11">
      <c r="A195" s="2"/>
      <c r="B195" s="170"/>
      <c r="C195" s="59" t="s">
        <v>269</v>
      </c>
      <c r="D195" s="159" t="s">
        <v>1252</v>
      </c>
      <c r="E195" s="159" t="s">
        <v>824</v>
      </c>
      <c r="F195" s="159" t="s">
        <v>1250</v>
      </c>
      <c r="G195" s="19" t="s">
        <v>0</v>
      </c>
      <c r="H195" s="69" t="s">
        <v>0</v>
      </c>
      <c r="I195" s="151" t="s">
        <v>0</v>
      </c>
      <c r="J195" s="153">
        <f>J413</f>
        <v>1.6500000000000001</v>
      </c>
      <c r="K195" s="2"/>
    </row>
    <row r="196" spans="1:11">
      <c r="A196" s="2"/>
      <c r="B196" s="170"/>
      <c r="C196" s="59" t="s">
        <v>1255</v>
      </c>
      <c r="D196" s="159" t="s">
        <v>1252</v>
      </c>
      <c r="E196" s="159" t="s">
        <v>824</v>
      </c>
      <c r="F196" s="159" t="s">
        <v>1250</v>
      </c>
      <c r="G196" s="19" t="s">
        <v>0</v>
      </c>
      <c r="H196" s="69" t="s">
        <v>0</v>
      </c>
      <c r="I196" s="151">
        <v>12</v>
      </c>
      <c r="J196" s="153">
        <f>I196*0.2*0.2</f>
        <v>0.48000000000000009</v>
      </c>
      <c r="K196" s="2"/>
    </row>
    <row r="197" spans="1:11">
      <c r="A197" s="2"/>
      <c r="B197" s="168"/>
      <c r="C197" s="154" t="s">
        <v>1256</v>
      </c>
      <c r="D197" s="155"/>
      <c r="E197" s="155"/>
      <c r="F197" s="155" t="s">
        <v>0</v>
      </c>
      <c r="G197" s="156"/>
      <c r="H197" s="157"/>
      <c r="I197" s="158"/>
      <c r="J197" s="169"/>
      <c r="K197" s="2"/>
    </row>
    <row r="198" spans="1:11">
      <c r="A198" s="2"/>
      <c r="B198" s="170"/>
      <c r="C198" s="59" t="s">
        <v>1257</v>
      </c>
      <c r="D198" s="159" t="s">
        <v>1252</v>
      </c>
      <c r="E198" s="159" t="s">
        <v>1253</v>
      </c>
      <c r="F198" s="159" t="s">
        <v>1250</v>
      </c>
      <c r="G198" s="19"/>
      <c r="H198" s="69"/>
      <c r="I198" s="151"/>
      <c r="J198" s="153">
        <f>15.28*3.5</f>
        <v>53.48</v>
      </c>
      <c r="K198" s="2"/>
    </row>
    <row r="199" spans="1:11">
      <c r="A199" s="2"/>
      <c r="K199" s="2"/>
    </row>
    <row r="200" spans="1:11">
      <c r="A200" s="2"/>
      <c r="B200" s="14" t="s">
        <v>164</v>
      </c>
      <c r="C200" s="1005" t="s">
        <v>211</v>
      </c>
      <c r="D200" s="1005"/>
      <c r="E200" s="1005"/>
      <c r="F200" s="1005"/>
      <c r="G200" s="1005"/>
      <c r="H200" s="1005"/>
      <c r="I200" s="1005"/>
      <c r="J200" s="15"/>
      <c r="K200" s="2"/>
    </row>
    <row r="201" spans="1:11">
      <c r="A201" s="2"/>
      <c r="B201" s="60"/>
      <c r="C201" s="150" t="s">
        <v>1223</v>
      </c>
      <c r="D201" s="151" t="s">
        <v>1224</v>
      </c>
      <c r="E201" s="151" t="s">
        <v>1225</v>
      </c>
      <c r="F201" s="151" t="s">
        <v>1226</v>
      </c>
      <c r="G201" s="152"/>
      <c r="H201" s="153"/>
      <c r="I201" s="151" t="s">
        <v>1227</v>
      </c>
      <c r="J201" s="153" t="s">
        <v>1228</v>
      </c>
      <c r="K201" s="2"/>
    </row>
    <row r="202" spans="1:11">
      <c r="A202" s="2"/>
      <c r="B202" s="168"/>
      <c r="C202" s="154" t="s">
        <v>222</v>
      </c>
      <c r="D202" s="155"/>
      <c r="E202" s="155"/>
      <c r="F202" s="155"/>
      <c r="G202" s="156"/>
      <c r="H202" s="157"/>
      <c r="I202" s="158"/>
      <c r="J202" s="169" t="s">
        <v>0</v>
      </c>
      <c r="K202" s="2"/>
    </row>
    <row r="203" spans="1:11">
      <c r="A203" s="2"/>
      <c r="B203" s="60" t="s">
        <v>0</v>
      </c>
      <c r="C203" s="59" t="s">
        <v>1229</v>
      </c>
      <c r="D203" s="159" t="s">
        <v>1230</v>
      </c>
      <c r="E203" s="159" t="s">
        <v>1233</v>
      </c>
      <c r="F203" s="159" t="s">
        <v>1237</v>
      </c>
      <c r="G203" s="19" t="s">
        <v>0</v>
      </c>
      <c r="H203" s="69" t="s">
        <v>0</v>
      </c>
      <c r="I203" s="151">
        <f>I417</f>
        <v>1</v>
      </c>
      <c r="J203" s="153">
        <f>J417</f>
        <v>3.3600000000000003</v>
      </c>
      <c r="K203" s="2"/>
    </row>
    <row r="204" spans="1:11">
      <c r="A204" s="2"/>
      <c r="B204" s="168"/>
      <c r="C204" s="154" t="s">
        <v>223</v>
      </c>
      <c r="D204" s="155"/>
      <c r="E204" s="155"/>
      <c r="F204" s="155" t="s">
        <v>0</v>
      </c>
      <c r="G204" s="156"/>
      <c r="H204" s="157"/>
      <c r="I204" s="158"/>
      <c r="J204" s="169"/>
      <c r="K204" s="2"/>
    </row>
    <row r="205" spans="1:11">
      <c r="A205" s="2"/>
      <c r="B205" s="60" t="s">
        <v>0</v>
      </c>
      <c r="C205" s="59" t="s">
        <v>1248</v>
      </c>
      <c r="D205" s="159" t="s">
        <v>1233</v>
      </c>
      <c r="E205" s="159" t="s">
        <v>1249</v>
      </c>
      <c r="F205" s="159" t="s">
        <v>1250</v>
      </c>
      <c r="G205" s="19" t="s">
        <v>0</v>
      </c>
      <c r="H205" s="69" t="s">
        <v>0</v>
      </c>
      <c r="I205" s="162" t="s">
        <v>0</v>
      </c>
      <c r="J205" s="153">
        <f>J419</f>
        <v>4.8</v>
      </c>
      <c r="K205" s="2"/>
    </row>
    <row r="206" spans="1:11">
      <c r="A206" s="2"/>
      <c r="B206" s="30"/>
      <c r="C206" s="31"/>
      <c r="D206" s="32"/>
      <c r="E206" s="32"/>
      <c r="F206" s="32"/>
      <c r="G206" s="13"/>
      <c r="H206" s="33"/>
      <c r="I206" s="32"/>
      <c r="J206" s="34"/>
      <c r="K206" s="2"/>
    </row>
    <row r="207" spans="1:11" ht="16.2" thickBot="1">
      <c r="A207" s="2"/>
      <c r="B207" s="30"/>
      <c r="C207" s="31"/>
      <c r="D207" s="32"/>
      <c r="E207" s="32"/>
      <c r="F207" s="32"/>
      <c r="G207" s="13"/>
      <c r="H207" s="33"/>
      <c r="I207" s="32"/>
      <c r="J207" s="34"/>
      <c r="K207" s="2"/>
    </row>
    <row r="208" spans="1:11">
      <c r="A208" s="2"/>
      <c r="B208" s="4"/>
      <c r="C208" s="5"/>
      <c r="D208" s="5"/>
      <c r="E208" s="5"/>
      <c r="F208" s="5"/>
      <c r="G208" s="5"/>
      <c r="H208" s="177"/>
      <c r="I208" s="177"/>
      <c r="J208" s="178"/>
      <c r="K208" s="2"/>
    </row>
    <row r="209" spans="1:11" ht="17.399999999999999">
      <c r="A209" s="2"/>
      <c r="B209" s="1019" t="s">
        <v>191</v>
      </c>
      <c r="C209" s="1020"/>
      <c r="D209" s="1020"/>
      <c r="E209" s="1020"/>
      <c r="F209" s="1020"/>
      <c r="G209" s="1020"/>
      <c r="H209" s="1020"/>
      <c r="I209" s="1020"/>
      <c r="J209" s="1021"/>
      <c r="K209" s="2"/>
    </row>
    <row r="210" spans="1:11" ht="16.2" thickBot="1">
      <c r="A210" s="2"/>
      <c r="B210" s="7"/>
      <c r="C210" s="8"/>
      <c r="D210" s="8"/>
      <c r="E210" s="8"/>
      <c r="F210" s="8"/>
      <c r="G210" s="8"/>
      <c r="H210" s="179"/>
      <c r="I210" s="179"/>
      <c r="J210" s="180"/>
      <c r="K210" s="2"/>
    </row>
    <row r="211" spans="1:11">
      <c r="A211" s="2"/>
      <c r="B211" s="30"/>
      <c r="C211" s="31"/>
      <c r="D211" s="32"/>
      <c r="E211" s="32"/>
      <c r="F211" s="32"/>
      <c r="G211" s="13"/>
      <c r="H211" s="33"/>
      <c r="I211" s="32"/>
      <c r="J211" s="34"/>
      <c r="K211" s="2"/>
    </row>
    <row r="212" spans="1:11">
      <c r="A212" s="2"/>
      <c r="B212" s="10" t="s">
        <v>1</v>
      </c>
      <c r="C212" s="10" t="s">
        <v>2</v>
      </c>
      <c r="D212" s="10" t="s">
        <v>3</v>
      </c>
      <c r="E212" s="10" t="s">
        <v>4</v>
      </c>
      <c r="F212" s="10" t="s">
        <v>5</v>
      </c>
      <c r="G212" s="10" t="s">
        <v>6</v>
      </c>
      <c r="H212" s="181" t="s">
        <v>7</v>
      </c>
      <c r="I212" s="181" t="s">
        <v>8</v>
      </c>
      <c r="J212" s="181" t="s">
        <v>9</v>
      </c>
      <c r="K212" s="2"/>
    </row>
    <row r="213" spans="1:11">
      <c r="A213" s="2"/>
      <c r="K213" s="2"/>
    </row>
    <row r="214" spans="1:11">
      <c r="A214" s="2"/>
      <c r="B214" s="14" t="s">
        <v>86</v>
      </c>
      <c r="C214" s="1005" t="s">
        <v>103</v>
      </c>
      <c r="D214" s="1005"/>
      <c r="E214" s="1005"/>
      <c r="F214" s="1005"/>
      <c r="G214" s="1005"/>
      <c r="H214" s="1005"/>
      <c r="I214" s="1005"/>
      <c r="J214" s="15"/>
      <c r="K214" s="2"/>
    </row>
    <row r="215" spans="1:11">
      <c r="A215" s="2"/>
      <c r="B215" s="61"/>
      <c r="C215" s="62" t="s">
        <v>222</v>
      </c>
      <c r="D215" s="63"/>
      <c r="E215" s="63"/>
      <c r="F215" s="63"/>
      <c r="G215" s="64"/>
      <c r="H215" s="65"/>
      <c r="I215" s="63"/>
      <c r="J215" s="66" t="s">
        <v>0</v>
      </c>
      <c r="K215" s="2"/>
    </row>
    <row r="216" spans="1:11">
      <c r="A216" s="16"/>
      <c r="B216" s="60" t="s">
        <v>227</v>
      </c>
      <c r="C216" s="59" t="s">
        <v>231</v>
      </c>
      <c r="D216" s="18">
        <v>2</v>
      </c>
      <c r="E216" s="18" t="s">
        <v>0</v>
      </c>
      <c r="F216" s="18">
        <v>2.1</v>
      </c>
      <c r="G216" s="19">
        <f>PRODUCT(D216,E216,F216)</f>
        <v>4.2</v>
      </c>
      <c r="H216" s="69">
        <v>0</v>
      </c>
      <c r="I216" s="18">
        <v>2</v>
      </c>
      <c r="J216" s="20">
        <f t="shared" ref="J216:J222" si="3">IF(G216&gt;0,G216*I216,H216*I216)</f>
        <v>8.4</v>
      </c>
      <c r="K216" s="16"/>
    </row>
    <row r="217" spans="1:11">
      <c r="A217" s="16"/>
      <c r="B217" s="60" t="s">
        <v>218</v>
      </c>
      <c r="C217" s="59" t="s">
        <v>236</v>
      </c>
      <c r="D217" s="18">
        <v>0.8</v>
      </c>
      <c r="E217" s="18" t="s">
        <v>0</v>
      </c>
      <c r="F217" s="18">
        <f t="shared" ref="F217:F222" si="4">$F$216</f>
        <v>2.1</v>
      </c>
      <c r="G217" s="19">
        <f t="shared" ref="G217:G226" si="5">PRODUCT(D217,E217,F217)</f>
        <v>1.6800000000000002</v>
      </c>
      <c r="H217" s="69">
        <v>0</v>
      </c>
      <c r="I217" s="18">
        <v>35</v>
      </c>
      <c r="J217" s="20">
        <f t="shared" si="3"/>
        <v>58.800000000000004</v>
      </c>
      <c r="K217" s="16"/>
    </row>
    <row r="218" spans="1:11">
      <c r="A218" s="16"/>
      <c r="B218" s="60" t="s">
        <v>219</v>
      </c>
      <c r="C218" s="59" t="s">
        <v>237</v>
      </c>
      <c r="D218" s="18">
        <v>0.9</v>
      </c>
      <c r="E218" s="18" t="s">
        <v>0</v>
      </c>
      <c r="F218" s="18">
        <f t="shared" si="4"/>
        <v>2.1</v>
      </c>
      <c r="G218" s="19">
        <f t="shared" si="5"/>
        <v>1.8900000000000001</v>
      </c>
      <c r="H218" s="69">
        <v>0</v>
      </c>
      <c r="I218" s="18">
        <v>6</v>
      </c>
      <c r="J218" s="20">
        <f t="shared" si="3"/>
        <v>11.34</v>
      </c>
      <c r="K218" s="16"/>
    </row>
    <row r="219" spans="1:11">
      <c r="A219" s="16"/>
      <c r="B219" s="60" t="s">
        <v>220</v>
      </c>
      <c r="C219" s="59" t="s">
        <v>238</v>
      </c>
      <c r="D219" s="18">
        <v>1.6</v>
      </c>
      <c r="E219" s="18" t="s">
        <v>0</v>
      </c>
      <c r="F219" s="18">
        <f t="shared" si="4"/>
        <v>2.1</v>
      </c>
      <c r="G219" s="19">
        <f t="shared" si="5"/>
        <v>3.3600000000000003</v>
      </c>
      <c r="H219" s="69">
        <v>0</v>
      </c>
      <c r="I219" s="18">
        <v>13</v>
      </c>
      <c r="J219" s="20">
        <f t="shared" si="3"/>
        <v>43.680000000000007</v>
      </c>
      <c r="K219" s="16"/>
    </row>
    <row r="220" spans="1:11">
      <c r="A220" s="16"/>
      <c r="B220" s="60" t="s">
        <v>221</v>
      </c>
      <c r="C220" s="59" t="s">
        <v>238</v>
      </c>
      <c r="D220" s="18">
        <v>1.6</v>
      </c>
      <c r="E220" s="18" t="s">
        <v>0</v>
      </c>
      <c r="F220" s="18">
        <f t="shared" si="4"/>
        <v>2.1</v>
      </c>
      <c r="G220" s="19">
        <f t="shared" si="5"/>
        <v>3.3600000000000003</v>
      </c>
      <c r="H220" s="69">
        <v>0</v>
      </c>
      <c r="I220" s="18">
        <v>3</v>
      </c>
      <c r="J220" s="20">
        <f t="shared" si="3"/>
        <v>10.080000000000002</v>
      </c>
      <c r="K220" s="16"/>
    </row>
    <row r="221" spans="1:11">
      <c r="A221" s="16"/>
      <c r="B221" s="60" t="s">
        <v>228</v>
      </c>
      <c r="C221" s="59" t="s">
        <v>232</v>
      </c>
      <c r="D221" s="18">
        <v>1</v>
      </c>
      <c r="E221" s="18" t="s">
        <v>0</v>
      </c>
      <c r="F221" s="18">
        <f t="shared" si="4"/>
        <v>2.1</v>
      </c>
      <c r="G221" s="19">
        <f t="shared" si="5"/>
        <v>2.1</v>
      </c>
      <c r="H221" s="69">
        <v>0</v>
      </c>
      <c r="I221" s="18">
        <v>8</v>
      </c>
      <c r="J221" s="20">
        <f t="shared" si="3"/>
        <v>16.8</v>
      </c>
      <c r="K221" s="16"/>
    </row>
    <row r="222" spans="1:11">
      <c r="A222" s="16"/>
      <c r="B222" s="60" t="s">
        <v>229</v>
      </c>
      <c r="C222" s="59" t="s">
        <v>233</v>
      </c>
      <c r="D222" s="18">
        <v>1</v>
      </c>
      <c r="E222" s="18" t="s">
        <v>0</v>
      </c>
      <c r="F222" s="18">
        <f t="shared" si="4"/>
        <v>2.1</v>
      </c>
      <c r="G222" s="19">
        <f t="shared" si="5"/>
        <v>2.1</v>
      </c>
      <c r="H222" s="69">
        <v>0</v>
      </c>
      <c r="I222" s="18">
        <v>3</v>
      </c>
      <c r="J222" s="20">
        <f t="shared" si="3"/>
        <v>6.3000000000000007</v>
      </c>
      <c r="K222" s="16"/>
    </row>
    <row r="223" spans="1:11">
      <c r="A223" s="16"/>
      <c r="B223" s="61"/>
      <c r="C223" s="62" t="s">
        <v>230</v>
      </c>
      <c r="D223" s="63"/>
      <c r="E223" s="63"/>
      <c r="F223" s="63"/>
      <c r="G223" s="64"/>
      <c r="H223" s="65"/>
      <c r="I223" s="63"/>
      <c r="J223" s="66"/>
      <c r="K223" s="16"/>
    </row>
    <row r="224" spans="1:11">
      <c r="A224" s="16"/>
      <c r="B224" s="220" t="s">
        <v>1375</v>
      </c>
      <c r="C224" s="59" t="s">
        <v>239</v>
      </c>
      <c r="D224" s="18">
        <v>0.6</v>
      </c>
      <c r="E224" s="18" t="s">
        <v>0</v>
      </c>
      <c r="F224" s="18">
        <v>1.8</v>
      </c>
      <c r="G224" s="19">
        <f t="shared" si="5"/>
        <v>1.08</v>
      </c>
      <c r="H224" s="69">
        <v>0</v>
      </c>
      <c r="I224" s="18">
        <v>22</v>
      </c>
      <c r="J224" s="20">
        <f>IF(G224&gt;0,G224*I224,H224*I224)</f>
        <v>23.76</v>
      </c>
      <c r="K224" s="16"/>
    </row>
    <row r="225" spans="1:11">
      <c r="A225" s="16"/>
      <c r="B225" s="220" t="s">
        <v>1376</v>
      </c>
      <c r="C225" s="59" t="s">
        <v>236</v>
      </c>
      <c r="D225" s="18">
        <v>0.6</v>
      </c>
      <c r="E225" s="18" t="s">
        <v>0</v>
      </c>
      <c r="F225" s="18">
        <f>$F$224</f>
        <v>1.8</v>
      </c>
      <c r="G225" s="19">
        <f t="shared" si="5"/>
        <v>1.08</v>
      </c>
      <c r="H225" s="69">
        <v>0</v>
      </c>
      <c r="I225" s="18">
        <v>4</v>
      </c>
      <c r="J225" s="20">
        <f>IF(G225&gt;0,G225*I225,H225*I225)</f>
        <v>4.32</v>
      </c>
      <c r="K225" s="16"/>
    </row>
    <row r="226" spans="1:11">
      <c r="A226" s="16"/>
      <c r="B226" s="220" t="s">
        <v>1378</v>
      </c>
      <c r="C226" s="59" t="s">
        <v>237</v>
      </c>
      <c r="D226" s="18">
        <v>0.9</v>
      </c>
      <c r="E226" s="18" t="s">
        <v>0</v>
      </c>
      <c r="F226" s="18">
        <f>$F$224</f>
        <v>1.8</v>
      </c>
      <c r="G226" s="19">
        <f t="shared" si="5"/>
        <v>1.62</v>
      </c>
      <c r="H226" s="69">
        <v>0</v>
      </c>
      <c r="I226" s="18">
        <v>2</v>
      </c>
      <c r="J226" s="20">
        <f>IF(G226&gt;0,G226*I226,H226*I226)</f>
        <v>3.24</v>
      </c>
      <c r="K226" s="16"/>
    </row>
    <row r="227" spans="1:11">
      <c r="A227" s="16"/>
      <c r="B227" s="61"/>
      <c r="C227" s="62" t="s">
        <v>223</v>
      </c>
      <c r="D227" s="63"/>
      <c r="E227" s="63"/>
      <c r="F227" s="63" t="s">
        <v>0</v>
      </c>
      <c r="G227" s="64"/>
      <c r="H227" s="65"/>
      <c r="I227" s="182"/>
      <c r="J227" s="66" t="s">
        <v>0</v>
      </c>
      <c r="K227" s="16"/>
    </row>
    <row r="228" spans="1:11">
      <c r="A228" s="16"/>
      <c r="B228" s="60" t="s">
        <v>241</v>
      </c>
      <c r="C228" s="59" t="s">
        <v>240</v>
      </c>
      <c r="D228" s="18">
        <v>2.1</v>
      </c>
      <c r="E228" s="18" t="s">
        <v>0</v>
      </c>
      <c r="F228" s="18">
        <v>1</v>
      </c>
      <c r="G228" s="19">
        <f t="shared" ref="G228:G255" si="6">PRODUCT(D228,E228,F228)</f>
        <v>2.1</v>
      </c>
      <c r="H228" s="69">
        <v>0</v>
      </c>
      <c r="I228" s="18">
        <v>2</v>
      </c>
      <c r="J228" s="20">
        <f t="shared" ref="J228:J254" si="7">IF(G228&gt;0,G228*I228,H228*I228)</f>
        <v>4.2</v>
      </c>
      <c r="K228" s="16"/>
    </row>
    <row r="229" spans="1:11">
      <c r="A229" s="16"/>
      <c r="B229" s="60" t="s">
        <v>242</v>
      </c>
      <c r="C229" s="59" t="s">
        <v>240</v>
      </c>
      <c r="D229" s="18">
        <v>4</v>
      </c>
      <c r="E229" s="18" t="s">
        <v>0</v>
      </c>
      <c r="F229" s="18">
        <v>0.6</v>
      </c>
      <c r="G229" s="19">
        <f t="shared" si="6"/>
        <v>2.4</v>
      </c>
      <c r="H229" s="69">
        <v>0</v>
      </c>
      <c r="I229" s="18">
        <v>2</v>
      </c>
      <c r="J229" s="20">
        <f t="shared" si="7"/>
        <v>4.8</v>
      </c>
      <c r="K229" s="16"/>
    </row>
    <row r="230" spans="1:11">
      <c r="A230" s="16"/>
      <c r="B230" s="60" t="s">
        <v>243</v>
      </c>
      <c r="C230" s="59" t="s">
        <v>240</v>
      </c>
      <c r="D230" s="18">
        <v>4.7</v>
      </c>
      <c r="E230" s="18" t="s">
        <v>0</v>
      </c>
      <c r="F230" s="18">
        <v>1</v>
      </c>
      <c r="G230" s="19">
        <f t="shared" si="6"/>
        <v>4.7</v>
      </c>
      <c r="H230" s="69">
        <v>0</v>
      </c>
      <c r="I230" s="18">
        <v>1</v>
      </c>
      <c r="J230" s="20">
        <f t="shared" si="7"/>
        <v>4.7</v>
      </c>
      <c r="K230" s="16"/>
    </row>
    <row r="231" spans="1:11">
      <c r="A231" s="16"/>
      <c r="B231" s="60" t="s">
        <v>244</v>
      </c>
      <c r="C231" s="59" t="s">
        <v>240</v>
      </c>
      <c r="D231" s="18">
        <v>3.95</v>
      </c>
      <c r="E231" s="18" t="s">
        <v>0</v>
      </c>
      <c r="F231" s="18">
        <v>1</v>
      </c>
      <c r="G231" s="19">
        <f t="shared" si="6"/>
        <v>3.95</v>
      </c>
      <c r="H231" s="69">
        <v>0</v>
      </c>
      <c r="I231" s="18">
        <v>1</v>
      </c>
      <c r="J231" s="20">
        <f t="shared" si="7"/>
        <v>3.95</v>
      </c>
      <c r="K231" s="16"/>
    </row>
    <row r="232" spans="1:11">
      <c r="A232" s="16"/>
      <c r="B232" s="60" t="s">
        <v>245</v>
      </c>
      <c r="C232" s="59" t="s">
        <v>240</v>
      </c>
      <c r="D232" s="18">
        <v>2.5</v>
      </c>
      <c r="E232" s="18" t="s">
        <v>0</v>
      </c>
      <c r="F232" s="18">
        <v>1</v>
      </c>
      <c r="G232" s="19">
        <f t="shared" si="6"/>
        <v>2.5</v>
      </c>
      <c r="H232" s="69">
        <v>0</v>
      </c>
      <c r="I232" s="18">
        <v>1</v>
      </c>
      <c r="J232" s="20">
        <f t="shared" si="7"/>
        <v>2.5</v>
      </c>
      <c r="K232" s="16"/>
    </row>
    <row r="233" spans="1:11">
      <c r="A233" s="16"/>
      <c r="B233" s="60" t="s">
        <v>246</v>
      </c>
      <c r="C233" s="59" t="s">
        <v>240</v>
      </c>
      <c r="D233" s="18">
        <v>3.95</v>
      </c>
      <c r="E233" s="18" t="s">
        <v>0</v>
      </c>
      <c r="F233" s="18">
        <v>1</v>
      </c>
      <c r="G233" s="19">
        <f t="shared" si="6"/>
        <v>3.95</v>
      </c>
      <c r="H233" s="69">
        <v>0</v>
      </c>
      <c r="I233" s="18">
        <v>1</v>
      </c>
      <c r="J233" s="20">
        <f t="shared" si="7"/>
        <v>3.95</v>
      </c>
      <c r="K233" s="16"/>
    </row>
    <row r="234" spans="1:11">
      <c r="A234" s="16"/>
      <c r="B234" s="60" t="s">
        <v>247</v>
      </c>
      <c r="C234" s="59" t="s">
        <v>240</v>
      </c>
      <c r="D234" s="18">
        <v>2.8</v>
      </c>
      <c r="E234" s="18" t="s">
        <v>0</v>
      </c>
      <c r="F234" s="18">
        <v>1</v>
      </c>
      <c r="G234" s="19">
        <f t="shared" si="6"/>
        <v>2.8</v>
      </c>
      <c r="H234" s="69">
        <v>0</v>
      </c>
      <c r="I234" s="18">
        <v>1</v>
      </c>
      <c r="J234" s="20">
        <f t="shared" si="7"/>
        <v>2.8</v>
      </c>
      <c r="K234" s="16"/>
    </row>
    <row r="235" spans="1:11">
      <c r="A235" s="16"/>
      <c r="B235" s="60" t="s">
        <v>248</v>
      </c>
      <c r="C235" s="59" t="s">
        <v>240</v>
      </c>
      <c r="D235" s="18">
        <v>4</v>
      </c>
      <c r="E235" s="18" t="s">
        <v>0</v>
      </c>
      <c r="F235" s="18">
        <v>1</v>
      </c>
      <c r="G235" s="19">
        <f t="shared" si="6"/>
        <v>4</v>
      </c>
      <c r="H235" s="69">
        <v>0</v>
      </c>
      <c r="I235" s="18">
        <v>1</v>
      </c>
      <c r="J235" s="20">
        <f t="shared" si="7"/>
        <v>4</v>
      </c>
      <c r="K235" s="16"/>
    </row>
    <row r="236" spans="1:11">
      <c r="A236" s="16"/>
      <c r="B236" s="60" t="s">
        <v>249</v>
      </c>
      <c r="C236" s="59" t="s">
        <v>240</v>
      </c>
      <c r="D236" s="18">
        <v>3.7</v>
      </c>
      <c r="E236" s="18" t="s">
        <v>0</v>
      </c>
      <c r="F236" s="18">
        <v>1</v>
      </c>
      <c r="G236" s="19">
        <f t="shared" si="6"/>
        <v>3.7</v>
      </c>
      <c r="H236" s="69">
        <v>0</v>
      </c>
      <c r="I236" s="18">
        <v>2</v>
      </c>
      <c r="J236" s="20">
        <f t="shared" si="7"/>
        <v>7.4</v>
      </c>
      <c r="K236" s="16"/>
    </row>
    <row r="237" spans="1:11">
      <c r="A237" s="16"/>
      <c r="B237" s="60" t="s">
        <v>250</v>
      </c>
      <c r="C237" s="59" t="s">
        <v>240</v>
      </c>
      <c r="D237" s="18">
        <v>7</v>
      </c>
      <c r="E237" s="18" t="s">
        <v>0</v>
      </c>
      <c r="F237" s="18">
        <v>1</v>
      </c>
      <c r="G237" s="19">
        <f t="shared" si="6"/>
        <v>7</v>
      </c>
      <c r="H237" s="69">
        <v>0</v>
      </c>
      <c r="I237" s="18">
        <v>1</v>
      </c>
      <c r="J237" s="20">
        <f t="shared" si="7"/>
        <v>7</v>
      </c>
      <c r="K237" s="16"/>
    </row>
    <row r="238" spans="1:11">
      <c r="A238" s="16"/>
      <c r="B238" s="60" t="s">
        <v>251</v>
      </c>
      <c r="C238" s="59" t="s">
        <v>240</v>
      </c>
      <c r="D238" s="18">
        <v>3</v>
      </c>
      <c r="E238" s="18" t="s">
        <v>0</v>
      </c>
      <c r="F238" s="18">
        <v>1</v>
      </c>
      <c r="G238" s="19">
        <f t="shared" si="6"/>
        <v>3</v>
      </c>
      <c r="H238" s="69">
        <v>0</v>
      </c>
      <c r="I238" s="18">
        <v>1</v>
      </c>
      <c r="J238" s="20">
        <f t="shared" si="7"/>
        <v>3</v>
      </c>
      <c r="K238" s="16"/>
    </row>
    <row r="239" spans="1:11">
      <c r="A239" s="16"/>
      <c r="B239" s="60" t="s">
        <v>252</v>
      </c>
      <c r="C239" s="59" t="s">
        <v>240</v>
      </c>
      <c r="D239" s="18">
        <v>3.65</v>
      </c>
      <c r="E239" s="18" t="s">
        <v>0</v>
      </c>
      <c r="F239" s="18">
        <v>1</v>
      </c>
      <c r="G239" s="19">
        <f t="shared" si="6"/>
        <v>3.65</v>
      </c>
      <c r="H239" s="69">
        <v>0</v>
      </c>
      <c r="I239" s="18">
        <v>1</v>
      </c>
      <c r="J239" s="20">
        <f t="shared" si="7"/>
        <v>3.65</v>
      </c>
      <c r="K239" s="16"/>
    </row>
    <row r="240" spans="1:11">
      <c r="A240" s="16"/>
      <c r="B240" s="60" t="s">
        <v>253</v>
      </c>
      <c r="C240" s="59" t="s">
        <v>240</v>
      </c>
      <c r="D240" s="18">
        <v>2.5</v>
      </c>
      <c r="E240" s="18" t="s">
        <v>0</v>
      </c>
      <c r="F240" s="18">
        <v>1</v>
      </c>
      <c r="G240" s="19">
        <f t="shared" si="6"/>
        <v>2.5</v>
      </c>
      <c r="H240" s="69">
        <v>0</v>
      </c>
      <c r="I240" s="18">
        <v>1</v>
      </c>
      <c r="J240" s="20">
        <f t="shared" si="7"/>
        <v>2.5</v>
      </c>
      <c r="K240" s="16"/>
    </row>
    <row r="241" spans="1:11">
      <c r="A241" s="16"/>
      <c r="B241" s="60" t="s">
        <v>254</v>
      </c>
      <c r="C241" s="59" t="s">
        <v>240</v>
      </c>
      <c r="D241" s="18">
        <v>4</v>
      </c>
      <c r="E241" s="18" t="s">
        <v>0</v>
      </c>
      <c r="F241" s="18">
        <v>1</v>
      </c>
      <c r="G241" s="19">
        <f t="shared" si="6"/>
        <v>4</v>
      </c>
      <c r="H241" s="69">
        <v>0</v>
      </c>
      <c r="I241" s="18">
        <v>1</v>
      </c>
      <c r="J241" s="20">
        <f t="shared" si="7"/>
        <v>4</v>
      </c>
      <c r="K241" s="16"/>
    </row>
    <row r="242" spans="1:11">
      <c r="A242" s="16"/>
      <c r="B242" s="60" t="s">
        <v>255</v>
      </c>
      <c r="C242" s="59" t="s">
        <v>240</v>
      </c>
      <c r="D242" s="18">
        <v>5.45</v>
      </c>
      <c r="E242" s="18" t="s">
        <v>0</v>
      </c>
      <c r="F242" s="18">
        <v>1</v>
      </c>
      <c r="G242" s="19">
        <f t="shared" si="6"/>
        <v>5.45</v>
      </c>
      <c r="H242" s="69">
        <v>0</v>
      </c>
      <c r="I242" s="18">
        <v>1</v>
      </c>
      <c r="J242" s="20">
        <f t="shared" si="7"/>
        <v>5.45</v>
      </c>
      <c r="K242" s="16"/>
    </row>
    <row r="243" spans="1:11">
      <c r="A243" s="16"/>
      <c r="B243" s="60" t="s">
        <v>256</v>
      </c>
      <c r="C243" s="59" t="s">
        <v>240</v>
      </c>
      <c r="D243" s="18">
        <v>5.3</v>
      </c>
      <c r="E243" s="18" t="s">
        <v>0</v>
      </c>
      <c r="F243" s="18">
        <v>1</v>
      </c>
      <c r="G243" s="19">
        <f t="shared" si="6"/>
        <v>5.3</v>
      </c>
      <c r="H243" s="69">
        <v>0</v>
      </c>
      <c r="I243" s="18">
        <v>1</v>
      </c>
      <c r="J243" s="20">
        <f t="shared" si="7"/>
        <v>5.3</v>
      </c>
      <c r="K243" s="16"/>
    </row>
    <row r="244" spans="1:11">
      <c r="A244" s="16"/>
      <c r="B244" s="60" t="s">
        <v>257</v>
      </c>
      <c r="C244" s="59" t="s">
        <v>240</v>
      </c>
      <c r="D244" s="18">
        <v>13</v>
      </c>
      <c r="E244" s="18" t="s">
        <v>0</v>
      </c>
      <c r="F244" s="18">
        <v>1</v>
      </c>
      <c r="G244" s="19">
        <f t="shared" si="6"/>
        <v>13</v>
      </c>
      <c r="H244" s="69">
        <v>0</v>
      </c>
      <c r="I244" s="18">
        <v>1</v>
      </c>
      <c r="J244" s="20">
        <f t="shared" si="7"/>
        <v>13</v>
      </c>
      <c r="K244" s="16"/>
    </row>
    <row r="245" spans="1:11">
      <c r="A245" s="16"/>
      <c r="B245" s="60" t="s">
        <v>258</v>
      </c>
      <c r="C245" s="59" t="s">
        <v>240</v>
      </c>
      <c r="D245" s="18">
        <v>5</v>
      </c>
      <c r="E245" s="18" t="s">
        <v>0</v>
      </c>
      <c r="F245" s="18">
        <v>1</v>
      </c>
      <c r="G245" s="19">
        <f t="shared" si="6"/>
        <v>5</v>
      </c>
      <c r="H245" s="69">
        <v>0</v>
      </c>
      <c r="I245" s="18">
        <v>2</v>
      </c>
      <c r="J245" s="20">
        <f t="shared" si="7"/>
        <v>10</v>
      </c>
      <c r="K245" s="16"/>
    </row>
    <row r="246" spans="1:11">
      <c r="A246" s="16"/>
      <c r="B246" s="60" t="s">
        <v>259</v>
      </c>
      <c r="C246" s="59" t="s">
        <v>240</v>
      </c>
      <c r="D246" s="18">
        <v>4.25</v>
      </c>
      <c r="E246" s="18" t="s">
        <v>0</v>
      </c>
      <c r="F246" s="18">
        <v>1</v>
      </c>
      <c r="G246" s="19">
        <f t="shared" si="6"/>
        <v>4.25</v>
      </c>
      <c r="H246" s="69">
        <v>0</v>
      </c>
      <c r="I246" s="18">
        <v>1</v>
      </c>
      <c r="J246" s="20">
        <f t="shared" si="7"/>
        <v>4.25</v>
      </c>
      <c r="K246" s="16"/>
    </row>
    <row r="247" spans="1:11">
      <c r="A247" s="16"/>
      <c r="B247" s="60" t="s">
        <v>260</v>
      </c>
      <c r="C247" s="59" t="s">
        <v>240</v>
      </c>
      <c r="D247" s="18">
        <v>6.5</v>
      </c>
      <c r="E247" s="18" t="s">
        <v>0</v>
      </c>
      <c r="F247" s="18">
        <v>1</v>
      </c>
      <c r="G247" s="19">
        <f t="shared" si="6"/>
        <v>6.5</v>
      </c>
      <c r="H247" s="69">
        <v>0</v>
      </c>
      <c r="I247" s="18">
        <v>1</v>
      </c>
      <c r="J247" s="20">
        <f t="shared" si="7"/>
        <v>6.5</v>
      </c>
      <c r="K247" s="16"/>
    </row>
    <row r="248" spans="1:11">
      <c r="A248" s="16"/>
      <c r="B248" s="60" t="s">
        <v>261</v>
      </c>
      <c r="C248" s="59" t="s">
        <v>240</v>
      </c>
      <c r="D248" s="18">
        <v>2.4</v>
      </c>
      <c r="E248" s="18" t="s">
        <v>0</v>
      </c>
      <c r="F248" s="18">
        <v>1</v>
      </c>
      <c r="G248" s="19">
        <f t="shared" si="6"/>
        <v>2.4</v>
      </c>
      <c r="H248" s="69">
        <v>0</v>
      </c>
      <c r="I248" s="18">
        <v>1</v>
      </c>
      <c r="J248" s="20">
        <f t="shared" si="7"/>
        <v>2.4</v>
      </c>
      <c r="K248" s="16"/>
    </row>
    <row r="249" spans="1:11">
      <c r="A249" s="16"/>
      <c r="B249" s="60" t="s">
        <v>262</v>
      </c>
      <c r="C249" s="59" t="s">
        <v>240</v>
      </c>
      <c r="D249" s="18">
        <v>7.35</v>
      </c>
      <c r="E249" s="18" t="s">
        <v>0</v>
      </c>
      <c r="F249" s="18">
        <v>1</v>
      </c>
      <c r="G249" s="19">
        <f t="shared" si="6"/>
        <v>7.35</v>
      </c>
      <c r="H249" s="69">
        <v>0</v>
      </c>
      <c r="I249" s="18">
        <v>1</v>
      </c>
      <c r="J249" s="20">
        <f t="shared" si="7"/>
        <v>7.35</v>
      </c>
      <c r="K249" s="16"/>
    </row>
    <row r="250" spans="1:11">
      <c r="A250" s="16"/>
      <c r="B250" s="60" t="s">
        <v>234</v>
      </c>
      <c r="C250" s="59" t="s">
        <v>240</v>
      </c>
      <c r="D250" s="18">
        <v>0.8</v>
      </c>
      <c r="E250" s="18" t="s">
        <v>0</v>
      </c>
      <c r="F250" s="18">
        <v>1</v>
      </c>
      <c r="G250" s="19">
        <f t="shared" si="6"/>
        <v>0.8</v>
      </c>
      <c r="H250" s="69">
        <v>0</v>
      </c>
      <c r="I250" s="18">
        <v>2</v>
      </c>
      <c r="J250" s="20">
        <f t="shared" si="7"/>
        <v>1.6</v>
      </c>
      <c r="K250" s="16"/>
    </row>
    <row r="251" spans="1:11">
      <c r="A251" s="16"/>
      <c r="B251" s="60" t="s">
        <v>235</v>
      </c>
      <c r="C251" s="59" t="s">
        <v>240</v>
      </c>
      <c r="D251" s="18">
        <v>3.4</v>
      </c>
      <c r="E251" s="18" t="s">
        <v>0</v>
      </c>
      <c r="F251" s="18">
        <v>1</v>
      </c>
      <c r="G251" s="19">
        <f t="shared" si="6"/>
        <v>3.4</v>
      </c>
      <c r="H251" s="69">
        <v>0</v>
      </c>
      <c r="I251" s="18">
        <v>1</v>
      </c>
      <c r="J251" s="20">
        <f t="shared" si="7"/>
        <v>3.4</v>
      </c>
      <c r="K251" s="16"/>
    </row>
    <row r="252" spans="1:11">
      <c r="A252" s="16"/>
      <c r="B252" s="60" t="s">
        <v>224</v>
      </c>
      <c r="C252" s="59" t="s">
        <v>240</v>
      </c>
      <c r="D252" s="18">
        <v>5.5</v>
      </c>
      <c r="E252" s="18" t="s">
        <v>0</v>
      </c>
      <c r="F252" s="18">
        <v>1</v>
      </c>
      <c r="G252" s="19">
        <f t="shared" si="6"/>
        <v>5.5</v>
      </c>
      <c r="H252" s="69">
        <v>0</v>
      </c>
      <c r="I252" s="18">
        <v>1</v>
      </c>
      <c r="J252" s="20">
        <f t="shared" si="7"/>
        <v>5.5</v>
      </c>
      <c r="K252" s="16"/>
    </row>
    <row r="253" spans="1:11">
      <c r="A253" s="16"/>
      <c r="B253" s="60" t="s">
        <v>225</v>
      </c>
      <c r="C253" s="59" t="s">
        <v>240</v>
      </c>
      <c r="D253" s="18">
        <v>3</v>
      </c>
      <c r="E253" s="18" t="s">
        <v>0</v>
      </c>
      <c r="F253" s="18">
        <v>1</v>
      </c>
      <c r="G253" s="19">
        <f t="shared" si="6"/>
        <v>3</v>
      </c>
      <c r="H253" s="69">
        <v>0</v>
      </c>
      <c r="I253" s="18">
        <v>4</v>
      </c>
      <c r="J253" s="20">
        <f t="shared" si="7"/>
        <v>12</v>
      </c>
      <c r="K253" s="16"/>
    </row>
    <row r="254" spans="1:11">
      <c r="A254" s="16"/>
      <c r="B254" s="60" t="s">
        <v>226</v>
      </c>
      <c r="C254" s="59" t="s">
        <v>240</v>
      </c>
      <c r="D254" s="18">
        <v>6.55</v>
      </c>
      <c r="E254" s="18" t="s">
        <v>0</v>
      </c>
      <c r="F254" s="18">
        <v>1</v>
      </c>
      <c r="G254" s="19">
        <f t="shared" si="6"/>
        <v>6.55</v>
      </c>
      <c r="H254" s="69">
        <v>0</v>
      </c>
      <c r="I254" s="18">
        <v>1</v>
      </c>
      <c r="J254" s="20">
        <f t="shared" si="7"/>
        <v>6.55</v>
      </c>
      <c r="K254" s="16"/>
    </row>
    <row r="255" spans="1:11">
      <c r="A255" s="16"/>
      <c r="B255" s="60" t="s">
        <v>263</v>
      </c>
      <c r="C255" s="59" t="s">
        <v>240</v>
      </c>
      <c r="D255" s="18">
        <v>2.8</v>
      </c>
      <c r="E255" s="18" t="s">
        <v>0</v>
      </c>
      <c r="F255" s="18">
        <v>1</v>
      </c>
      <c r="G255" s="19">
        <f t="shared" si="6"/>
        <v>2.8</v>
      </c>
      <c r="H255" s="69">
        <v>0</v>
      </c>
      <c r="I255" s="18">
        <v>1</v>
      </c>
      <c r="J255" s="20">
        <f>IF(G255&gt;0,G255*I255,H255*I255)</f>
        <v>2.8</v>
      </c>
      <c r="K255" s="16"/>
    </row>
    <row r="256" spans="1:11">
      <c r="A256" s="16"/>
      <c r="B256" s="61"/>
      <c r="C256" s="62" t="s">
        <v>264</v>
      </c>
      <c r="D256" s="63"/>
      <c r="E256" s="63"/>
      <c r="F256" s="63"/>
      <c r="G256" s="64"/>
      <c r="H256" s="65"/>
      <c r="I256" s="63"/>
      <c r="J256" s="66" t="s">
        <v>0</v>
      </c>
      <c r="K256" s="16"/>
    </row>
    <row r="257" spans="1:11">
      <c r="A257" s="16"/>
      <c r="B257" s="60" t="s">
        <v>1379</v>
      </c>
      <c r="C257" s="59" t="s">
        <v>265</v>
      </c>
      <c r="D257" s="18">
        <v>2</v>
      </c>
      <c r="E257" s="18" t="s">
        <v>0</v>
      </c>
      <c r="F257" s="18">
        <v>1.1000000000000001</v>
      </c>
      <c r="G257" s="19">
        <f>PRODUCT(D257,E257,F257)</f>
        <v>2.2000000000000002</v>
      </c>
      <c r="H257" s="69">
        <v>0</v>
      </c>
      <c r="I257" s="18">
        <v>2</v>
      </c>
      <c r="J257" s="20">
        <f>IF(G257&gt;0,G257*I257,H257*I257)</f>
        <v>4.4000000000000004</v>
      </c>
      <c r="K257" s="16"/>
    </row>
    <row r="258" spans="1:11">
      <c r="A258" s="16"/>
      <c r="B258" s="60" t="s">
        <v>1379</v>
      </c>
      <c r="C258" s="59" t="s">
        <v>266</v>
      </c>
      <c r="D258" s="18">
        <v>2</v>
      </c>
      <c r="E258" s="18" t="s">
        <v>0</v>
      </c>
      <c r="F258" s="18">
        <v>1.1000000000000001</v>
      </c>
      <c r="G258" s="19">
        <f t="shared" ref="G258:G266" si="8">PRODUCT(D258,E258,F258)</f>
        <v>2.2000000000000002</v>
      </c>
      <c r="H258" s="69">
        <v>0</v>
      </c>
      <c r="I258" s="18">
        <v>1</v>
      </c>
      <c r="J258" s="20">
        <f t="shared" ref="J258:J266" si="9">IF(G258&gt;0,G258*I258,H258*I258)</f>
        <v>2.2000000000000002</v>
      </c>
      <c r="K258" s="16"/>
    </row>
    <row r="259" spans="1:11">
      <c r="A259" s="16"/>
      <c r="B259" s="60" t="s">
        <v>1379</v>
      </c>
      <c r="C259" s="59" t="s">
        <v>267</v>
      </c>
      <c r="D259" s="18">
        <v>2</v>
      </c>
      <c r="E259" s="18" t="s">
        <v>0</v>
      </c>
      <c r="F259" s="18">
        <v>1.1000000000000001</v>
      </c>
      <c r="G259" s="19">
        <f t="shared" si="8"/>
        <v>2.2000000000000002</v>
      </c>
      <c r="H259" s="69">
        <v>0</v>
      </c>
      <c r="I259" s="18">
        <v>1</v>
      </c>
      <c r="J259" s="20">
        <f t="shared" si="9"/>
        <v>2.2000000000000002</v>
      </c>
      <c r="K259" s="16"/>
    </row>
    <row r="260" spans="1:11">
      <c r="A260" s="16"/>
      <c r="B260" s="60" t="s">
        <v>1380</v>
      </c>
      <c r="C260" s="59" t="s">
        <v>268</v>
      </c>
      <c r="D260" s="18">
        <v>1.52</v>
      </c>
      <c r="E260" s="18" t="s">
        <v>0</v>
      </c>
      <c r="F260" s="18">
        <v>1.1000000000000001</v>
      </c>
      <c r="G260" s="19">
        <f t="shared" si="8"/>
        <v>1.6720000000000002</v>
      </c>
      <c r="H260" s="69">
        <v>0</v>
      </c>
      <c r="I260" s="18">
        <v>1</v>
      </c>
      <c r="J260" s="20">
        <f t="shared" si="9"/>
        <v>1.6720000000000002</v>
      </c>
      <c r="K260" s="16"/>
    </row>
    <row r="261" spans="1:11">
      <c r="A261" s="16"/>
      <c r="B261" s="60" t="s">
        <v>1381</v>
      </c>
      <c r="C261" s="59" t="s">
        <v>270</v>
      </c>
      <c r="D261" s="18">
        <v>1.2</v>
      </c>
      <c r="E261" s="18" t="s">
        <v>0</v>
      </c>
      <c r="F261" s="18">
        <v>1.1000000000000001</v>
      </c>
      <c r="G261" s="19">
        <f t="shared" si="8"/>
        <v>1.32</v>
      </c>
      <c r="H261" s="69">
        <v>0</v>
      </c>
      <c r="I261" s="18">
        <v>1</v>
      </c>
      <c r="J261" s="20">
        <f t="shared" si="9"/>
        <v>1.32</v>
      </c>
      <c r="K261" s="16"/>
    </row>
    <row r="262" spans="1:11">
      <c r="A262" s="16"/>
      <c r="B262" s="60" t="s">
        <v>1383</v>
      </c>
      <c r="C262" s="59" t="s">
        <v>271</v>
      </c>
      <c r="D262" s="18">
        <v>2.4</v>
      </c>
      <c r="E262" s="18" t="s">
        <v>0</v>
      </c>
      <c r="F262" s="18">
        <v>2.6</v>
      </c>
      <c r="G262" s="19">
        <f t="shared" si="8"/>
        <v>6.24</v>
      </c>
      <c r="H262" s="69">
        <v>0</v>
      </c>
      <c r="I262" s="18">
        <v>1</v>
      </c>
      <c r="J262" s="20">
        <f t="shared" si="9"/>
        <v>6.24</v>
      </c>
      <c r="K262" s="16"/>
    </row>
    <row r="263" spans="1:11">
      <c r="A263" s="16"/>
      <c r="B263" s="60" t="s">
        <v>1384</v>
      </c>
      <c r="C263" s="59" t="s">
        <v>0</v>
      </c>
      <c r="D263" s="18">
        <v>6.15</v>
      </c>
      <c r="E263" s="18" t="s">
        <v>0</v>
      </c>
      <c r="F263" s="18">
        <v>2.6</v>
      </c>
      <c r="G263" s="19">
        <f t="shared" si="8"/>
        <v>15.990000000000002</v>
      </c>
      <c r="H263" s="69">
        <v>0</v>
      </c>
      <c r="I263" s="18">
        <v>1</v>
      </c>
      <c r="J263" s="20">
        <f t="shared" si="9"/>
        <v>15.990000000000002</v>
      </c>
      <c r="K263" s="16"/>
    </row>
    <row r="264" spans="1:11">
      <c r="A264" s="16"/>
      <c r="B264" s="60" t="s">
        <v>1385</v>
      </c>
      <c r="C264" s="59" t="s">
        <v>0</v>
      </c>
      <c r="D264" s="18">
        <v>2</v>
      </c>
      <c r="E264" s="18" t="s">
        <v>0</v>
      </c>
      <c r="F264" s="18">
        <v>0.5</v>
      </c>
      <c r="G264" s="19">
        <f t="shared" si="8"/>
        <v>1</v>
      </c>
      <c r="H264" s="69">
        <v>0</v>
      </c>
      <c r="I264" s="18">
        <v>1</v>
      </c>
      <c r="J264" s="20">
        <f t="shared" si="9"/>
        <v>1</v>
      </c>
      <c r="K264" s="16"/>
    </row>
    <row r="265" spans="1:11">
      <c r="A265" s="16"/>
      <c r="B265" s="60" t="s">
        <v>1386</v>
      </c>
      <c r="C265" s="59" t="s">
        <v>272</v>
      </c>
      <c r="D265" s="18">
        <v>0.37</v>
      </c>
      <c r="E265" s="18" t="s">
        <v>0</v>
      </c>
      <c r="F265" s="18">
        <v>2.6</v>
      </c>
      <c r="G265" s="19">
        <f t="shared" si="8"/>
        <v>0.96199999999999997</v>
      </c>
      <c r="H265" s="69">
        <v>0</v>
      </c>
      <c r="I265" s="18">
        <v>2</v>
      </c>
      <c r="J265" s="20">
        <f t="shared" si="9"/>
        <v>1.9239999999999999</v>
      </c>
      <c r="K265" s="16"/>
    </row>
    <row r="266" spans="1:11">
      <c r="A266" s="16"/>
      <c r="B266" s="60" t="s">
        <v>1387</v>
      </c>
      <c r="C266" s="59" t="s">
        <v>0</v>
      </c>
      <c r="D266" s="18">
        <v>2</v>
      </c>
      <c r="E266" s="18" t="s">
        <v>0</v>
      </c>
      <c r="F266" s="18">
        <v>0.5</v>
      </c>
      <c r="G266" s="19">
        <f t="shared" si="8"/>
        <v>1</v>
      </c>
      <c r="H266" s="69">
        <v>0</v>
      </c>
      <c r="I266" s="18">
        <v>1</v>
      </c>
      <c r="J266" s="20">
        <f t="shared" si="9"/>
        <v>1</v>
      </c>
      <c r="K266" s="16"/>
    </row>
    <row r="267" spans="1:11">
      <c r="A267" s="2"/>
      <c r="B267" s="21"/>
      <c r="C267" s="22"/>
      <c r="D267" s="13"/>
      <c r="E267" s="13"/>
      <c r="F267" s="13"/>
      <c r="G267" s="13"/>
      <c r="H267" s="13"/>
      <c r="I267" s="13"/>
      <c r="J267" s="13"/>
      <c r="K267" s="2"/>
    </row>
    <row r="268" spans="1:11" s="183" customFormat="1">
      <c r="B268" s="184" t="s">
        <v>87</v>
      </c>
      <c r="C268" s="185" t="s">
        <v>88</v>
      </c>
      <c r="D268" s="185" t="s">
        <v>0</v>
      </c>
      <c r="E268" s="185" t="s">
        <v>0</v>
      </c>
      <c r="F268" s="185" t="s">
        <v>0</v>
      </c>
      <c r="G268" s="185" t="s">
        <v>0</v>
      </c>
      <c r="H268" s="186" t="s">
        <v>0</v>
      </c>
      <c r="I268" s="186"/>
      <c r="J268" s="187">
        <f>SUM(J269:J269)</f>
        <v>0</v>
      </c>
    </row>
    <row r="269" spans="1:11" s="183" customFormat="1">
      <c r="B269" s="184"/>
      <c r="C269" s="188"/>
      <c r="D269" s="189"/>
      <c r="E269" s="189"/>
      <c r="F269" s="189"/>
      <c r="G269" s="190"/>
      <c r="H269" s="191"/>
      <c r="I269" s="189"/>
      <c r="J269" s="191"/>
    </row>
    <row r="270" spans="1:11" s="183" customFormat="1">
      <c r="H270" s="192"/>
      <c r="I270" s="192"/>
      <c r="J270" s="192"/>
    </row>
    <row r="271" spans="1:11" s="183" customFormat="1">
      <c r="B271" s="184" t="s">
        <v>98</v>
      </c>
      <c r="C271" s="185" t="s">
        <v>99</v>
      </c>
      <c r="D271" s="185" t="s">
        <v>0</v>
      </c>
      <c r="E271" s="185" t="s">
        <v>0</v>
      </c>
      <c r="F271" s="185" t="s">
        <v>0</v>
      </c>
      <c r="G271" s="185" t="s">
        <v>0</v>
      </c>
      <c r="H271" s="186" t="s">
        <v>0</v>
      </c>
      <c r="I271" s="186"/>
      <c r="J271" s="187">
        <f>SUM(J272:J272)</f>
        <v>0</v>
      </c>
    </row>
    <row r="272" spans="1:11" s="183" customFormat="1">
      <c r="B272" s="184"/>
      <c r="C272" s="188"/>
      <c r="D272" s="189"/>
      <c r="E272" s="189"/>
      <c r="F272" s="189"/>
      <c r="G272" s="190"/>
      <c r="H272" s="191"/>
      <c r="I272" s="189"/>
      <c r="J272" s="191"/>
    </row>
    <row r="273" spans="2:10" s="183" customFormat="1">
      <c r="H273" s="192"/>
      <c r="I273" s="192"/>
      <c r="J273" s="192"/>
    </row>
    <row r="274" spans="2:10" s="183" customFormat="1">
      <c r="B274" s="184" t="s">
        <v>104</v>
      </c>
      <c r="C274" s="185" t="s">
        <v>105</v>
      </c>
      <c r="D274" s="185" t="s">
        <v>0</v>
      </c>
      <c r="E274" s="185" t="s">
        <v>0</v>
      </c>
      <c r="F274" s="185" t="s">
        <v>0</v>
      </c>
      <c r="G274" s="185" t="s">
        <v>0</v>
      </c>
      <c r="H274" s="186" t="s">
        <v>0</v>
      </c>
      <c r="I274" s="186"/>
      <c r="J274" s="187">
        <f>SUM(J275:J275)</f>
        <v>0</v>
      </c>
    </row>
    <row r="275" spans="2:10" s="183" customFormat="1">
      <c r="B275" s="184"/>
      <c r="C275" s="188"/>
      <c r="D275" s="189"/>
      <c r="E275" s="189"/>
      <c r="F275" s="189"/>
      <c r="G275" s="190"/>
      <c r="H275" s="191"/>
      <c r="I275" s="189"/>
      <c r="J275" s="191"/>
    </row>
    <row r="276" spans="2:10" s="183" customFormat="1">
      <c r="H276" s="192"/>
      <c r="I276" s="192"/>
      <c r="J276" s="192"/>
    </row>
    <row r="277" spans="2:10" s="183" customFormat="1">
      <c r="B277" s="184" t="s">
        <v>118</v>
      </c>
      <c r="C277" s="185" t="s">
        <v>119</v>
      </c>
      <c r="D277" s="185" t="s">
        <v>0</v>
      </c>
      <c r="E277" s="185" t="s">
        <v>0</v>
      </c>
      <c r="F277" s="185" t="s">
        <v>0</v>
      </c>
      <c r="G277" s="185" t="s">
        <v>0</v>
      </c>
      <c r="H277" s="186" t="s">
        <v>0</v>
      </c>
      <c r="I277" s="186"/>
      <c r="J277" s="187">
        <f>SUM(J278:J278)</f>
        <v>0</v>
      </c>
    </row>
    <row r="278" spans="2:10" s="183" customFormat="1">
      <c r="B278" s="184"/>
      <c r="C278" s="188"/>
      <c r="D278" s="189"/>
      <c r="E278" s="189"/>
      <c r="F278" s="189"/>
      <c r="G278" s="190"/>
      <c r="H278" s="191"/>
      <c r="I278" s="189"/>
      <c r="J278" s="191"/>
    </row>
    <row r="279" spans="2:10" s="183" customFormat="1">
      <c r="H279" s="192"/>
      <c r="I279" s="192"/>
      <c r="J279" s="192"/>
    </row>
    <row r="280" spans="2:10" s="183" customFormat="1">
      <c r="B280" s="184" t="s">
        <v>127</v>
      </c>
      <c r="C280" s="185" t="s">
        <v>128</v>
      </c>
      <c r="D280" s="185" t="s">
        <v>0</v>
      </c>
      <c r="E280" s="185" t="s">
        <v>0</v>
      </c>
      <c r="F280" s="185" t="s">
        <v>0</v>
      </c>
      <c r="G280" s="185" t="s">
        <v>0</v>
      </c>
      <c r="H280" s="186" t="s">
        <v>0</v>
      </c>
      <c r="I280" s="186"/>
      <c r="J280" s="187">
        <f>SUM(J281:J281)</f>
        <v>0</v>
      </c>
    </row>
    <row r="281" spans="2:10" s="183" customFormat="1">
      <c r="B281" s="184"/>
      <c r="C281" s="188"/>
      <c r="D281" s="189"/>
      <c r="E281" s="189"/>
      <c r="F281" s="189"/>
      <c r="G281" s="190"/>
      <c r="H281" s="191"/>
      <c r="I281" s="189"/>
      <c r="J281" s="191"/>
    </row>
    <row r="283" spans="2:10">
      <c r="B283" s="14" t="s">
        <v>129</v>
      </c>
      <c r="C283" s="1005" t="s">
        <v>130</v>
      </c>
      <c r="D283" s="1005"/>
      <c r="E283" s="1005"/>
      <c r="F283" s="1005"/>
      <c r="G283" s="1005"/>
      <c r="H283" s="1005"/>
      <c r="I283" s="1005"/>
      <c r="J283" s="15"/>
    </row>
    <row r="284" spans="2:10">
      <c r="B284" s="61"/>
      <c r="C284" s="62" t="s">
        <v>222</v>
      </c>
      <c r="D284" s="63"/>
      <c r="E284" s="63"/>
      <c r="F284" s="63"/>
      <c r="G284" s="64"/>
      <c r="H284" s="65"/>
      <c r="I284" s="63"/>
      <c r="J284" s="66" t="s">
        <v>0</v>
      </c>
    </row>
    <row r="285" spans="2:10">
      <c r="B285" s="67" t="s">
        <v>227</v>
      </c>
      <c r="C285" s="59" t="s">
        <v>231</v>
      </c>
      <c r="D285" s="18">
        <v>2</v>
      </c>
      <c r="E285" s="18" t="s">
        <v>0</v>
      </c>
      <c r="F285" s="18">
        <v>2.1</v>
      </c>
      <c r="G285" s="19">
        <f t="shared" ref="G285:G292" si="10">PRODUCT(D285,E285,F285)</f>
        <v>4.2</v>
      </c>
      <c r="H285" s="69">
        <v>0</v>
      </c>
      <c r="I285" s="18">
        <v>1</v>
      </c>
      <c r="J285" s="20">
        <f>IF(G285&gt;0,G285*I285,H285*I285)</f>
        <v>4.2</v>
      </c>
    </row>
    <row r="286" spans="2:10">
      <c r="B286" s="67" t="s">
        <v>218</v>
      </c>
      <c r="C286" s="59" t="s">
        <v>236</v>
      </c>
      <c r="D286" s="18">
        <v>0.8</v>
      </c>
      <c r="E286" s="18" t="s">
        <v>0</v>
      </c>
      <c r="F286" s="18">
        <f>$F$285</f>
        <v>2.1</v>
      </c>
      <c r="G286" s="19">
        <f t="shared" si="10"/>
        <v>1.6800000000000002</v>
      </c>
      <c r="H286" s="69">
        <v>0</v>
      </c>
      <c r="I286" s="18">
        <v>39</v>
      </c>
      <c r="J286" s="20">
        <f t="shared" ref="J286:J292" si="11">IF(G286&gt;0,G286*I286,H286*I286)</f>
        <v>65.52000000000001</v>
      </c>
    </row>
    <row r="287" spans="2:10">
      <c r="B287" s="67" t="s">
        <v>219</v>
      </c>
      <c r="C287" s="59" t="s">
        <v>237</v>
      </c>
      <c r="D287" s="18">
        <v>0.9</v>
      </c>
      <c r="E287" s="18" t="s">
        <v>0</v>
      </c>
      <c r="F287" s="18">
        <f t="shared" ref="F287:F292" si="12">$F$285</f>
        <v>2.1</v>
      </c>
      <c r="G287" s="19">
        <f t="shared" si="10"/>
        <v>1.8900000000000001</v>
      </c>
      <c r="H287" s="69">
        <v>0</v>
      </c>
      <c r="I287" s="18">
        <v>2</v>
      </c>
      <c r="J287" s="20">
        <f t="shared" si="11"/>
        <v>3.7800000000000002</v>
      </c>
    </row>
    <row r="288" spans="2:10">
      <c r="B288" s="67" t="s">
        <v>220</v>
      </c>
      <c r="C288" s="59" t="s">
        <v>238</v>
      </c>
      <c r="D288" s="18">
        <v>1.6</v>
      </c>
      <c r="E288" s="18" t="s">
        <v>0</v>
      </c>
      <c r="F288" s="18">
        <f t="shared" si="12"/>
        <v>2.1</v>
      </c>
      <c r="G288" s="19">
        <f t="shared" si="10"/>
        <v>3.3600000000000003</v>
      </c>
      <c r="H288" s="69">
        <v>0</v>
      </c>
      <c r="I288" s="18">
        <v>2</v>
      </c>
      <c r="J288" s="20">
        <f t="shared" si="11"/>
        <v>6.7200000000000006</v>
      </c>
    </row>
    <row r="289" spans="2:10">
      <c r="B289" s="67" t="s">
        <v>221</v>
      </c>
      <c r="C289" s="59" t="s">
        <v>238</v>
      </c>
      <c r="D289" s="18">
        <v>1.6</v>
      </c>
      <c r="E289" s="18" t="s">
        <v>0</v>
      </c>
      <c r="F289" s="18">
        <f t="shared" si="12"/>
        <v>2.1</v>
      </c>
      <c r="G289" s="19">
        <f t="shared" si="10"/>
        <v>3.3600000000000003</v>
      </c>
      <c r="H289" s="69">
        <v>0</v>
      </c>
      <c r="I289" s="18">
        <v>1</v>
      </c>
      <c r="J289" s="20">
        <f t="shared" si="11"/>
        <v>3.3600000000000003</v>
      </c>
    </row>
    <row r="290" spans="2:10">
      <c r="B290" s="67" t="s">
        <v>273</v>
      </c>
      <c r="C290" s="59" t="s">
        <v>238</v>
      </c>
      <c r="D290" s="18">
        <v>2.2000000000000002</v>
      </c>
      <c r="E290" s="18" t="s">
        <v>0</v>
      </c>
      <c r="F290" s="18">
        <f t="shared" si="12"/>
        <v>2.1</v>
      </c>
      <c r="G290" s="19">
        <f t="shared" si="10"/>
        <v>4.620000000000001</v>
      </c>
      <c r="H290" s="69">
        <v>0</v>
      </c>
      <c r="I290" s="18">
        <v>3</v>
      </c>
      <c r="J290" s="20">
        <f t="shared" si="11"/>
        <v>13.860000000000003</v>
      </c>
    </row>
    <row r="291" spans="2:10">
      <c r="B291" s="67" t="s">
        <v>274</v>
      </c>
      <c r="C291" s="59" t="s">
        <v>238</v>
      </c>
      <c r="D291" s="18">
        <v>2.1</v>
      </c>
      <c r="E291" s="18" t="s">
        <v>0</v>
      </c>
      <c r="F291" s="18">
        <f t="shared" si="12"/>
        <v>2.1</v>
      </c>
      <c r="G291" s="19">
        <f t="shared" si="10"/>
        <v>4.41</v>
      </c>
      <c r="H291" s="69">
        <v>0</v>
      </c>
      <c r="I291" s="18">
        <v>2</v>
      </c>
      <c r="J291" s="20">
        <f t="shared" si="11"/>
        <v>8.82</v>
      </c>
    </row>
    <row r="292" spans="2:10">
      <c r="B292" s="67" t="s">
        <v>228</v>
      </c>
      <c r="C292" s="59" t="s">
        <v>232</v>
      </c>
      <c r="D292" s="18">
        <v>1</v>
      </c>
      <c r="E292" s="18" t="s">
        <v>0</v>
      </c>
      <c r="F292" s="18">
        <f t="shared" si="12"/>
        <v>2.1</v>
      </c>
      <c r="G292" s="19">
        <f t="shared" si="10"/>
        <v>2.1</v>
      </c>
      <c r="H292" s="69">
        <v>0</v>
      </c>
      <c r="I292" s="18">
        <v>15</v>
      </c>
      <c r="J292" s="20">
        <f t="shared" si="11"/>
        <v>31.5</v>
      </c>
    </row>
    <row r="293" spans="2:10">
      <c r="B293" s="61"/>
      <c r="C293" s="62" t="s">
        <v>230</v>
      </c>
      <c r="D293" s="63"/>
      <c r="E293" s="63"/>
      <c r="F293" s="63"/>
      <c r="G293" s="64"/>
      <c r="H293" s="65"/>
      <c r="I293" s="63"/>
      <c r="J293" s="66"/>
    </row>
    <row r="294" spans="2:10">
      <c r="B294" s="220" t="s">
        <v>1375</v>
      </c>
      <c r="C294" s="59" t="s">
        <v>239</v>
      </c>
      <c r="D294" s="18">
        <v>0.6</v>
      </c>
      <c r="E294" s="18" t="s">
        <v>0</v>
      </c>
      <c r="F294" s="18">
        <v>1.8</v>
      </c>
      <c r="G294" s="19">
        <f>PRODUCT(D294,E294,F294)</f>
        <v>1.08</v>
      </c>
      <c r="H294" s="69">
        <v>0</v>
      </c>
      <c r="I294" s="18">
        <v>10</v>
      </c>
      <c r="J294" s="20">
        <f>IF(G294&gt;0,G294*I294,H294*I294)</f>
        <v>10.8</v>
      </c>
    </row>
    <row r="295" spans="2:10">
      <c r="B295" s="220" t="s">
        <v>1377</v>
      </c>
      <c r="C295" s="59" t="s">
        <v>236</v>
      </c>
      <c r="D295" s="18">
        <v>0.6</v>
      </c>
      <c r="E295" s="18" t="s">
        <v>0</v>
      </c>
      <c r="F295" s="18">
        <v>2.1</v>
      </c>
      <c r="G295" s="19">
        <f>PRODUCT(D295,E295,F295)</f>
        <v>1.26</v>
      </c>
      <c r="H295" s="69">
        <v>0</v>
      </c>
      <c r="I295" s="18">
        <v>10</v>
      </c>
      <c r="J295" s="20">
        <f>IF(G295&gt;0,G295*I295,H295*I295)</f>
        <v>12.6</v>
      </c>
    </row>
    <row r="296" spans="2:10">
      <c r="B296" s="61"/>
      <c r="C296" s="62" t="s">
        <v>223</v>
      </c>
      <c r="D296" s="63"/>
      <c r="E296" s="63"/>
      <c r="F296" s="63" t="s">
        <v>0</v>
      </c>
      <c r="G296" s="64"/>
      <c r="H296" s="65"/>
      <c r="I296" s="63"/>
      <c r="J296" s="66" t="s">
        <v>0</v>
      </c>
    </row>
    <row r="297" spans="2:10">
      <c r="B297" s="60" t="s">
        <v>1388</v>
      </c>
      <c r="C297" s="59" t="s">
        <v>240</v>
      </c>
      <c r="D297" s="18">
        <v>4</v>
      </c>
      <c r="E297" s="18" t="s">
        <v>0</v>
      </c>
      <c r="F297" s="18">
        <v>0.6</v>
      </c>
      <c r="G297" s="19">
        <f t="shared" ref="G297:G303" si="13">PRODUCT(D297,E297,F297)</f>
        <v>2.4</v>
      </c>
      <c r="H297" s="69">
        <v>0</v>
      </c>
      <c r="I297" s="18">
        <v>2</v>
      </c>
      <c r="J297" s="20">
        <f t="shared" ref="J297:J303" si="14">IF(G297&gt;0,G297*I297,H297*I297)</f>
        <v>4.8</v>
      </c>
    </row>
    <row r="298" spans="2:10">
      <c r="B298" s="60" t="s">
        <v>276</v>
      </c>
      <c r="C298" s="59" t="s">
        <v>240</v>
      </c>
      <c r="D298" s="18">
        <v>5</v>
      </c>
      <c r="E298" s="18" t="s">
        <v>0</v>
      </c>
      <c r="F298" s="19">
        <v>0.6</v>
      </c>
      <c r="G298" s="19">
        <f t="shared" si="13"/>
        <v>3</v>
      </c>
      <c r="H298" s="69">
        <v>0</v>
      </c>
      <c r="I298" s="18">
        <v>1</v>
      </c>
      <c r="J298" s="20">
        <f t="shared" si="14"/>
        <v>3</v>
      </c>
    </row>
    <row r="299" spans="2:10">
      <c r="B299" s="60" t="s">
        <v>251</v>
      </c>
      <c r="C299" s="59" t="s">
        <v>240</v>
      </c>
      <c r="D299" s="18">
        <v>2.2999999999999998</v>
      </c>
      <c r="E299" s="18" t="s">
        <v>0</v>
      </c>
      <c r="F299" s="19">
        <v>0.6</v>
      </c>
      <c r="G299" s="19">
        <f t="shared" si="13"/>
        <v>1.38</v>
      </c>
      <c r="H299" s="69">
        <v>0</v>
      </c>
      <c r="I299" s="18">
        <v>2</v>
      </c>
      <c r="J299" s="20">
        <f t="shared" si="14"/>
        <v>2.76</v>
      </c>
    </row>
    <row r="300" spans="2:10">
      <c r="B300" s="60" t="s">
        <v>277</v>
      </c>
      <c r="C300" s="59" t="s">
        <v>240</v>
      </c>
      <c r="D300" s="18">
        <v>7.5</v>
      </c>
      <c r="E300" s="18" t="s">
        <v>0</v>
      </c>
      <c r="F300" s="19">
        <v>0.6</v>
      </c>
      <c r="G300" s="19">
        <f t="shared" si="13"/>
        <v>4.5</v>
      </c>
      <c r="H300" s="69">
        <v>0</v>
      </c>
      <c r="I300" s="18">
        <v>6</v>
      </c>
      <c r="J300" s="20">
        <f t="shared" si="14"/>
        <v>27</v>
      </c>
    </row>
    <row r="301" spans="2:10">
      <c r="B301" s="60" t="s">
        <v>278</v>
      </c>
      <c r="C301" s="59" t="s">
        <v>240</v>
      </c>
      <c r="D301" s="18">
        <v>1.6</v>
      </c>
      <c r="E301" s="18" t="s">
        <v>0</v>
      </c>
      <c r="F301" s="19">
        <v>0.6</v>
      </c>
      <c r="G301" s="19">
        <f t="shared" si="13"/>
        <v>0.96</v>
      </c>
      <c r="H301" s="69">
        <v>0</v>
      </c>
      <c r="I301" s="18">
        <v>1</v>
      </c>
      <c r="J301" s="20">
        <f t="shared" si="14"/>
        <v>0.96</v>
      </c>
    </row>
    <row r="302" spans="2:10">
      <c r="B302" s="60" t="s">
        <v>279</v>
      </c>
      <c r="C302" s="59" t="s">
        <v>240</v>
      </c>
      <c r="D302" s="18">
        <v>4.9000000000000004</v>
      </c>
      <c r="E302" s="18" t="s">
        <v>0</v>
      </c>
      <c r="F302" s="19">
        <v>0.6</v>
      </c>
      <c r="G302" s="19">
        <f t="shared" si="13"/>
        <v>2.94</v>
      </c>
      <c r="H302" s="69">
        <v>0</v>
      </c>
      <c r="I302" s="18">
        <v>2</v>
      </c>
      <c r="J302" s="20">
        <f t="shared" si="14"/>
        <v>5.88</v>
      </c>
    </row>
    <row r="303" spans="2:10">
      <c r="B303" s="60" t="s">
        <v>275</v>
      </c>
      <c r="C303" s="59" t="s">
        <v>240</v>
      </c>
      <c r="D303" s="18">
        <v>1.03</v>
      </c>
      <c r="E303" s="18" t="s">
        <v>0</v>
      </c>
      <c r="F303" s="18">
        <v>1.76</v>
      </c>
      <c r="G303" s="19">
        <f t="shared" si="13"/>
        <v>1.8128</v>
      </c>
      <c r="H303" s="69">
        <v>0</v>
      </c>
      <c r="I303" s="18">
        <v>80</v>
      </c>
      <c r="J303" s="20">
        <f t="shared" si="14"/>
        <v>145.024</v>
      </c>
    </row>
    <row r="305" spans="2:10">
      <c r="B305" s="14" t="s">
        <v>149</v>
      </c>
      <c r="C305" s="1005" t="s">
        <v>150</v>
      </c>
      <c r="D305" s="1005"/>
      <c r="E305" s="1005"/>
      <c r="F305" s="1005"/>
      <c r="G305" s="1005"/>
      <c r="H305" s="1005"/>
      <c r="I305" s="1005"/>
      <c r="J305" s="15"/>
    </row>
    <row r="306" spans="2:10">
      <c r="B306" s="61"/>
      <c r="C306" s="62" t="s">
        <v>222</v>
      </c>
      <c r="D306" s="63"/>
      <c r="E306" s="63"/>
      <c r="F306" s="63"/>
      <c r="G306" s="64"/>
      <c r="H306" s="65"/>
      <c r="I306" s="63"/>
      <c r="J306" s="66" t="s">
        <v>0</v>
      </c>
    </row>
    <row r="307" spans="2:10">
      <c r="B307" s="67" t="s">
        <v>218</v>
      </c>
      <c r="C307" s="59" t="s">
        <v>236</v>
      </c>
      <c r="D307" s="18">
        <v>0.8</v>
      </c>
      <c r="E307" s="18" t="s">
        <v>0</v>
      </c>
      <c r="F307" s="18">
        <v>2.1</v>
      </c>
      <c r="G307" s="19">
        <f>PRODUCT(D307,E307,F307)</f>
        <v>1.6800000000000002</v>
      </c>
      <c r="H307" s="69">
        <v>0</v>
      </c>
      <c r="I307" s="18">
        <v>32</v>
      </c>
      <c r="J307" s="20">
        <f>IF(G307&gt;0,G307*I307,H307*I307)</f>
        <v>53.760000000000005</v>
      </c>
    </row>
    <row r="308" spans="2:10">
      <c r="B308" s="67" t="s">
        <v>219</v>
      </c>
      <c r="C308" s="59" t="s">
        <v>237</v>
      </c>
      <c r="D308" s="18">
        <v>0.9</v>
      </c>
      <c r="E308" s="18" t="s">
        <v>0</v>
      </c>
      <c r="F308" s="18">
        <f>$F$285</f>
        <v>2.1</v>
      </c>
      <c r="G308" s="19">
        <f>PRODUCT(D308,E308,F308)</f>
        <v>1.8900000000000001</v>
      </c>
      <c r="H308" s="69">
        <v>0</v>
      </c>
      <c r="I308" s="18">
        <v>2</v>
      </c>
      <c r="J308" s="20">
        <f>IF(G308&gt;0,G308*I308,H308*I308)</f>
        <v>3.7800000000000002</v>
      </c>
    </row>
    <row r="309" spans="2:10">
      <c r="B309" s="67" t="s">
        <v>220</v>
      </c>
      <c r="C309" s="59" t="s">
        <v>238</v>
      </c>
      <c r="D309" s="18">
        <v>1.6</v>
      </c>
      <c r="E309" s="18" t="s">
        <v>0</v>
      </c>
      <c r="F309" s="18">
        <f>$F$285</f>
        <v>2.1</v>
      </c>
      <c r="G309" s="19">
        <f>PRODUCT(D309,E309,F309)</f>
        <v>3.3600000000000003</v>
      </c>
      <c r="H309" s="69">
        <v>0</v>
      </c>
      <c r="I309" s="18">
        <v>13</v>
      </c>
      <c r="J309" s="20">
        <f>IF(G309&gt;0,G309*I309,H309*I309)</f>
        <v>43.680000000000007</v>
      </c>
    </row>
    <row r="310" spans="2:10">
      <c r="B310" s="67" t="s">
        <v>280</v>
      </c>
      <c r="C310" s="59" t="s">
        <v>238</v>
      </c>
      <c r="D310" s="18">
        <v>1.2</v>
      </c>
      <c r="E310" s="18" t="s">
        <v>0</v>
      </c>
      <c r="F310" s="18">
        <f>$F$285</f>
        <v>2.1</v>
      </c>
      <c r="G310" s="19">
        <f>PRODUCT(D310,E310,F310)</f>
        <v>2.52</v>
      </c>
      <c r="H310" s="69">
        <v>0</v>
      </c>
      <c r="I310" s="18">
        <v>8</v>
      </c>
      <c r="J310" s="20">
        <f>IF(G310&gt;0,G310*I310,H310*I310)</f>
        <v>20.16</v>
      </c>
    </row>
    <row r="311" spans="2:10">
      <c r="B311" s="67" t="s">
        <v>228</v>
      </c>
      <c r="C311" s="59" t="s">
        <v>232</v>
      </c>
      <c r="D311" s="18">
        <v>1</v>
      </c>
      <c r="E311" s="18" t="s">
        <v>0</v>
      </c>
      <c r="F311" s="18">
        <f>$F$285</f>
        <v>2.1</v>
      </c>
      <c r="G311" s="19">
        <f>PRODUCT(D311,E311,F311)</f>
        <v>2.1</v>
      </c>
      <c r="H311" s="69">
        <v>0</v>
      </c>
      <c r="I311" s="18">
        <v>9</v>
      </c>
      <c r="J311" s="20">
        <f>IF(G311&gt;0,G311*I311,H311*I311)</f>
        <v>18.900000000000002</v>
      </c>
    </row>
    <row r="312" spans="2:10">
      <c r="B312" s="61"/>
      <c r="C312" s="62" t="s">
        <v>230</v>
      </c>
      <c r="D312" s="63"/>
      <c r="E312" s="63"/>
      <c r="F312" s="63"/>
      <c r="G312" s="64"/>
      <c r="H312" s="65"/>
      <c r="I312" s="63"/>
      <c r="J312" s="66"/>
    </row>
    <row r="313" spans="2:10">
      <c r="B313" s="220" t="s">
        <v>1375</v>
      </c>
      <c r="C313" s="59" t="s">
        <v>239</v>
      </c>
      <c r="D313" s="18">
        <v>0.6</v>
      </c>
      <c r="E313" s="18" t="s">
        <v>0</v>
      </c>
      <c r="F313" s="18">
        <v>1.8</v>
      </c>
      <c r="G313" s="19">
        <f>PRODUCT(D313,E313,F313)</f>
        <v>1.08</v>
      </c>
      <c r="H313" s="69">
        <v>0</v>
      </c>
      <c r="I313" s="18">
        <v>8</v>
      </c>
      <c r="J313" s="20">
        <f>IF(G313&gt;0,G313*I313,H313*I313)</f>
        <v>8.64</v>
      </c>
    </row>
    <row r="314" spans="2:10">
      <c r="B314" s="61"/>
      <c r="C314" s="62" t="s">
        <v>223</v>
      </c>
      <c r="D314" s="63"/>
      <c r="E314" s="63"/>
      <c r="F314" s="63" t="s">
        <v>0</v>
      </c>
      <c r="G314" s="64"/>
      <c r="H314" s="65"/>
      <c r="I314" s="63"/>
      <c r="J314" s="66" t="s">
        <v>0</v>
      </c>
    </row>
    <row r="315" spans="2:10">
      <c r="B315" s="60" t="s">
        <v>1388</v>
      </c>
      <c r="C315" s="59" t="s">
        <v>240</v>
      </c>
      <c r="D315" s="18">
        <v>4</v>
      </c>
      <c r="E315" s="18" t="s">
        <v>0</v>
      </c>
      <c r="F315" s="18">
        <v>0.6</v>
      </c>
      <c r="G315" s="19">
        <f t="shared" ref="G315:G327" si="15">PRODUCT(D315,E315,F315)</f>
        <v>2.4</v>
      </c>
      <c r="H315" s="69">
        <v>0</v>
      </c>
      <c r="I315" s="18">
        <v>2</v>
      </c>
      <c r="J315" s="20">
        <f t="shared" ref="J315:J327" si="16">IF(G315&gt;0,G315*I315,H315*I315)</f>
        <v>4.8</v>
      </c>
    </row>
    <row r="316" spans="2:10">
      <c r="B316" s="60" t="s">
        <v>1389</v>
      </c>
      <c r="C316" s="59" t="s">
        <v>240</v>
      </c>
      <c r="D316" s="18">
        <v>1.2</v>
      </c>
      <c r="E316" s="18" t="s">
        <v>0</v>
      </c>
      <c r="F316" s="18">
        <v>0.6</v>
      </c>
      <c r="G316" s="19">
        <f t="shared" si="15"/>
        <v>0.72</v>
      </c>
      <c r="H316" s="69">
        <v>0</v>
      </c>
      <c r="I316" s="18">
        <v>1</v>
      </c>
      <c r="J316" s="20">
        <f t="shared" si="16"/>
        <v>0.72</v>
      </c>
    </row>
    <row r="317" spans="2:10">
      <c r="B317" s="60" t="s">
        <v>1389</v>
      </c>
      <c r="C317" s="59" t="s">
        <v>240</v>
      </c>
      <c r="D317" s="18">
        <v>1.2</v>
      </c>
      <c r="E317" s="18" t="s">
        <v>0</v>
      </c>
      <c r="F317" s="18">
        <v>0.6</v>
      </c>
      <c r="G317" s="19">
        <f t="shared" si="15"/>
        <v>0.72</v>
      </c>
      <c r="H317" s="69">
        <v>0</v>
      </c>
      <c r="I317" s="18">
        <v>1</v>
      </c>
      <c r="J317" s="20">
        <f t="shared" si="16"/>
        <v>0.72</v>
      </c>
    </row>
    <row r="318" spans="2:10">
      <c r="B318" s="60" t="s">
        <v>276</v>
      </c>
      <c r="C318" s="59" t="s">
        <v>240</v>
      </c>
      <c r="D318" s="18">
        <v>4.6500000000000004</v>
      </c>
      <c r="E318" s="18" t="s">
        <v>0</v>
      </c>
      <c r="F318" s="18">
        <v>0.6</v>
      </c>
      <c r="G318" s="19">
        <f t="shared" si="15"/>
        <v>2.79</v>
      </c>
      <c r="H318" s="69">
        <v>0</v>
      </c>
      <c r="I318" s="18">
        <v>1</v>
      </c>
      <c r="J318" s="20">
        <f t="shared" si="16"/>
        <v>2.79</v>
      </c>
    </row>
    <row r="319" spans="2:10">
      <c r="B319" s="60" t="s">
        <v>281</v>
      </c>
      <c r="C319" s="59" t="s">
        <v>240</v>
      </c>
      <c r="D319" s="18">
        <v>4.9000000000000004</v>
      </c>
      <c r="E319" s="18" t="s">
        <v>0</v>
      </c>
      <c r="F319" s="18">
        <v>0.6</v>
      </c>
      <c r="G319" s="19">
        <f t="shared" si="15"/>
        <v>2.94</v>
      </c>
      <c r="H319" s="69">
        <v>0</v>
      </c>
      <c r="I319" s="18">
        <v>1</v>
      </c>
      <c r="J319" s="20">
        <f t="shared" si="16"/>
        <v>2.94</v>
      </c>
    </row>
    <row r="320" spans="2:10">
      <c r="B320" s="60" t="s">
        <v>282</v>
      </c>
      <c r="C320" s="59" t="s">
        <v>240</v>
      </c>
      <c r="D320" s="18">
        <v>3.95</v>
      </c>
      <c r="E320" s="18" t="s">
        <v>0</v>
      </c>
      <c r="F320" s="18">
        <v>0.6</v>
      </c>
      <c r="G320" s="19">
        <f t="shared" si="15"/>
        <v>2.37</v>
      </c>
      <c r="H320" s="69">
        <v>0</v>
      </c>
      <c r="I320" s="18">
        <v>1</v>
      </c>
      <c r="J320" s="20">
        <f t="shared" si="16"/>
        <v>2.37</v>
      </c>
    </row>
    <row r="321" spans="2:10">
      <c r="B321" s="60" t="s">
        <v>283</v>
      </c>
      <c r="C321" s="59" t="s">
        <v>240</v>
      </c>
      <c r="D321" s="18">
        <v>4.3</v>
      </c>
      <c r="E321" s="18" t="s">
        <v>0</v>
      </c>
      <c r="F321" s="18">
        <v>0.6</v>
      </c>
      <c r="G321" s="19">
        <f t="shared" si="15"/>
        <v>2.5799999999999996</v>
      </c>
      <c r="H321" s="69">
        <v>0</v>
      </c>
      <c r="I321" s="18">
        <v>1</v>
      </c>
      <c r="J321" s="20">
        <f t="shared" si="16"/>
        <v>2.5799999999999996</v>
      </c>
    </row>
    <row r="322" spans="2:10">
      <c r="B322" s="60" t="s">
        <v>1390</v>
      </c>
      <c r="C322" s="59" t="s">
        <v>240</v>
      </c>
      <c r="D322" s="18">
        <v>5</v>
      </c>
      <c r="E322" s="18" t="s">
        <v>0</v>
      </c>
      <c r="F322" s="18">
        <v>0.6</v>
      </c>
      <c r="G322" s="19">
        <f t="shared" si="15"/>
        <v>3</v>
      </c>
      <c r="H322" s="69">
        <v>0</v>
      </c>
      <c r="I322" s="18">
        <v>1</v>
      </c>
      <c r="J322" s="20">
        <f t="shared" si="16"/>
        <v>3</v>
      </c>
    </row>
    <row r="323" spans="2:10">
      <c r="B323" s="60" t="s">
        <v>1391</v>
      </c>
      <c r="C323" s="59" t="s">
        <v>240</v>
      </c>
      <c r="D323" s="18">
        <v>3</v>
      </c>
      <c r="E323" s="18" t="s">
        <v>0</v>
      </c>
      <c r="F323" s="18">
        <v>0.6</v>
      </c>
      <c r="G323" s="19">
        <f t="shared" si="15"/>
        <v>1.7999999999999998</v>
      </c>
      <c r="H323" s="69">
        <v>0</v>
      </c>
      <c r="I323" s="18">
        <v>1</v>
      </c>
      <c r="J323" s="20">
        <f t="shared" si="16"/>
        <v>1.7999999999999998</v>
      </c>
    </row>
    <row r="324" spans="2:10">
      <c r="B324" s="60" t="s">
        <v>1392</v>
      </c>
      <c r="C324" s="59" t="s">
        <v>240</v>
      </c>
      <c r="D324" s="18">
        <v>3.3</v>
      </c>
      <c r="E324" s="18" t="s">
        <v>0</v>
      </c>
      <c r="F324" s="18">
        <v>0.6</v>
      </c>
      <c r="G324" s="19">
        <f t="shared" si="15"/>
        <v>1.9799999999999998</v>
      </c>
      <c r="H324" s="69">
        <v>0</v>
      </c>
      <c r="I324" s="18">
        <v>2</v>
      </c>
      <c r="J324" s="20">
        <f t="shared" si="16"/>
        <v>3.9599999999999995</v>
      </c>
    </row>
    <row r="325" spans="2:10">
      <c r="B325" s="60" t="s">
        <v>1393</v>
      </c>
      <c r="C325" s="59" t="s">
        <v>240</v>
      </c>
      <c r="D325" s="18">
        <v>1.6</v>
      </c>
      <c r="E325" s="18" t="s">
        <v>0</v>
      </c>
      <c r="F325" s="18">
        <v>0.6</v>
      </c>
      <c r="G325" s="19">
        <f t="shared" si="15"/>
        <v>0.96</v>
      </c>
      <c r="H325" s="69">
        <v>0</v>
      </c>
      <c r="I325" s="18">
        <v>2</v>
      </c>
      <c r="J325" s="20">
        <f t="shared" si="16"/>
        <v>1.92</v>
      </c>
    </row>
    <row r="326" spans="2:10">
      <c r="B326" s="60" t="s">
        <v>275</v>
      </c>
      <c r="C326" s="59" t="s">
        <v>240</v>
      </c>
      <c r="D326" s="18">
        <v>1.03</v>
      </c>
      <c r="E326" s="18" t="s">
        <v>0</v>
      </c>
      <c r="F326" s="18">
        <v>1.76</v>
      </c>
      <c r="G326" s="19">
        <f t="shared" si="15"/>
        <v>1.8128</v>
      </c>
      <c r="H326" s="69">
        <v>0</v>
      </c>
      <c r="I326" s="18">
        <v>96</v>
      </c>
      <c r="J326" s="20">
        <f t="shared" si="16"/>
        <v>174.02879999999999</v>
      </c>
    </row>
    <row r="327" spans="2:10">
      <c r="B327" s="60" t="s">
        <v>284</v>
      </c>
      <c r="C327" s="59" t="s">
        <v>240</v>
      </c>
      <c r="D327" s="18">
        <v>8.1999999999999993</v>
      </c>
      <c r="E327" s="18" t="s">
        <v>0</v>
      </c>
      <c r="F327" s="18">
        <v>0.6</v>
      </c>
      <c r="G327" s="19">
        <f t="shared" si="15"/>
        <v>4.919999999999999</v>
      </c>
      <c r="H327" s="69">
        <v>0</v>
      </c>
      <c r="I327" s="18">
        <v>1</v>
      </c>
      <c r="J327" s="20">
        <f t="shared" si="16"/>
        <v>4.919999999999999</v>
      </c>
    </row>
    <row r="328" spans="2:10">
      <c r="B328" s="61"/>
      <c r="C328" s="62" t="s">
        <v>264</v>
      </c>
      <c r="D328" s="63"/>
      <c r="E328" s="63"/>
      <c r="F328" s="63"/>
      <c r="G328" s="64"/>
      <c r="H328" s="65"/>
      <c r="I328" s="63"/>
      <c r="J328" s="66" t="s">
        <v>0</v>
      </c>
    </row>
    <row r="329" spans="2:10">
      <c r="B329" s="60" t="s">
        <v>1379</v>
      </c>
      <c r="C329" s="59" t="s">
        <v>1258</v>
      </c>
      <c r="D329" s="18">
        <v>2</v>
      </c>
      <c r="E329" s="18" t="s">
        <v>0</v>
      </c>
      <c r="F329" s="18">
        <v>1.1000000000000001</v>
      </c>
      <c r="G329" s="19">
        <f>PRODUCT(D329,E329,F329)</f>
        <v>2.2000000000000002</v>
      </c>
      <c r="H329" s="69">
        <v>0</v>
      </c>
      <c r="I329" s="18">
        <v>1</v>
      </c>
      <c r="J329" s="20">
        <f>IF(G329&gt;0,G329*I329,H329*I329)</f>
        <v>2.2000000000000002</v>
      </c>
    </row>
    <row r="330" spans="2:10">
      <c r="B330" s="60" t="s">
        <v>1380</v>
      </c>
      <c r="C330" s="59" t="s">
        <v>1259</v>
      </c>
      <c r="D330" s="18">
        <v>1.5</v>
      </c>
      <c r="E330" s="18" t="s">
        <v>0</v>
      </c>
      <c r="F330" s="18">
        <v>1.1000000000000001</v>
      </c>
      <c r="G330" s="19">
        <f>PRODUCT(D330,E330,F330)</f>
        <v>1.6500000000000001</v>
      </c>
      <c r="H330" s="69">
        <v>0</v>
      </c>
      <c r="I330" s="18">
        <v>1</v>
      </c>
      <c r="J330" s="20">
        <f>IF(G330&gt;0,G330*I330,H330*I330)</f>
        <v>1.6500000000000001</v>
      </c>
    </row>
    <row r="332" spans="2:10">
      <c r="B332" s="14" t="s">
        <v>152</v>
      </c>
      <c r="C332" s="1005" t="s">
        <v>153</v>
      </c>
      <c r="D332" s="1005"/>
      <c r="E332" s="1005"/>
      <c r="F332" s="1005"/>
      <c r="G332" s="1005"/>
      <c r="H332" s="1005"/>
      <c r="I332" s="1005"/>
      <c r="J332" s="15"/>
    </row>
    <row r="333" spans="2:10">
      <c r="B333" s="61"/>
      <c r="C333" s="62" t="s">
        <v>222</v>
      </c>
      <c r="D333" s="63"/>
      <c r="E333" s="63"/>
      <c r="F333" s="63"/>
      <c r="G333" s="64"/>
      <c r="H333" s="65"/>
      <c r="I333" s="63"/>
      <c r="J333" s="66" t="s">
        <v>0</v>
      </c>
    </row>
    <row r="334" spans="2:10">
      <c r="B334" s="67" t="s">
        <v>218</v>
      </c>
      <c r="C334" s="59" t="s">
        <v>236</v>
      </c>
      <c r="D334" s="18">
        <v>0.8</v>
      </c>
      <c r="E334" s="18" t="s">
        <v>0</v>
      </c>
      <c r="F334" s="18">
        <v>2.1</v>
      </c>
      <c r="G334" s="19">
        <f>PRODUCT(D334,E334,F334)</f>
        <v>1.6800000000000002</v>
      </c>
      <c r="H334" s="69">
        <v>0</v>
      </c>
      <c r="I334" s="18">
        <v>33</v>
      </c>
      <c r="J334" s="20">
        <f>IF(G334&gt;0,G334*I334,H334*I334)</f>
        <v>55.440000000000005</v>
      </c>
    </row>
    <row r="335" spans="2:10">
      <c r="B335" s="67" t="s">
        <v>219</v>
      </c>
      <c r="C335" s="59" t="s">
        <v>237</v>
      </c>
      <c r="D335" s="18">
        <v>0.9</v>
      </c>
      <c r="E335" s="18" t="s">
        <v>0</v>
      </c>
      <c r="F335" s="18">
        <f>$F$285</f>
        <v>2.1</v>
      </c>
      <c r="G335" s="19">
        <f>PRODUCT(D335,E335,F335)</f>
        <v>1.8900000000000001</v>
      </c>
      <c r="H335" s="69">
        <v>0</v>
      </c>
      <c r="I335" s="18">
        <v>2</v>
      </c>
      <c r="J335" s="20">
        <f>IF(G335&gt;0,G335*I335,H335*I335)</f>
        <v>3.7800000000000002</v>
      </c>
    </row>
    <row r="336" spans="2:10">
      <c r="B336" s="67" t="s">
        <v>220</v>
      </c>
      <c r="C336" s="59" t="s">
        <v>238</v>
      </c>
      <c r="D336" s="18">
        <v>1.6</v>
      </c>
      <c r="E336" s="18" t="s">
        <v>0</v>
      </c>
      <c r="F336" s="18">
        <f>$F$285</f>
        <v>2.1</v>
      </c>
      <c r="G336" s="19">
        <f>PRODUCT(D336,E336,F336)</f>
        <v>3.3600000000000003</v>
      </c>
      <c r="H336" s="69">
        <v>0</v>
      </c>
      <c r="I336" s="18">
        <v>5</v>
      </c>
      <c r="J336" s="20">
        <f>IF(G336&gt;0,G336*I336,H336*I336)</f>
        <v>16.8</v>
      </c>
    </row>
    <row r="337" spans="2:10">
      <c r="B337" s="67" t="s">
        <v>280</v>
      </c>
      <c r="C337" s="59" t="s">
        <v>238</v>
      </c>
      <c r="D337" s="18">
        <v>1.2</v>
      </c>
      <c r="E337" s="18" t="s">
        <v>0</v>
      </c>
      <c r="F337" s="18">
        <f>$F$285</f>
        <v>2.1</v>
      </c>
      <c r="G337" s="19">
        <f>PRODUCT(D337,E337,F337)</f>
        <v>2.52</v>
      </c>
      <c r="H337" s="69">
        <v>0</v>
      </c>
      <c r="I337" s="18">
        <v>2</v>
      </c>
      <c r="J337" s="20">
        <f>IF(G337&gt;0,G337*I337,H337*I337)</f>
        <v>5.04</v>
      </c>
    </row>
    <row r="338" spans="2:10">
      <c r="B338" s="67" t="s">
        <v>228</v>
      </c>
      <c r="C338" s="59" t="s">
        <v>232</v>
      </c>
      <c r="D338" s="18">
        <v>1</v>
      </c>
      <c r="E338" s="18" t="s">
        <v>0</v>
      </c>
      <c r="F338" s="18">
        <f>$F$285</f>
        <v>2.1</v>
      </c>
      <c r="G338" s="19">
        <f>PRODUCT(D338,E338,F338)</f>
        <v>2.1</v>
      </c>
      <c r="H338" s="69">
        <v>0</v>
      </c>
      <c r="I338" s="18">
        <v>9</v>
      </c>
      <c r="J338" s="20">
        <f>IF(G338&gt;0,G338*I338,H338*I338)</f>
        <v>18.900000000000002</v>
      </c>
    </row>
    <row r="339" spans="2:10">
      <c r="B339" s="61"/>
      <c r="C339" s="62" t="s">
        <v>223</v>
      </c>
      <c r="D339" s="63"/>
      <c r="E339" s="63"/>
      <c r="F339" s="63" t="s">
        <v>0</v>
      </c>
      <c r="G339" s="64"/>
      <c r="H339" s="65"/>
      <c r="I339" s="63"/>
      <c r="J339" s="66" t="s">
        <v>0</v>
      </c>
    </row>
    <row r="340" spans="2:10">
      <c r="B340" s="60" t="s">
        <v>1388</v>
      </c>
      <c r="C340" s="59" t="s">
        <v>240</v>
      </c>
      <c r="D340" s="18">
        <v>4</v>
      </c>
      <c r="E340" s="18" t="s">
        <v>0</v>
      </c>
      <c r="F340" s="18">
        <v>0.6</v>
      </c>
      <c r="G340" s="19">
        <f t="shared" ref="G340:G346" si="17">PRODUCT(D340,E340,F340)</f>
        <v>2.4</v>
      </c>
      <c r="H340" s="69">
        <v>0</v>
      </c>
      <c r="I340" s="18">
        <v>2</v>
      </c>
      <c r="J340" s="20">
        <f t="shared" ref="J340:J346" si="18">IF(G340&gt;0,G340*I340,H340*I340)</f>
        <v>4.8</v>
      </c>
    </row>
    <row r="341" spans="2:10">
      <c r="B341" s="60" t="s">
        <v>1389</v>
      </c>
      <c r="C341" s="59" t="s">
        <v>240</v>
      </c>
      <c r="D341" s="18">
        <v>1.2</v>
      </c>
      <c r="E341" s="18" t="s">
        <v>0</v>
      </c>
      <c r="F341" s="18">
        <v>0.6</v>
      </c>
      <c r="G341" s="19">
        <f t="shared" si="17"/>
        <v>0.72</v>
      </c>
      <c r="H341" s="69">
        <v>0</v>
      </c>
      <c r="I341" s="18">
        <v>1</v>
      </c>
      <c r="J341" s="20">
        <f t="shared" si="18"/>
        <v>0.72</v>
      </c>
    </row>
    <row r="342" spans="2:10">
      <c r="B342" s="60" t="s">
        <v>1389</v>
      </c>
      <c r="C342" s="59" t="s">
        <v>240</v>
      </c>
      <c r="D342" s="18">
        <v>1.2</v>
      </c>
      <c r="E342" s="18" t="s">
        <v>0</v>
      </c>
      <c r="F342" s="18">
        <v>0.6</v>
      </c>
      <c r="G342" s="19">
        <f t="shared" si="17"/>
        <v>0.72</v>
      </c>
      <c r="H342" s="69">
        <v>0</v>
      </c>
      <c r="I342" s="18">
        <v>1</v>
      </c>
      <c r="J342" s="20">
        <f t="shared" si="18"/>
        <v>0.72</v>
      </c>
    </row>
    <row r="343" spans="2:10">
      <c r="B343" s="60" t="s">
        <v>276</v>
      </c>
      <c r="C343" s="59" t="s">
        <v>240</v>
      </c>
      <c r="D343" s="18">
        <v>2.4500000000000002</v>
      </c>
      <c r="E343" s="18" t="s">
        <v>0</v>
      </c>
      <c r="F343" s="18">
        <v>0.6</v>
      </c>
      <c r="G343" s="19">
        <f t="shared" si="17"/>
        <v>1.47</v>
      </c>
      <c r="H343" s="69">
        <v>0</v>
      </c>
      <c r="I343" s="18">
        <v>2</v>
      </c>
      <c r="J343" s="20">
        <f t="shared" si="18"/>
        <v>2.94</v>
      </c>
    </row>
    <row r="344" spans="2:10">
      <c r="B344" s="60" t="s">
        <v>1260</v>
      </c>
      <c r="C344" s="59" t="s">
        <v>240</v>
      </c>
      <c r="D344" s="18">
        <v>13.45</v>
      </c>
      <c r="E344" s="18" t="s">
        <v>0</v>
      </c>
      <c r="F344" s="18">
        <v>0.6</v>
      </c>
      <c r="G344" s="19">
        <f t="shared" si="17"/>
        <v>8.0699999999999985</v>
      </c>
      <c r="H344" s="69">
        <v>0</v>
      </c>
      <c r="I344" s="18">
        <v>2</v>
      </c>
      <c r="J344" s="20">
        <f t="shared" si="18"/>
        <v>16.139999999999997</v>
      </c>
    </row>
    <row r="345" spans="2:10">
      <c r="B345" s="60" t="s">
        <v>1261</v>
      </c>
      <c r="C345" s="59" t="s">
        <v>240</v>
      </c>
      <c r="D345" s="18">
        <v>1</v>
      </c>
      <c r="E345" s="18" t="s">
        <v>0</v>
      </c>
      <c r="F345" s="18">
        <v>0.6</v>
      </c>
      <c r="G345" s="19">
        <f t="shared" si="17"/>
        <v>0.6</v>
      </c>
      <c r="H345" s="69">
        <v>0</v>
      </c>
      <c r="I345" s="18">
        <v>2</v>
      </c>
      <c r="J345" s="20">
        <f t="shared" si="18"/>
        <v>1.2</v>
      </c>
    </row>
    <row r="346" spans="2:10">
      <c r="B346" s="60" t="s">
        <v>275</v>
      </c>
      <c r="C346" s="59" t="s">
        <v>240</v>
      </c>
      <c r="D346" s="18">
        <v>1.03</v>
      </c>
      <c r="E346" s="18" t="s">
        <v>0</v>
      </c>
      <c r="F346" s="18">
        <v>1.76</v>
      </c>
      <c r="G346" s="19">
        <f t="shared" si="17"/>
        <v>1.8128</v>
      </c>
      <c r="H346" s="69">
        <v>0</v>
      </c>
      <c r="I346" s="18">
        <v>96</v>
      </c>
      <c r="J346" s="20">
        <f t="shared" si="18"/>
        <v>174.02879999999999</v>
      </c>
    </row>
    <row r="347" spans="2:10">
      <c r="B347" s="61"/>
      <c r="C347" s="62" t="s">
        <v>264</v>
      </c>
      <c r="D347" s="63"/>
      <c r="E347" s="63"/>
      <c r="F347" s="63"/>
      <c r="G347" s="64"/>
      <c r="H347" s="65"/>
      <c r="I347" s="63"/>
      <c r="J347" s="66" t="s">
        <v>0</v>
      </c>
    </row>
    <row r="348" spans="2:10">
      <c r="B348" s="60" t="s">
        <v>1379</v>
      </c>
      <c r="C348" s="59" t="s">
        <v>1262</v>
      </c>
      <c r="D348" s="18">
        <v>2</v>
      </c>
      <c r="E348" s="18" t="s">
        <v>0</v>
      </c>
      <c r="F348" s="18">
        <v>1.1000000000000001</v>
      </c>
      <c r="G348" s="19">
        <f>PRODUCT(D348,E348,F348)</f>
        <v>2.2000000000000002</v>
      </c>
      <c r="H348" s="69">
        <v>0</v>
      </c>
      <c r="I348" s="18">
        <v>1</v>
      </c>
      <c r="J348" s="20">
        <f>IF(G348&gt;0,G348*I348,H348*I348)</f>
        <v>2.2000000000000002</v>
      </c>
    </row>
    <row r="350" spans="2:10">
      <c r="B350" s="14" t="s">
        <v>154</v>
      </c>
      <c r="C350" s="1005" t="s">
        <v>155</v>
      </c>
      <c r="D350" s="1005"/>
      <c r="E350" s="1005"/>
      <c r="F350" s="1005"/>
      <c r="G350" s="1005"/>
      <c r="H350" s="1005"/>
      <c r="I350" s="1005"/>
      <c r="J350" s="15"/>
    </row>
    <row r="351" spans="2:10">
      <c r="B351" s="61"/>
      <c r="C351" s="62" t="s">
        <v>222</v>
      </c>
      <c r="D351" s="63"/>
      <c r="E351" s="63"/>
      <c r="F351" s="63"/>
      <c r="G351" s="64"/>
      <c r="H351" s="65"/>
      <c r="I351" s="63"/>
      <c r="J351" s="66" t="s">
        <v>0</v>
      </c>
    </row>
    <row r="352" spans="2:10">
      <c r="B352" s="67" t="s">
        <v>218</v>
      </c>
      <c r="C352" s="59" t="s">
        <v>236</v>
      </c>
      <c r="D352" s="18">
        <v>0.8</v>
      </c>
      <c r="E352" s="18" t="s">
        <v>0</v>
      </c>
      <c r="F352" s="18">
        <v>2.1</v>
      </c>
      <c r="G352" s="19">
        <f>PRODUCT(D352,E352,F352)</f>
        <v>1.6800000000000002</v>
      </c>
      <c r="H352" s="69">
        <v>0</v>
      </c>
      <c r="I352" s="18">
        <v>42</v>
      </c>
      <c r="J352" s="20">
        <f>IF(G352&gt;0,G352*I352,H352*I352)</f>
        <v>70.56</v>
      </c>
    </row>
    <row r="353" spans="2:10">
      <c r="B353" s="67" t="s">
        <v>219</v>
      </c>
      <c r="C353" s="59" t="s">
        <v>237</v>
      </c>
      <c r="D353" s="18">
        <v>0.9</v>
      </c>
      <c r="E353" s="18" t="s">
        <v>0</v>
      </c>
      <c r="F353" s="18">
        <f>$F$285</f>
        <v>2.1</v>
      </c>
      <c r="G353" s="19">
        <f>PRODUCT(D353,E353,F353)</f>
        <v>1.8900000000000001</v>
      </c>
      <c r="H353" s="69">
        <v>0</v>
      </c>
      <c r="I353" s="18">
        <v>4</v>
      </c>
      <c r="J353" s="20">
        <f>IF(G353&gt;0,G353*I353,H353*I353)</f>
        <v>7.5600000000000005</v>
      </c>
    </row>
    <row r="354" spans="2:10">
      <c r="B354" s="67" t="s">
        <v>220</v>
      </c>
      <c r="C354" s="59" t="s">
        <v>238</v>
      </c>
      <c r="D354" s="18">
        <v>1.6</v>
      </c>
      <c r="E354" s="18" t="s">
        <v>0</v>
      </c>
      <c r="F354" s="18">
        <f>$F$285</f>
        <v>2.1</v>
      </c>
      <c r="G354" s="19">
        <f>PRODUCT(D354,E354,F354)</f>
        <v>3.3600000000000003</v>
      </c>
      <c r="H354" s="69">
        <v>0</v>
      </c>
      <c r="I354" s="18">
        <v>3</v>
      </c>
      <c r="J354" s="20">
        <f>IF(G354&gt;0,G354*I354,H354*I354)</f>
        <v>10.080000000000002</v>
      </c>
    </row>
    <row r="355" spans="2:10">
      <c r="B355" s="67" t="s">
        <v>280</v>
      </c>
      <c r="C355" s="59" t="s">
        <v>238</v>
      </c>
      <c r="D355" s="18">
        <v>1.2</v>
      </c>
      <c r="E355" s="18" t="s">
        <v>0</v>
      </c>
      <c r="F355" s="18">
        <f>$F$285</f>
        <v>2.1</v>
      </c>
      <c r="G355" s="19">
        <f>PRODUCT(D355,E355,F355)</f>
        <v>2.52</v>
      </c>
      <c r="H355" s="69">
        <v>0</v>
      </c>
      <c r="I355" s="18">
        <v>3</v>
      </c>
      <c r="J355" s="20">
        <f>IF(G355&gt;0,G355*I355,H355*I355)</f>
        <v>7.5600000000000005</v>
      </c>
    </row>
    <row r="356" spans="2:10">
      <c r="B356" s="67" t="s">
        <v>228</v>
      </c>
      <c r="C356" s="59" t="s">
        <v>232</v>
      </c>
      <c r="D356" s="18">
        <v>1</v>
      </c>
      <c r="E356" s="18" t="s">
        <v>0</v>
      </c>
      <c r="F356" s="18">
        <f>$F$285</f>
        <v>2.1</v>
      </c>
      <c r="G356" s="19">
        <f>PRODUCT(D356,E356,F356)</f>
        <v>2.1</v>
      </c>
      <c r="H356" s="69">
        <v>0</v>
      </c>
      <c r="I356" s="18">
        <v>9</v>
      </c>
      <c r="J356" s="20">
        <f>IF(G356&gt;0,G356*I356,H356*I356)</f>
        <v>18.900000000000002</v>
      </c>
    </row>
    <row r="357" spans="2:10">
      <c r="B357" s="61"/>
      <c r="C357" s="62" t="s">
        <v>223</v>
      </c>
      <c r="D357" s="63"/>
      <c r="E357" s="63"/>
      <c r="F357" s="63" t="s">
        <v>0</v>
      </c>
      <c r="G357" s="64"/>
      <c r="H357" s="65"/>
      <c r="I357" s="63"/>
      <c r="J357" s="66" t="s">
        <v>0</v>
      </c>
    </row>
    <row r="358" spans="2:10">
      <c r="B358" s="60" t="s">
        <v>1388</v>
      </c>
      <c r="C358" s="59" t="s">
        <v>240</v>
      </c>
      <c r="D358" s="18">
        <v>4</v>
      </c>
      <c r="E358" s="18" t="s">
        <v>0</v>
      </c>
      <c r="F358" s="18">
        <v>0.6</v>
      </c>
      <c r="G358" s="19">
        <f t="shared" ref="G358:G370" si="19">PRODUCT(D358,E358,F358)</f>
        <v>2.4</v>
      </c>
      <c r="H358" s="69">
        <v>0</v>
      </c>
      <c r="I358" s="18">
        <v>2</v>
      </c>
      <c r="J358" s="20">
        <f t="shared" ref="J358:J370" si="20">IF(G358&gt;0,G358*I358,H358*I358)</f>
        <v>4.8</v>
      </c>
    </row>
    <row r="359" spans="2:10">
      <c r="B359" s="60" t="s">
        <v>1389</v>
      </c>
      <c r="C359" s="59" t="s">
        <v>240</v>
      </c>
      <c r="D359" s="18">
        <v>1.2</v>
      </c>
      <c r="E359" s="18" t="s">
        <v>0</v>
      </c>
      <c r="F359" s="18">
        <v>0.6</v>
      </c>
      <c r="G359" s="19">
        <f t="shared" si="19"/>
        <v>0.72</v>
      </c>
      <c r="H359" s="69">
        <v>0</v>
      </c>
      <c r="I359" s="18">
        <v>1</v>
      </c>
      <c r="J359" s="20">
        <f t="shared" si="20"/>
        <v>0.72</v>
      </c>
    </row>
    <row r="360" spans="2:10">
      <c r="B360" s="60" t="s">
        <v>1389</v>
      </c>
      <c r="C360" s="59" t="s">
        <v>240</v>
      </c>
      <c r="D360" s="18">
        <v>1.2</v>
      </c>
      <c r="E360" s="18" t="s">
        <v>0</v>
      </c>
      <c r="F360" s="18">
        <v>0.6</v>
      </c>
      <c r="G360" s="19">
        <f t="shared" si="19"/>
        <v>0.72</v>
      </c>
      <c r="H360" s="69">
        <v>0</v>
      </c>
      <c r="I360" s="18">
        <v>1</v>
      </c>
      <c r="J360" s="20">
        <f t="shared" si="20"/>
        <v>0.72</v>
      </c>
    </row>
    <row r="361" spans="2:10">
      <c r="B361" s="60" t="s">
        <v>1393</v>
      </c>
      <c r="C361" s="59" t="s">
        <v>240</v>
      </c>
      <c r="D361" s="18">
        <v>4</v>
      </c>
      <c r="E361" s="18" t="s">
        <v>0</v>
      </c>
      <c r="F361" s="18">
        <v>0.6</v>
      </c>
      <c r="G361" s="19">
        <f t="shared" si="19"/>
        <v>2.4</v>
      </c>
      <c r="H361" s="69">
        <v>0</v>
      </c>
      <c r="I361" s="18">
        <v>2</v>
      </c>
      <c r="J361" s="20">
        <f t="shared" si="20"/>
        <v>4.8</v>
      </c>
    </row>
    <row r="362" spans="2:10">
      <c r="B362" s="60" t="s">
        <v>1394</v>
      </c>
      <c r="C362" s="59" t="s">
        <v>240</v>
      </c>
      <c r="D362" s="18">
        <v>2</v>
      </c>
      <c r="E362" s="18" t="s">
        <v>0</v>
      </c>
      <c r="F362" s="18">
        <v>0.6</v>
      </c>
      <c r="G362" s="19">
        <f t="shared" si="19"/>
        <v>1.2</v>
      </c>
      <c r="H362" s="69">
        <v>0</v>
      </c>
      <c r="I362" s="18">
        <v>1</v>
      </c>
      <c r="J362" s="20">
        <f t="shared" si="20"/>
        <v>1.2</v>
      </c>
    </row>
    <row r="363" spans="2:10">
      <c r="B363" s="60" t="s">
        <v>1395</v>
      </c>
      <c r="C363" s="59" t="s">
        <v>240</v>
      </c>
      <c r="D363" s="18">
        <v>3.05</v>
      </c>
      <c r="E363" s="18" t="s">
        <v>0</v>
      </c>
      <c r="F363" s="18">
        <v>0.6</v>
      </c>
      <c r="G363" s="19">
        <f t="shared" si="19"/>
        <v>1.8299999999999998</v>
      </c>
      <c r="H363" s="69">
        <v>0</v>
      </c>
      <c r="I363" s="18">
        <v>1</v>
      </c>
      <c r="J363" s="20">
        <f t="shared" si="20"/>
        <v>1.8299999999999998</v>
      </c>
    </row>
    <row r="364" spans="2:10">
      <c r="B364" s="60" t="s">
        <v>1396</v>
      </c>
      <c r="C364" s="59" t="s">
        <v>240</v>
      </c>
      <c r="D364" s="18">
        <v>3.25</v>
      </c>
      <c r="E364" s="18" t="s">
        <v>0</v>
      </c>
      <c r="F364" s="18">
        <v>0.6</v>
      </c>
      <c r="G364" s="19">
        <f t="shared" si="19"/>
        <v>1.95</v>
      </c>
      <c r="H364" s="69">
        <v>0</v>
      </c>
      <c r="I364" s="18">
        <v>1</v>
      </c>
      <c r="J364" s="20">
        <f t="shared" si="20"/>
        <v>1.95</v>
      </c>
    </row>
    <row r="365" spans="2:10">
      <c r="B365" s="60" t="s">
        <v>1397</v>
      </c>
      <c r="C365" s="59" t="s">
        <v>240</v>
      </c>
      <c r="D365" s="18">
        <v>1.6</v>
      </c>
      <c r="E365" s="18" t="s">
        <v>0</v>
      </c>
      <c r="F365" s="18">
        <v>0.6</v>
      </c>
      <c r="G365" s="19">
        <f t="shared" si="19"/>
        <v>0.96</v>
      </c>
      <c r="H365" s="69">
        <v>0</v>
      </c>
      <c r="I365" s="18">
        <v>1</v>
      </c>
      <c r="J365" s="20">
        <f t="shared" si="20"/>
        <v>0.96</v>
      </c>
    </row>
    <row r="366" spans="2:10">
      <c r="B366" s="60" t="s">
        <v>1398</v>
      </c>
      <c r="C366" s="59" t="s">
        <v>240</v>
      </c>
      <c r="D366" s="18">
        <v>11.8</v>
      </c>
      <c r="E366" s="18" t="s">
        <v>0</v>
      </c>
      <c r="F366" s="18">
        <v>0.6</v>
      </c>
      <c r="G366" s="19">
        <f t="shared" si="19"/>
        <v>7.08</v>
      </c>
      <c r="H366" s="69">
        <v>0</v>
      </c>
      <c r="I366" s="18">
        <v>1</v>
      </c>
      <c r="J366" s="20">
        <f t="shared" si="20"/>
        <v>7.08</v>
      </c>
    </row>
    <row r="367" spans="2:10">
      <c r="B367" s="60" t="s">
        <v>1399</v>
      </c>
      <c r="C367" s="59" t="s">
        <v>240</v>
      </c>
      <c r="D367" s="18">
        <v>2.5</v>
      </c>
      <c r="E367" s="18" t="s">
        <v>0</v>
      </c>
      <c r="F367" s="18">
        <v>0.6</v>
      </c>
      <c r="G367" s="19">
        <f t="shared" si="19"/>
        <v>1.5</v>
      </c>
      <c r="H367" s="69">
        <v>0</v>
      </c>
      <c r="I367" s="18">
        <v>1</v>
      </c>
      <c r="J367" s="20">
        <f t="shared" si="20"/>
        <v>1.5</v>
      </c>
    </row>
    <row r="368" spans="2:10">
      <c r="B368" s="60" t="s">
        <v>1400</v>
      </c>
      <c r="C368" s="59" t="s">
        <v>240</v>
      </c>
      <c r="D368" s="18">
        <v>2.35</v>
      </c>
      <c r="E368" s="18" t="s">
        <v>0</v>
      </c>
      <c r="F368" s="18">
        <v>0.6</v>
      </c>
      <c r="G368" s="19">
        <f t="shared" si="19"/>
        <v>1.41</v>
      </c>
      <c r="H368" s="69">
        <v>0</v>
      </c>
      <c r="I368" s="18">
        <v>1</v>
      </c>
      <c r="J368" s="20">
        <f t="shared" si="20"/>
        <v>1.41</v>
      </c>
    </row>
    <row r="369" spans="2:10">
      <c r="B369" s="60" t="s">
        <v>1263</v>
      </c>
      <c r="C369" s="59" t="s">
        <v>240</v>
      </c>
      <c r="D369" s="18">
        <v>2.9</v>
      </c>
      <c r="E369" s="18" t="s">
        <v>0</v>
      </c>
      <c r="F369" s="18">
        <v>0.6</v>
      </c>
      <c r="G369" s="19">
        <f t="shared" si="19"/>
        <v>1.74</v>
      </c>
      <c r="H369" s="69">
        <v>0</v>
      </c>
      <c r="I369" s="18">
        <v>1</v>
      </c>
      <c r="J369" s="20">
        <f t="shared" si="20"/>
        <v>1.74</v>
      </c>
    </row>
    <row r="370" spans="2:10">
      <c r="B370" s="60" t="s">
        <v>275</v>
      </c>
      <c r="C370" s="59" t="s">
        <v>240</v>
      </c>
      <c r="D370" s="18">
        <v>1.03</v>
      </c>
      <c r="E370" s="18" t="s">
        <v>0</v>
      </c>
      <c r="F370" s="18">
        <v>1.76</v>
      </c>
      <c r="G370" s="19">
        <f t="shared" si="19"/>
        <v>1.8128</v>
      </c>
      <c r="H370" s="69">
        <v>0</v>
      </c>
      <c r="I370" s="18">
        <v>96</v>
      </c>
      <c r="J370" s="20">
        <f t="shared" si="20"/>
        <v>174.02879999999999</v>
      </c>
    </row>
    <row r="372" spans="2:10">
      <c r="B372" s="14" t="s">
        <v>156</v>
      </c>
      <c r="C372" s="1005" t="s">
        <v>285</v>
      </c>
      <c r="D372" s="1005"/>
      <c r="E372" s="1005"/>
      <c r="F372" s="1005"/>
      <c r="G372" s="1005"/>
      <c r="H372" s="1005"/>
      <c r="I372" s="1005"/>
      <c r="J372" s="15"/>
    </row>
    <row r="373" spans="2:10">
      <c r="B373" s="61"/>
      <c r="C373" s="62" t="s">
        <v>222</v>
      </c>
      <c r="D373" s="63"/>
      <c r="E373" s="63"/>
      <c r="F373" s="63"/>
      <c r="G373" s="64"/>
      <c r="H373" s="65"/>
      <c r="I373" s="63"/>
      <c r="J373" s="66" t="s">
        <v>0</v>
      </c>
    </row>
    <row r="374" spans="2:10">
      <c r="B374" s="67" t="s">
        <v>218</v>
      </c>
      <c r="C374" s="59" t="s">
        <v>236</v>
      </c>
      <c r="D374" s="18">
        <v>0.8</v>
      </c>
      <c r="E374" s="18" t="s">
        <v>0</v>
      </c>
      <c r="F374" s="18">
        <v>2.1</v>
      </c>
      <c r="G374" s="19">
        <f>PRODUCT(D374,E374,F374)</f>
        <v>1.6800000000000002</v>
      </c>
      <c r="H374" s="69">
        <v>0</v>
      </c>
      <c r="I374" s="18">
        <v>33</v>
      </c>
      <c r="J374" s="20">
        <f>IF(G374&gt;0,G374*I374,H374*I374)</f>
        <v>55.440000000000005</v>
      </c>
    </row>
    <row r="375" spans="2:10">
      <c r="B375" s="67" t="s">
        <v>219</v>
      </c>
      <c r="C375" s="59" t="s">
        <v>237</v>
      </c>
      <c r="D375" s="18">
        <v>0.9</v>
      </c>
      <c r="E375" s="18" t="s">
        <v>0</v>
      </c>
      <c r="F375" s="18">
        <f>$F$285</f>
        <v>2.1</v>
      </c>
      <c r="G375" s="19">
        <f>PRODUCT(D375,E375,F375)</f>
        <v>1.8900000000000001</v>
      </c>
      <c r="H375" s="69">
        <v>0</v>
      </c>
      <c r="I375" s="18">
        <v>4</v>
      </c>
      <c r="J375" s="20">
        <f>IF(G375&gt;0,G375*I375,H375*I375)</f>
        <v>7.5600000000000005</v>
      </c>
    </row>
    <row r="376" spans="2:10">
      <c r="B376" s="67" t="s">
        <v>280</v>
      </c>
      <c r="C376" s="59" t="s">
        <v>238</v>
      </c>
      <c r="D376" s="18">
        <v>1.2</v>
      </c>
      <c r="E376" s="18" t="s">
        <v>0</v>
      </c>
      <c r="F376" s="18">
        <f>$F$285</f>
        <v>2.1</v>
      </c>
      <c r="G376" s="19">
        <f>PRODUCT(D376,E376,F376)</f>
        <v>2.52</v>
      </c>
      <c r="H376" s="69">
        <v>0</v>
      </c>
      <c r="I376" s="18">
        <v>15</v>
      </c>
      <c r="J376" s="20">
        <f>IF(G376&gt;0,G376*I376,H376*I376)</f>
        <v>37.799999999999997</v>
      </c>
    </row>
    <row r="377" spans="2:10">
      <c r="B377" s="67" t="s">
        <v>228</v>
      </c>
      <c r="C377" s="59" t="s">
        <v>232</v>
      </c>
      <c r="D377" s="18">
        <v>1</v>
      </c>
      <c r="E377" s="18" t="s">
        <v>0</v>
      </c>
      <c r="F377" s="18">
        <f>$F$285</f>
        <v>2.1</v>
      </c>
      <c r="G377" s="19">
        <f>PRODUCT(D377,E377,F377)</f>
        <v>2.1</v>
      </c>
      <c r="H377" s="69">
        <v>0</v>
      </c>
      <c r="I377" s="18">
        <v>9</v>
      </c>
      <c r="J377" s="20">
        <f>IF(G377&gt;0,G377*I377,H377*I377)</f>
        <v>18.900000000000002</v>
      </c>
    </row>
    <row r="378" spans="2:10">
      <c r="B378" s="61"/>
      <c r="C378" s="62" t="s">
        <v>230</v>
      </c>
      <c r="D378" s="63"/>
      <c r="E378" s="63"/>
      <c r="F378" s="63"/>
      <c r="G378" s="64"/>
      <c r="H378" s="65"/>
      <c r="I378" s="63"/>
      <c r="J378" s="66"/>
    </row>
    <row r="379" spans="2:10">
      <c r="B379" s="220" t="s">
        <v>1375</v>
      </c>
      <c r="C379" s="59" t="s">
        <v>239</v>
      </c>
      <c r="D379" s="18">
        <v>0.6</v>
      </c>
      <c r="E379" s="18" t="s">
        <v>0</v>
      </c>
      <c r="F379" s="18">
        <v>1.8</v>
      </c>
      <c r="G379" s="19">
        <f>PRODUCT(D379,E379,F379)</f>
        <v>1.08</v>
      </c>
      <c r="H379" s="69">
        <v>0</v>
      </c>
      <c r="I379" s="18">
        <v>10</v>
      </c>
      <c r="J379" s="20">
        <f>IF(G379&gt;0,G379*I379,H379*I379)</f>
        <v>10.8</v>
      </c>
    </row>
    <row r="380" spans="2:10">
      <c r="B380" s="61"/>
      <c r="C380" s="62" t="s">
        <v>223</v>
      </c>
      <c r="D380" s="63"/>
      <c r="E380" s="63"/>
      <c r="F380" s="63" t="s">
        <v>0</v>
      </c>
      <c r="G380" s="64"/>
      <c r="H380" s="65"/>
      <c r="I380" s="63"/>
      <c r="J380" s="66" t="s">
        <v>0</v>
      </c>
    </row>
    <row r="381" spans="2:10">
      <c r="B381" s="60" t="s">
        <v>1388</v>
      </c>
      <c r="C381" s="59" t="s">
        <v>240</v>
      </c>
      <c r="D381" s="18">
        <v>4</v>
      </c>
      <c r="E381" s="18" t="s">
        <v>0</v>
      </c>
      <c r="F381" s="18">
        <v>0.6</v>
      </c>
      <c r="G381" s="19">
        <f t="shared" ref="G381:G394" si="21">PRODUCT(D381,E381,F381)</f>
        <v>2.4</v>
      </c>
      <c r="H381" s="69">
        <v>0</v>
      </c>
      <c r="I381" s="18">
        <v>2</v>
      </c>
      <c r="J381" s="20">
        <f t="shared" ref="J381:J394" si="22">IF(G381&gt;0,G381*I381,H381*I381)</f>
        <v>4.8</v>
      </c>
    </row>
    <row r="382" spans="2:10">
      <c r="B382" s="60" t="s">
        <v>1389</v>
      </c>
      <c r="C382" s="59" t="s">
        <v>240</v>
      </c>
      <c r="D382" s="18">
        <v>1.2</v>
      </c>
      <c r="E382" s="18" t="s">
        <v>0</v>
      </c>
      <c r="F382" s="18">
        <v>0.6</v>
      </c>
      <c r="G382" s="19">
        <f t="shared" si="21"/>
        <v>0.72</v>
      </c>
      <c r="H382" s="69">
        <v>0</v>
      </c>
      <c r="I382" s="18">
        <v>1</v>
      </c>
      <c r="J382" s="20">
        <f t="shared" si="22"/>
        <v>0.72</v>
      </c>
    </row>
    <row r="383" spans="2:10">
      <c r="B383" s="60" t="s">
        <v>1389</v>
      </c>
      <c r="C383" s="59" t="s">
        <v>240</v>
      </c>
      <c r="D383" s="18">
        <v>1.2</v>
      </c>
      <c r="E383" s="18" t="s">
        <v>0</v>
      </c>
      <c r="F383" s="18">
        <v>0.6</v>
      </c>
      <c r="G383" s="19">
        <f t="shared" si="21"/>
        <v>0.72</v>
      </c>
      <c r="H383" s="69">
        <v>0</v>
      </c>
      <c r="I383" s="18">
        <v>1</v>
      </c>
      <c r="J383" s="20">
        <f t="shared" si="22"/>
        <v>0.72</v>
      </c>
    </row>
    <row r="384" spans="2:10">
      <c r="B384" s="60" t="s">
        <v>276</v>
      </c>
      <c r="C384" s="59" t="s">
        <v>240</v>
      </c>
      <c r="D384" s="18">
        <v>4.5999999999999996</v>
      </c>
      <c r="E384" s="18" t="s">
        <v>0</v>
      </c>
      <c r="F384" s="18">
        <v>0.6</v>
      </c>
      <c r="G384" s="19">
        <f t="shared" si="21"/>
        <v>2.76</v>
      </c>
      <c r="H384" s="69">
        <v>0</v>
      </c>
      <c r="I384" s="18">
        <v>1</v>
      </c>
      <c r="J384" s="20">
        <f t="shared" si="22"/>
        <v>2.76</v>
      </c>
    </row>
    <row r="385" spans="2:10">
      <c r="B385" s="60" t="s">
        <v>278</v>
      </c>
      <c r="C385" s="59" t="s">
        <v>240</v>
      </c>
      <c r="D385" s="18">
        <v>1.6</v>
      </c>
      <c r="E385" s="18" t="s">
        <v>0</v>
      </c>
      <c r="F385" s="18">
        <v>0.6</v>
      </c>
      <c r="G385" s="19">
        <f t="shared" si="21"/>
        <v>0.96</v>
      </c>
      <c r="H385" s="69">
        <v>0</v>
      </c>
      <c r="I385" s="18">
        <v>5</v>
      </c>
      <c r="J385" s="20">
        <f t="shared" si="22"/>
        <v>4.8</v>
      </c>
    </row>
    <row r="386" spans="2:10">
      <c r="B386" s="60" t="s">
        <v>1264</v>
      </c>
      <c r="C386" s="59" t="s">
        <v>240</v>
      </c>
      <c r="D386" s="18">
        <v>1.65</v>
      </c>
      <c r="E386" s="18" t="s">
        <v>0</v>
      </c>
      <c r="F386" s="18">
        <v>0.6</v>
      </c>
      <c r="G386" s="19">
        <f t="shared" si="21"/>
        <v>0.98999999999999988</v>
      </c>
      <c r="H386" s="69">
        <v>0</v>
      </c>
      <c r="I386" s="18">
        <v>1</v>
      </c>
      <c r="J386" s="20">
        <f t="shared" si="22"/>
        <v>0.98999999999999988</v>
      </c>
    </row>
    <row r="387" spans="2:10">
      <c r="B387" s="60" t="s">
        <v>1265</v>
      </c>
      <c r="C387" s="59" t="s">
        <v>240</v>
      </c>
      <c r="D387" s="18">
        <v>1.55</v>
      </c>
      <c r="E387" s="18" t="s">
        <v>0</v>
      </c>
      <c r="F387" s="18">
        <v>0.6</v>
      </c>
      <c r="G387" s="19">
        <f t="shared" si="21"/>
        <v>0.92999999999999994</v>
      </c>
      <c r="H387" s="69">
        <v>0</v>
      </c>
      <c r="I387" s="18">
        <v>1</v>
      </c>
      <c r="J387" s="20">
        <f t="shared" si="22"/>
        <v>0.92999999999999994</v>
      </c>
    </row>
    <row r="388" spans="2:10">
      <c r="B388" s="60" t="s">
        <v>275</v>
      </c>
      <c r="C388" s="59" t="s">
        <v>240</v>
      </c>
      <c r="D388" s="18">
        <v>1.03</v>
      </c>
      <c r="E388" s="18" t="s">
        <v>0</v>
      </c>
      <c r="F388" s="18">
        <v>1.76</v>
      </c>
      <c r="G388" s="19">
        <f t="shared" si="21"/>
        <v>1.8128</v>
      </c>
      <c r="H388" s="69">
        <v>0</v>
      </c>
      <c r="I388" s="18">
        <v>96</v>
      </c>
      <c r="J388" s="20">
        <f t="shared" si="22"/>
        <v>174.02879999999999</v>
      </c>
    </row>
    <row r="389" spans="2:10">
      <c r="B389" s="60" t="s">
        <v>279</v>
      </c>
      <c r="C389" s="59" t="s">
        <v>240</v>
      </c>
      <c r="D389" s="18">
        <v>4.9000000000000004</v>
      </c>
      <c r="E389" s="18" t="s">
        <v>0</v>
      </c>
      <c r="F389" s="18">
        <v>0.6</v>
      </c>
      <c r="G389" s="19">
        <f t="shared" si="21"/>
        <v>2.94</v>
      </c>
      <c r="H389" s="69">
        <v>0</v>
      </c>
      <c r="I389" s="18">
        <v>2</v>
      </c>
      <c r="J389" s="20">
        <f t="shared" si="22"/>
        <v>5.88</v>
      </c>
    </row>
    <row r="390" spans="2:10">
      <c r="B390" s="60" t="s">
        <v>1266</v>
      </c>
      <c r="C390" s="59" t="s">
        <v>240</v>
      </c>
      <c r="D390" s="18">
        <v>4.5</v>
      </c>
      <c r="E390" s="18" t="s">
        <v>0</v>
      </c>
      <c r="F390" s="18">
        <v>0.6</v>
      </c>
      <c r="G390" s="19">
        <f t="shared" si="21"/>
        <v>2.6999999999999997</v>
      </c>
      <c r="H390" s="69">
        <v>0</v>
      </c>
      <c r="I390" s="18">
        <v>1</v>
      </c>
      <c r="J390" s="20">
        <f t="shared" si="22"/>
        <v>2.6999999999999997</v>
      </c>
    </row>
    <row r="391" spans="2:10">
      <c r="B391" s="60" t="s">
        <v>1267</v>
      </c>
      <c r="C391" s="59" t="s">
        <v>240</v>
      </c>
      <c r="D391" s="18">
        <v>4.45</v>
      </c>
      <c r="E391" s="18" t="s">
        <v>0</v>
      </c>
      <c r="F391" s="18">
        <v>0.6</v>
      </c>
      <c r="G391" s="19">
        <f t="shared" si="21"/>
        <v>2.67</v>
      </c>
      <c r="H391" s="69">
        <v>0</v>
      </c>
      <c r="I391" s="18">
        <v>1</v>
      </c>
      <c r="J391" s="20">
        <f t="shared" si="22"/>
        <v>2.67</v>
      </c>
    </row>
    <row r="392" spans="2:10">
      <c r="B392" s="60" t="s">
        <v>1268</v>
      </c>
      <c r="C392" s="59" t="s">
        <v>240</v>
      </c>
      <c r="D392" s="18">
        <v>1.55</v>
      </c>
      <c r="E392" s="18" t="s">
        <v>0</v>
      </c>
      <c r="F392" s="18">
        <v>0.6</v>
      </c>
      <c r="G392" s="19">
        <f t="shared" si="21"/>
        <v>0.92999999999999994</v>
      </c>
      <c r="H392" s="69">
        <v>0</v>
      </c>
      <c r="I392" s="18">
        <v>1</v>
      </c>
      <c r="J392" s="20">
        <f t="shared" si="22"/>
        <v>0.92999999999999994</v>
      </c>
    </row>
    <row r="393" spans="2:10">
      <c r="B393" s="60" t="s">
        <v>1269</v>
      </c>
      <c r="C393" s="59" t="s">
        <v>240</v>
      </c>
      <c r="D393" s="18">
        <v>3.45</v>
      </c>
      <c r="E393" s="18" t="s">
        <v>0</v>
      </c>
      <c r="F393" s="18">
        <v>0.6</v>
      </c>
      <c r="G393" s="19">
        <f t="shared" si="21"/>
        <v>2.0699999999999998</v>
      </c>
      <c r="H393" s="69">
        <v>0</v>
      </c>
      <c r="I393" s="18">
        <v>1</v>
      </c>
      <c r="J393" s="20">
        <f t="shared" si="22"/>
        <v>2.0699999999999998</v>
      </c>
    </row>
    <row r="394" spans="2:10">
      <c r="B394" s="60" t="s">
        <v>1270</v>
      </c>
      <c r="C394" s="59" t="s">
        <v>240</v>
      </c>
      <c r="D394" s="18">
        <v>2.85</v>
      </c>
      <c r="E394" s="18" t="s">
        <v>0</v>
      </c>
      <c r="F394" s="18">
        <v>0.6</v>
      </c>
      <c r="G394" s="19">
        <f t="shared" si="21"/>
        <v>1.71</v>
      </c>
      <c r="H394" s="69">
        <v>0</v>
      </c>
      <c r="I394" s="18">
        <v>1</v>
      </c>
      <c r="J394" s="20">
        <f t="shared" si="22"/>
        <v>1.71</v>
      </c>
    </row>
    <row r="396" spans="2:10">
      <c r="B396" s="14" t="s">
        <v>162</v>
      </c>
      <c r="C396" s="1005" t="s">
        <v>163</v>
      </c>
      <c r="D396" s="1005"/>
      <c r="E396" s="1005"/>
      <c r="F396" s="1005"/>
      <c r="G396" s="1005"/>
      <c r="H396" s="1005"/>
      <c r="I396" s="1005"/>
      <c r="J396" s="15"/>
    </row>
    <row r="397" spans="2:10">
      <c r="B397" s="61"/>
      <c r="C397" s="62" t="s">
        <v>222</v>
      </c>
      <c r="D397" s="63"/>
      <c r="E397" s="63"/>
      <c r="F397" s="63"/>
      <c r="G397" s="64"/>
      <c r="H397" s="65"/>
      <c r="I397" s="63"/>
      <c r="J397" s="66" t="s">
        <v>0</v>
      </c>
    </row>
    <row r="398" spans="2:10">
      <c r="B398" s="67" t="s">
        <v>218</v>
      </c>
      <c r="C398" s="59" t="s">
        <v>236</v>
      </c>
      <c r="D398" s="18">
        <v>0.8</v>
      </c>
      <c r="E398" s="18" t="s">
        <v>0</v>
      </c>
      <c r="F398" s="18">
        <v>2.1</v>
      </c>
      <c r="G398" s="19">
        <f>PRODUCT(D398,E398,F398)</f>
        <v>1.6800000000000002</v>
      </c>
      <c r="H398" s="69">
        <v>0</v>
      </c>
      <c r="I398" s="18">
        <v>21</v>
      </c>
      <c r="J398" s="20">
        <f>IF(G398&gt;0,G398*I398,H398*I398)</f>
        <v>35.28</v>
      </c>
    </row>
    <row r="399" spans="2:10">
      <c r="B399" s="67" t="s">
        <v>219</v>
      </c>
      <c r="C399" s="59" t="s">
        <v>237</v>
      </c>
      <c r="D399" s="18">
        <v>0.9</v>
      </c>
      <c r="E399" s="18" t="s">
        <v>0</v>
      </c>
      <c r="F399" s="18">
        <f>$F$285</f>
        <v>2.1</v>
      </c>
      <c r="G399" s="19">
        <f>PRODUCT(D399,E399,F399)</f>
        <v>1.8900000000000001</v>
      </c>
      <c r="H399" s="69">
        <v>0</v>
      </c>
      <c r="I399" s="18">
        <v>4</v>
      </c>
      <c r="J399" s="20">
        <f>IF(G399&gt;0,G399*I399,H399*I399)</f>
        <v>7.5600000000000005</v>
      </c>
    </row>
    <row r="400" spans="2:10">
      <c r="B400" s="67" t="s">
        <v>220</v>
      </c>
      <c r="C400" s="59" t="s">
        <v>238</v>
      </c>
      <c r="D400" s="18">
        <v>1.6</v>
      </c>
      <c r="E400" s="18" t="s">
        <v>0</v>
      </c>
      <c r="F400" s="18">
        <f>$F$285</f>
        <v>2.1</v>
      </c>
      <c r="G400" s="19">
        <f>PRODUCT(D400,E400,F400)</f>
        <v>3.3600000000000003</v>
      </c>
      <c r="H400" s="69">
        <v>0</v>
      </c>
      <c r="I400" s="18">
        <v>5</v>
      </c>
      <c r="J400" s="20">
        <f>IF(G400&gt;0,G400*I400,H400*I400)</f>
        <v>16.8</v>
      </c>
    </row>
    <row r="401" spans="2:10">
      <c r="B401" s="67" t="s">
        <v>280</v>
      </c>
      <c r="C401" s="59" t="s">
        <v>238</v>
      </c>
      <c r="D401" s="18">
        <v>1.2</v>
      </c>
      <c r="E401" s="18" t="s">
        <v>0</v>
      </c>
      <c r="F401" s="18">
        <f>$F$285</f>
        <v>2.1</v>
      </c>
      <c r="G401" s="19">
        <f>PRODUCT(D401,E401,F401)</f>
        <v>2.52</v>
      </c>
      <c r="H401" s="69">
        <v>0</v>
      </c>
      <c r="I401" s="18">
        <v>1</v>
      </c>
      <c r="J401" s="20">
        <f>IF(G401&gt;0,G401*I401,H401*I401)</f>
        <v>2.52</v>
      </c>
    </row>
    <row r="402" spans="2:10">
      <c r="B402" s="67" t="s">
        <v>228</v>
      </c>
      <c r="C402" s="59" t="s">
        <v>232</v>
      </c>
      <c r="D402" s="18">
        <v>1</v>
      </c>
      <c r="E402" s="18" t="s">
        <v>0</v>
      </c>
      <c r="F402" s="18">
        <f>$F$285</f>
        <v>2.1</v>
      </c>
      <c r="G402" s="19">
        <f>PRODUCT(D402,E402,F402)</f>
        <v>2.1</v>
      </c>
      <c r="H402" s="69">
        <v>0</v>
      </c>
      <c r="I402" s="18">
        <v>9</v>
      </c>
      <c r="J402" s="20">
        <f>IF(G402&gt;0,G402*I402,H402*I402)</f>
        <v>18.900000000000002</v>
      </c>
    </row>
    <row r="403" spans="2:10">
      <c r="B403" s="61"/>
      <c r="C403" s="62" t="s">
        <v>230</v>
      </c>
      <c r="D403" s="63"/>
      <c r="E403" s="63"/>
      <c r="F403" s="63"/>
      <c r="G403" s="64"/>
      <c r="H403" s="65"/>
      <c r="I403" s="63"/>
      <c r="J403" s="66"/>
    </row>
    <row r="404" spans="2:10">
      <c r="B404" s="220" t="s">
        <v>1375</v>
      </c>
      <c r="C404" s="59" t="s">
        <v>239</v>
      </c>
      <c r="D404" s="18">
        <v>0.6</v>
      </c>
      <c r="E404" s="18" t="s">
        <v>0</v>
      </c>
      <c r="F404" s="18">
        <v>1.8</v>
      </c>
      <c r="G404" s="19">
        <f>PRODUCT(D404,E404,F404)</f>
        <v>1.08</v>
      </c>
      <c r="H404" s="69">
        <v>0</v>
      </c>
      <c r="I404" s="18">
        <v>10</v>
      </c>
      <c r="J404" s="20">
        <f>IF(G404&gt;0,G404*I404,H404*I404)</f>
        <v>10.8</v>
      </c>
    </row>
    <row r="405" spans="2:10">
      <c r="B405" s="61"/>
      <c r="C405" s="62" t="s">
        <v>223</v>
      </c>
      <c r="D405" s="63"/>
      <c r="E405" s="63"/>
      <c r="F405" s="63" t="s">
        <v>0</v>
      </c>
      <c r="G405" s="64"/>
      <c r="H405" s="65"/>
      <c r="I405" s="63"/>
      <c r="J405" s="66" t="s">
        <v>0</v>
      </c>
    </row>
    <row r="406" spans="2:10">
      <c r="B406" s="60" t="s">
        <v>1388</v>
      </c>
      <c r="C406" s="59" t="s">
        <v>240</v>
      </c>
      <c r="D406" s="18">
        <v>4</v>
      </c>
      <c r="E406" s="18" t="s">
        <v>0</v>
      </c>
      <c r="F406" s="18">
        <v>0.6</v>
      </c>
      <c r="G406" s="19">
        <f t="shared" ref="G406:G411" si="23">PRODUCT(D406,E406,F406)</f>
        <v>2.4</v>
      </c>
      <c r="H406" s="69">
        <v>0</v>
      </c>
      <c r="I406" s="18">
        <v>2</v>
      </c>
      <c r="J406" s="20">
        <f t="shared" ref="J406:J411" si="24">IF(G406&gt;0,G406*I406,H406*I406)</f>
        <v>4.8</v>
      </c>
    </row>
    <row r="407" spans="2:10">
      <c r="B407" s="60" t="s">
        <v>276</v>
      </c>
      <c r="C407" s="59" t="s">
        <v>240</v>
      </c>
      <c r="D407" s="18">
        <v>4.6500000000000004</v>
      </c>
      <c r="E407" s="18" t="s">
        <v>0</v>
      </c>
      <c r="F407" s="18">
        <v>0.6</v>
      </c>
      <c r="G407" s="19">
        <f t="shared" si="23"/>
        <v>2.79</v>
      </c>
      <c r="H407" s="69">
        <v>0</v>
      </c>
      <c r="I407" s="18">
        <v>2</v>
      </c>
      <c r="J407" s="20">
        <f t="shared" si="24"/>
        <v>5.58</v>
      </c>
    </row>
    <row r="408" spans="2:10">
      <c r="B408" s="60" t="s">
        <v>1271</v>
      </c>
      <c r="C408" s="59" t="s">
        <v>240</v>
      </c>
      <c r="D408" s="18">
        <v>3.25</v>
      </c>
      <c r="E408" s="18" t="s">
        <v>0</v>
      </c>
      <c r="F408" s="18">
        <v>0.6</v>
      </c>
      <c r="G408" s="19">
        <f t="shared" si="23"/>
        <v>1.95</v>
      </c>
      <c r="H408" s="69">
        <v>0</v>
      </c>
      <c r="I408" s="18">
        <v>4</v>
      </c>
      <c r="J408" s="20">
        <f t="shared" si="24"/>
        <v>7.8</v>
      </c>
    </row>
    <row r="409" spans="2:10">
      <c r="B409" s="60" t="s">
        <v>1272</v>
      </c>
      <c r="C409" s="59" t="s">
        <v>240</v>
      </c>
      <c r="D409" s="18">
        <v>3.5</v>
      </c>
      <c r="E409" s="18" t="s">
        <v>0</v>
      </c>
      <c r="F409" s="18">
        <v>0.6</v>
      </c>
      <c r="G409" s="19">
        <f t="shared" si="23"/>
        <v>2.1</v>
      </c>
      <c r="H409" s="69">
        <v>0</v>
      </c>
      <c r="I409" s="18">
        <v>1</v>
      </c>
      <c r="J409" s="20">
        <f t="shared" si="24"/>
        <v>2.1</v>
      </c>
    </row>
    <row r="410" spans="2:10">
      <c r="B410" s="60" t="s">
        <v>1273</v>
      </c>
      <c r="C410" s="59" t="s">
        <v>240</v>
      </c>
      <c r="D410" s="18">
        <v>9.8000000000000007</v>
      </c>
      <c r="E410" s="18" t="s">
        <v>0</v>
      </c>
      <c r="F410" s="18">
        <v>0.6</v>
      </c>
      <c r="G410" s="19">
        <f t="shared" si="23"/>
        <v>5.88</v>
      </c>
      <c r="H410" s="69">
        <v>0</v>
      </c>
      <c r="I410" s="18">
        <v>1</v>
      </c>
      <c r="J410" s="20">
        <f t="shared" si="24"/>
        <v>5.88</v>
      </c>
    </row>
    <row r="411" spans="2:10">
      <c r="B411" s="60" t="s">
        <v>275</v>
      </c>
      <c r="C411" s="59" t="s">
        <v>240</v>
      </c>
      <c r="D411" s="18">
        <v>1.03</v>
      </c>
      <c r="E411" s="18" t="s">
        <v>0</v>
      </c>
      <c r="F411" s="18">
        <v>1.76</v>
      </c>
      <c r="G411" s="19">
        <f t="shared" si="23"/>
        <v>1.8128</v>
      </c>
      <c r="H411" s="69">
        <v>0</v>
      </c>
      <c r="I411" s="18">
        <v>96</v>
      </c>
      <c r="J411" s="20">
        <f t="shared" si="24"/>
        <v>174.02879999999999</v>
      </c>
    </row>
    <row r="412" spans="2:10">
      <c r="B412" s="61"/>
      <c r="C412" s="62" t="s">
        <v>264</v>
      </c>
      <c r="D412" s="63"/>
      <c r="E412" s="63"/>
      <c r="F412" s="63"/>
      <c r="G412" s="64"/>
      <c r="H412" s="65"/>
      <c r="I412" s="63"/>
      <c r="J412" s="66" t="s">
        <v>0</v>
      </c>
    </row>
    <row r="413" spans="2:10">
      <c r="B413" s="60" t="s">
        <v>1382</v>
      </c>
      <c r="C413" s="59" t="s">
        <v>571</v>
      </c>
      <c r="D413" s="18">
        <v>1.5</v>
      </c>
      <c r="E413" s="18" t="s">
        <v>0</v>
      </c>
      <c r="F413" s="18">
        <v>1.1000000000000001</v>
      </c>
      <c r="G413" s="19">
        <f>PRODUCT(D413,E413,F413)</f>
        <v>1.6500000000000001</v>
      </c>
      <c r="H413" s="69">
        <v>0</v>
      </c>
      <c r="I413" s="18">
        <v>1</v>
      </c>
      <c r="J413" s="20">
        <f>IF(G413&gt;0,G413*I413,H413*I413)</f>
        <v>1.6500000000000001</v>
      </c>
    </row>
    <row r="415" spans="2:10">
      <c r="B415" s="14" t="s">
        <v>164</v>
      </c>
      <c r="C415" s="1005" t="s">
        <v>1369</v>
      </c>
      <c r="D415" s="1005"/>
      <c r="E415" s="1005"/>
      <c r="F415" s="1005"/>
      <c r="G415" s="1005"/>
      <c r="H415" s="1005"/>
      <c r="I415" s="1005"/>
      <c r="J415" s="15"/>
    </row>
    <row r="416" spans="2:10">
      <c r="B416" s="61"/>
      <c r="C416" s="62" t="s">
        <v>222</v>
      </c>
      <c r="D416" s="63"/>
      <c r="E416" s="63"/>
      <c r="F416" s="63"/>
      <c r="G416" s="64"/>
      <c r="H416" s="65"/>
      <c r="I416" s="63"/>
      <c r="J416" s="66" t="s">
        <v>0</v>
      </c>
    </row>
    <row r="417" spans="2:10">
      <c r="B417" s="67" t="s">
        <v>220</v>
      </c>
      <c r="C417" s="59" t="s">
        <v>238</v>
      </c>
      <c r="D417" s="18">
        <v>1.6</v>
      </c>
      <c r="E417" s="18" t="s">
        <v>0</v>
      </c>
      <c r="F417" s="18">
        <f>$F$285</f>
        <v>2.1</v>
      </c>
      <c r="G417" s="19">
        <f>PRODUCT(D417,E417,F417)</f>
        <v>3.3600000000000003</v>
      </c>
      <c r="H417" s="69">
        <v>0</v>
      </c>
      <c r="I417" s="18">
        <v>1</v>
      </c>
      <c r="J417" s="20">
        <f>IF(G417&gt;0,G417*I417,H417*I417)</f>
        <v>3.3600000000000003</v>
      </c>
    </row>
    <row r="418" spans="2:10">
      <c r="B418" s="61"/>
      <c r="C418" s="62" t="s">
        <v>223</v>
      </c>
      <c r="D418" s="63"/>
      <c r="E418" s="63"/>
      <c r="F418" s="63" t="s">
        <v>0</v>
      </c>
      <c r="G418" s="64"/>
      <c r="H418" s="65"/>
      <c r="I418" s="63"/>
      <c r="J418" s="66" t="s">
        <v>0</v>
      </c>
    </row>
    <row r="419" spans="2:10">
      <c r="B419" s="60" t="s">
        <v>1388</v>
      </c>
      <c r="C419" s="59" t="s">
        <v>240</v>
      </c>
      <c r="D419" s="18">
        <v>4</v>
      </c>
      <c r="E419" s="18" t="s">
        <v>0</v>
      </c>
      <c r="F419" s="18">
        <v>0.6</v>
      </c>
      <c r="G419" s="19">
        <f>PRODUCT(D419,E419,F419)</f>
        <v>2.4</v>
      </c>
      <c r="H419" s="69">
        <v>0</v>
      </c>
      <c r="I419" s="18">
        <v>2</v>
      </c>
      <c r="J419" s="20">
        <f>IF(G419&gt;0,G419*I419,H419*I419)</f>
        <v>4.8</v>
      </c>
    </row>
    <row r="420" spans="2:10">
      <c r="D420" s="18" t="s">
        <v>0</v>
      </c>
      <c r="I420" s="167">
        <f>SUM(I216:I419)</f>
        <v>1185</v>
      </c>
    </row>
    <row r="421" spans="2:10">
      <c r="B421" s="14" t="s">
        <v>166</v>
      </c>
      <c r="C421" s="1005" t="s">
        <v>1274</v>
      </c>
      <c r="D421" s="1005"/>
      <c r="E421" s="1005"/>
      <c r="F421" s="1005"/>
      <c r="G421" s="1005"/>
      <c r="H421" s="1005"/>
      <c r="I421" s="1005"/>
    </row>
    <row r="422" spans="2:10">
      <c r="B422" s="193" t="s">
        <v>1275</v>
      </c>
      <c r="C422" s="193" t="s">
        <v>1367</v>
      </c>
      <c r="D422" s="194" t="s">
        <v>585</v>
      </c>
      <c r="E422" s="193" t="s">
        <v>1368</v>
      </c>
      <c r="F422" s="193" t="s">
        <v>8</v>
      </c>
      <c r="G422" s="193" t="s">
        <v>584</v>
      </c>
      <c r="H422" s="193" t="s">
        <v>1071</v>
      </c>
    </row>
    <row r="423" spans="2:10">
      <c r="B423" s="195" t="s">
        <v>1276</v>
      </c>
      <c r="C423" s="196"/>
      <c r="D423" s="197"/>
      <c r="E423" s="198"/>
      <c r="F423" s="198"/>
      <c r="G423" s="196"/>
      <c r="H423" s="196"/>
    </row>
    <row r="424" spans="2:10">
      <c r="B424" s="213"/>
      <c r="C424" s="213" t="s">
        <v>222</v>
      </c>
      <c r="D424" s="214"/>
      <c r="E424" s="205"/>
      <c r="F424" s="205"/>
      <c r="G424" s="206"/>
      <c r="H424" s="206"/>
    </row>
    <row r="425" spans="2:10">
      <c r="B425" s="199" t="s">
        <v>1277</v>
      </c>
      <c r="C425" s="199" t="s">
        <v>1280</v>
      </c>
      <c r="D425" s="200" t="s">
        <v>1279</v>
      </c>
      <c r="E425" s="199" t="s">
        <v>1278</v>
      </c>
      <c r="F425" s="199">
        <v>1</v>
      </c>
      <c r="G425" s="201">
        <f>1.6*2.5</f>
        <v>4</v>
      </c>
      <c r="H425" s="201">
        <f t="shared" ref="H425:H432" si="25">G425*F425</f>
        <v>4</v>
      </c>
    </row>
    <row r="426" spans="2:10">
      <c r="B426" s="199" t="s">
        <v>1281</v>
      </c>
      <c r="C426" s="199" t="s">
        <v>1284</v>
      </c>
      <c r="D426" s="199" t="s">
        <v>1283</v>
      </c>
      <c r="E426" s="199" t="s">
        <v>1282</v>
      </c>
      <c r="F426" s="199">
        <v>11</v>
      </c>
      <c r="G426" s="201">
        <f>0.8*2.1</f>
        <v>1.6800000000000002</v>
      </c>
      <c r="H426" s="201">
        <f t="shared" si="25"/>
        <v>18.48</v>
      </c>
    </row>
    <row r="427" spans="2:10">
      <c r="B427" s="199" t="s">
        <v>1285</v>
      </c>
      <c r="C427" s="199" t="s">
        <v>1284</v>
      </c>
      <c r="D427" s="200" t="s">
        <v>1287</v>
      </c>
      <c r="E427" s="199" t="s">
        <v>1286</v>
      </c>
      <c r="F427" s="199">
        <v>6</v>
      </c>
      <c r="G427" s="201">
        <f>1.1*2.1</f>
        <v>2.3100000000000005</v>
      </c>
      <c r="H427" s="201">
        <f t="shared" si="25"/>
        <v>13.860000000000003</v>
      </c>
    </row>
    <row r="428" spans="2:10">
      <c r="B428" s="199" t="s">
        <v>1288</v>
      </c>
      <c r="C428" s="199" t="s">
        <v>1280</v>
      </c>
      <c r="D428" s="200" t="s">
        <v>1279</v>
      </c>
      <c r="E428" s="199" t="s">
        <v>1289</v>
      </c>
      <c r="F428" s="199">
        <v>5</v>
      </c>
      <c r="G428" s="201">
        <f>2*2.1</f>
        <v>4.2</v>
      </c>
      <c r="H428" s="201">
        <f t="shared" si="25"/>
        <v>21</v>
      </c>
    </row>
    <row r="429" spans="2:10">
      <c r="B429" s="199" t="s">
        <v>1290</v>
      </c>
      <c r="C429" s="199" t="s">
        <v>1284</v>
      </c>
      <c r="D429" s="200" t="s">
        <v>1287</v>
      </c>
      <c r="E429" s="199" t="s">
        <v>1282</v>
      </c>
      <c r="F429" s="199">
        <v>1</v>
      </c>
      <c r="G429" s="201">
        <f>0.8*2.1</f>
        <v>1.6800000000000002</v>
      </c>
      <c r="H429" s="201">
        <f t="shared" si="25"/>
        <v>1.6800000000000002</v>
      </c>
    </row>
    <row r="430" spans="2:10">
      <c r="B430" s="199" t="s">
        <v>1291</v>
      </c>
      <c r="C430" s="199" t="s">
        <v>1284</v>
      </c>
      <c r="D430" s="200" t="s">
        <v>1293</v>
      </c>
      <c r="E430" s="199" t="s">
        <v>1292</v>
      </c>
      <c r="F430" s="199">
        <v>2</v>
      </c>
      <c r="G430" s="201">
        <f>0.7*2.1</f>
        <v>1.47</v>
      </c>
      <c r="H430" s="201">
        <f t="shared" si="25"/>
        <v>2.94</v>
      </c>
    </row>
    <row r="431" spans="2:10">
      <c r="B431" s="199" t="s">
        <v>1294</v>
      </c>
      <c r="C431" s="199" t="s">
        <v>1284</v>
      </c>
      <c r="D431" s="200" t="s">
        <v>1293</v>
      </c>
      <c r="E431" s="199" t="s">
        <v>1295</v>
      </c>
      <c r="F431" s="199">
        <v>2</v>
      </c>
      <c r="G431" s="201">
        <f>0.6*2.1</f>
        <v>1.26</v>
      </c>
      <c r="H431" s="201">
        <f t="shared" si="25"/>
        <v>2.52</v>
      </c>
    </row>
    <row r="432" spans="2:10">
      <c r="B432" s="199" t="s">
        <v>1296</v>
      </c>
      <c r="C432" s="199" t="s">
        <v>1280</v>
      </c>
      <c r="D432" s="200" t="s">
        <v>1287</v>
      </c>
      <c r="E432" s="199" t="s">
        <v>1282</v>
      </c>
      <c r="F432" s="199">
        <v>1</v>
      </c>
      <c r="G432" s="201">
        <f>0.8*2.1</f>
        <v>1.6800000000000002</v>
      </c>
      <c r="H432" s="201">
        <f t="shared" si="25"/>
        <v>1.6800000000000002</v>
      </c>
    </row>
    <row r="433" spans="2:8">
      <c r="B433" s="199"/>
      <c r="C433" s="213" t="s">
        <v>223</v>
      </c>
      <c r="D433" s="200"/>
      <c r="E433" s="199"/>
      <c r="F433" s="199"/>
      <c r="G433" s="201"/>
      <c r="H433" s="201"/>
    </row>
    <row r="434" spans="2:8">
      <c r="B434" s="199" t="s">
        <v>1297</v>
      </c>
      <c r="C434" s="199" t="s">
        <v>1370</v>
      </c>
      <c r="D434" s="200" t="s">
        <v>1299</v>
      </c>
      <c r="E434" s="199" t="s">
        <v>1298</v>
      </c>
      <c r="F434" s="199">
        <v>2</v>
      </c>
      <c r="G434" s="201">
        <f>1.5*1.5*1</f>
        <v>2.25</v>
      </c>
      <c r="H434" s="201">
        <f t="shared" ref="H434:H439" si="26">G434*F434</f>
        <v>4.5</v>
      </c>
    </row>
    <row r="435" spans="2:8">
      <c r="B435" s="199" t="s">
        <v>1301</v>
      </c>
      <c r="C435" s="199" t="s">
        <v>1370</v>
      </c>
      <c r="D435" s="200" t="s">
        <v>1293</v>
      </c>
      <c r="E435" s="199" t="s">
        <v>1302</v>
      </c>
      <c r="F435" s="199">
        <v>3</v>
      </c>
      <c r="G435" s="201">
        <f>0.7*2*0.5</f>
        <v>0.7</v>
      </c>
      <c r="H435" s="201">
        <f t="shared" si="26"/>
        <v>2.0999999999999996</v>
      </c>
    </row>
    <row r="436" spans="2:8">
      <c r="B436" s="199" t="s">
        <v>1303</v>
      </c>
      <c r="C436" s="199" t="s">
        <v>1370</v>
      </c>
      <c r="D436" s="200" t="s">
        <v>1279</v>
      </c>
      <c r="E436" s="199" t="s">
        <v>1304</v>
      </c>
      <c r="F436" s="199">
        <v>5</v>
      </c>
      <c r="G436" s="201">
        <f>1*0.5*1.6</f>
        <v>0.8</v>
      </c>
      <c r="H436" s="201">
        <f t="shared" si="26"/>
        <v>4</v>
      </c>
    </row>
    <row r="437" spans="2:8">
      <c r="B437" s="199" t="s">
        <v>1305</v>
      </c>
      <c r="C437" s="199" t="s">
        <v>1370</v>
      </c>
      <c r="D437" s="200" t="s">
        <v>1279</v>
      </c>
      <c r="E437" s="199" t="s">
        <v>1306</v>
      </c>
      <c r="F437" s="199">
        <v>1</v>
      </c>
      <c r="G437" s="201">
        <f>0.8*0.8*1.3</f>
        <v>0.83200000000000018</v>
      </c>
      <c r="H437" s="201">
        <f t="shared" si="26"/>
        <v>0.83200000000000018</v>
      </c>
    </row>
    <row r="438" spans="2:8">
      <c r="B438" s="199" t="s">
        <v>1307</v>
      </c>
      <c r="C438" s="199" t="s">
        <v>1370</v>
      </c>
      <c r="D438" s="200" t="s">
        <v>1279</v>
      </c>
      <c r="E438" s="199" t="s">
        <v>1308</v>
      </c>
      <c r="F438" s="199">
        <v>4</v>
      </c>
      <c r="G438" s="201">
        <f>0.9*0.6*1.5</f>
        <v>0.81</v>
      </c>
      <c r="H438" s="201">
        <f t="shared" si="26"/>
        <v>3.24</v>
      </c>
    </row>
    <row r="439" spans="2:8">
      <c r="B439" s="199" t="s">
        <v>1309</v>
      </c>
      <c r="C439" s="199" t="s">
        <v>1370</v>
      </c>
      <c r="D439" s="200" t="s">
        <v>1299</v>
      </c>
      <c r="E439" s="199" t="s">
        <v>1310</v>
      </c>
      <c r="F439" s="199">
        <v>2</v>
      </c>
      <c r="G439" s="201">
        <f>1.2*1.1*1</f>
        <v>1.32</v>
      </c>
      <c r="H439" s="201">
        <f t="shared" si="26"/>
        <v>2.64</v>
      </c>
    </row>
    <row r="440" spans="2:8">
      <c r="B440" s="202"/>
      <c r="C440" s="202"/>
      <c r="D440" s="202"/>
      <c r="E440" s="202"/>
      <c r="F440" s="199"/>
      <c r="G440" s="207"/>
      <c r="H440" s="203">
        <f>H425+H426+H427+H428+H429+H430+H431+H432+H434+H435+H436+H437+H438+H439</f>
        <v>83.471999999999994</v>
      </c>
    </row>
    <row r="441" spans="2:8">
      <c r="B441" s="204" t="s">
        <v>1311</v>
      </c>
      <c r="C441" s="198"/>
      <c r="D441" s="196"/>
      <c r="E441" s="198"/>
      <c r="F441" s="198"/>
      <c r="G441" s="208"/>
      <c r="H441" s="209"/>
    </row>
    <row r="442" spans="2:8">
      <c r="B442" s="204"/>
      <c r="C442" s="198"/>
      <c r="D442" s="196"/>
      <c r="E442" s="198"/>
      <c r="F442" s="198"/>
      <c r="G442" s="208"/>
      <c r="H442" s="209"/>
    </row>
    <row r="443" spans="2:8">
      <c r="B443" s="202"/>
      <c r="C443" s="205" t="s">
        <v>1313</v>
      </c>
      <c r="D443" s="206"/>
      <c r="E443" s="205" t="s">
        <v>1312</v>
      </c>
      <c r="F443" s="205"/>
      <c r="G443" s="210">
        <v>103.86</v>
      </c>
      <c r="H443" s="211"/>
    </row>
    <row r="444" spans="2:8">
      <c r="B444" s="195" t="s">
        <v>960</v>
      </c>
      <c r="C444" s="196"/>
      <c r="D444" s="196"/>
      <c r="E444" s="196"/>
      <c r="F444" s="198"/>
      <c r="G444" s="209"/>
      <c r="H444" s="209"/>
    </row>
    <row r="445" spans="2:8">
      <c r="B445" s="213"/>
      <c r="C445" s="213" t="s">
        <v>222</v>
      </c>
      <c r="D445" s="214"/>
      <c r="E445" s="205"/>
      <c r="F445" s="205"/>
      <c r="G445" s="206"/>
      <c r="H445" s="206"/>
    </row>
    <row r="446" spans="2:8">
      <c r="B446" s="199" t="s">
        <v>1277</v>
      </c>
      <c r="C446" s="199" t="s">
        <v>1280</v>
      </c>
      <c r="D446" s="202" t="s">
        <v>1314</v>
      </c>
      <c r="E446" s="199" t="s">
        <v>1278</v>
      </c>
      <c r="F446" s="199">
        <v>1</v>
      </c>
      <c r="G446" s="207">
        <f>1.6*2.5</f>
        <v>4</v>
      </c>
      <c r="H446" s="207">
        <f t="shared" ref="H446:H451" si="27">G446*F446</f>
        <v>4</v>
      </c>
    </row>
    <row r="447" spans="2:8">
      <c r="B447" s="199" t="s">
        <v>1281</v>
      </c>
      <c r="C447" s="199" t="s">
        <v>1284</v>
      </c>
      <c r="D447" s="202" t="s">
        <v>1314</v>
      </c>
      <c r="E447" s="199" t="s">
        <v>1315</v>
      </c>
      <c r="F447" s="199">
        <v>1</v>
      </c>
      <c r="G447" s="207">
        <f>1.6*2.1</f>
        <v>3.3600000000000003</v>
      </c>
      <c r="H447" s="207">
        <f t="shared" si="27"/>
        <v>3.3600000000000003</v>
      </c>
    </row>
    <row r="448" spans="2:8">
      <c r="B448" s="199" t="s">
        <v>1285</v>
      </c>
      <c r="C448" s="199" t="s">
        <v>1284</v>
      </c>
      <c r="D448" s="199" t="s">
        <v>1293</v>
      </c>
      <c r="E448" s="199" t="s">
        <v>1316</v>
      </c>
      <c r="F448" s="199">
        <v>2</v>
      </c>
      <c r="G448" s="207">
        <f>0.9*2.1</f>
        <v>1.8900000000000001</v>
      </c>
      <c r="H448" s="207">
        <f t="shared" si="27"/>
        <v>3.7800000000000002</v>
      </c>
    </row>
    <row r="449" spans="2:8">
      <c r="B449" s="199" t="s">
        <v>1288</v>
      </c>
      <c r="C449" s="199" t="s">
        <v>1317</v>
      </c>
      <c r="D449" s="199" t="s">
        <v>1293</v>
      </c>
      <c r="E449" s="199" t="s">
        <v>1289</v>
      </c>
      <c r="F449" s="199">
        <v>2</v>
      </c>
      <c r="G449" s="207">
        <f>2*2.1</f>
        <v>4.2</v>
      </c>
      <c r="H449" s="207">
        <f t="shared" si="27"/>
        <v>8.4</v>
      </c>
    </row>
    <row r="450" spans="2:8">
      <c r="B450" s="199" t="s">
        <v>1290</v>
      </c>
      <c r="C450" s="199" t="s">
        <v>1318</v>
      </c>
      <c r="D450" s="199" t="s">
        <v>1293</v>
      </c>
      <c r="E450" s="199" t="s">
        <v>1316</v>
      </c>
      <c r="F450" s="199">
        <v>1</v>
      </c>
      <c r="G450" s="207">
        <f>0.9*2.1</f>
        <v>1.8900000000000001</v>
      </c>
      <c r="H450" s="207">
        <f t="shared" si="27"/>
        <v>1.8900000000000001</v>
      </c>
    </row>
    <row r="451" spans="2:8">
      <c r="B451" s="199" t="s">
        <v>1291</v>
      </c>
      <c r="C451" s="199" t="s">
        <v>1320</v>
      </c>
      <c r="D451" s="199" t="s">
        <v>1293</v>
      </c>
      <c r="E451" s="199" t="s">
        <v>1319</v>
      </c>
      <c r="F451" s="199">
        <v>2</v>
      </c>
      <c r="G451" s="207">
        <f>1*2.1</f>
        <v>2.1</v>
      </c>
      <c r="H451" s="207">
        <f t="shared" si="27"/>
        <v>4.2</v>
      </c>
    </row>
    <row r="452" spans="2:8">
      <c r="B452" s="199"/>
      <c r="C452" s="213" t="s">
        <v>223</v>
      </c>
      <c r="D452" s="199"/>
      <c r="E452" s="199"/>
      <c r="F452" s="199"/>
      <c r="G452" s="207"/>
      <c r="H452" s="207"/>
    </row>
    <row r="453" spans="2:8">
      <c r="B453" s="199" t="s">
        <v>1297</v>
      </c>
      <c r="C453" s="199" t="s">
        <v>1300</v>
      </c>
      <c r="D453" s="199" t="s">
        <v>1322</v>
      </c>
      <c r="E453" s="199" t="s">
        <v>1321</v>
      </c>
      <c r="F453" s="199">
        <v>1</v>
      </c>
      <c r="G453" s="207">
        <f>3.35*1.1*1</f>
        <v>3.6850000000000005</v>
      </c>
      <c r="H453" s="207">
        <f>G453*F453</f>
        <v>3.6850000000000005</v>
      </c>
    </row>
    <row r="454" spans="2:8">
      <c r="B454" s="199" t="s">
        <v>1301</v>
      </c>
      <c r="C454" s="199" t="s">
        <v>1300</v>
      </c>
      <c r="D454" s="199" t="s">
        <v>1324</v>
      </c>
      <c r="E454" s="199" t="s">
        <v>1323</v>
      </c>
      <c r="F454" s="199">
        <v>1</v>
      </c>
      <c r="G454" s="207">
        <f>5.6*1.1*1</f>
        <v>6.16</v>
      </c>
      <c r="H454" s="207">
        <f>G454*F454</f>
        <v>6.16</v>
      </c>
    </row>
    <row r="455" spans="2:8">
      <c r="B455" s="199" t="s">
        <v>1303</v>
      </c>
      <c r="C455" s="199" t="s">
        <v>1300</v>
      </c>
      <c r="D455" s="199" t="s">
        <v>1326</v>
      </c>
      <c r="E455" s="199" t="s">
        <v>1325</v>
      </c>
      <c r="F455" s="199">
        <v>3</v>
      </c>
      <c r="G455" s="207">
        <f>1.6*0.5*1.6</f>
        <v>1.2800000000000002</v>
      </c>
      <c r="H455" s="207">
        <f>G455*F455</f>
        <v>3.8400000000000007</v>
      </c>
    </row>
    <row r="456" spans="2:8">
      <c r="B456" s="202"/>
      <c r="C456" s="202"/>
      <c r="D456" s="202"/>
      <c r="E456" s="202"/>
      <c r="F456" s="199"/>
      <c r="G456" s="207"/>
      <c r="H456" s="212">
        <f>SUM(H446:H455)</f>
        <v>39.314999999999998</v>
      </c>
    </row>
    <row r="457" spans="2:8">
      <c r="B457" s="204" t="s">
        <v>1327</v>
      </c>
      <c r="C457" s="196"/>
      <c r="D457" s="196"/>
      <c r="E457" s="196"/>
      <c r="F457" s="198"/>
      <c r="G457" s="209"/>
      <c r="H457" s="209"/>
    </row>
    <row r="458" spans="2:8">
      <c r="B458" s="213"/>
      <c r="C458" s="213" t="s">
        <v>222</v>
      </c>
      <c r="D458" s="214"/>
      <c r="E458" s="205"/>
      <c r="F458" s="205"/>
      <c r="G458" s="206"/>
      <c r="H458" s="206"/>
    </row>
    <row r="459" spans="2:8">
      <c r="B459" s="199" t="s">
        <v>1277</v>
      </c>
      <c r="C459" s="199" t="s">
        <v>1329</v>
      </c>
      <c r="D459" s="199" t="s">
        <v>1293</v>
      </c>
      <c r="E459" s="199" t="s">
        <v>1328</v>
      </c>
      <c r="F459" s="199">
        <v>3</v>
      </c>
      <c r="G459" s="207">
        <f>0.9*2.5</f>
        <v>2.25</v>
      </c>
      <c r="H459" s="207">
        <f>G459*F459</f>
        <v>6.75</v>
      </c>
    </row>
    <row r="460" spans="2:8">
      <c r="B460" s="199" t="s">
        <v>1281</v>
      </c>
      <c r="C460" s="199" t="s">
        <v>1332</v>
      </c>
      <c r="D460" s="199" t="s">
        <v>1331</v>
      </c>
      <c r="E460" s="199" t="s">
        <v>1330</v>
      </c>
      <c r="F460" s="199">
        <v>2</v>
      </c>
      <c r="G460" s="207">
        <f>2*2.5</f>
        <v>5</v>
      </c>
      <c r="H460" s="207">
        <f>G460*F460</f>
        <v>10</v>
      </c>
    </row>
    <row r="461" spans="2:8">
      <c r="B461" s="199" t="s">
        <v>1285</v>
      </c>
      <c r="C461" s="199" t="s">
        <v>1332</v>
      </c>
      <c r="D461" s="199" t="s">
        <v>1331</v>
      </c>
      <c r="E461" s="199" t="s">
        <v>1333</v>
      </c>
      <c r="F461" s="199">
        <v>1</v>
      </c>
      <c r="G461" s="207">
        <f>1.3*2.5</f>
        <v>3.25</v>
      </c>
      <c r="H461" s="207">
        <f>G461*F461</f>
        <v>3.25</v>
      </c>
    </row>
    <row r="462" spans="2:8">
      <c r="B462" s="199"/>
      <c r="C462" s="213" t="s">
        <v>1371</v>
      </c>
      <c r="D462" s="199"/>
      <c r="E462" s="199"/>
      <c r="F462" s="199"/>
      <c r="G462" s="207"/>
      <c r="H462" s="207"/>
    </row>
    <row r="463" spans="2:8">
      <c r="B463" s="199" t="s">
        <v>1334</v>
      </c>
      <c r="C463" s="199" t="s">
        <v>1332</v>
      </c>
      <c r="D463" s="199" t="s">
        <v>1336</v>
      </c>
      <c r="E463" s="199" t="s">
        <v>1335</v>
      </c>
      <c r="F463" s="199">
        <v>4</v>
      </c>
      <c r="G463" s="207">
        <f>1.9*2.5</f>
        <v>4.75</v>
      </c>
      <c r="H463" s="207">
        <f>G463*F463</f>
        <v>19</v>
      </c>
    </row>
    <row r="464" spans="2:8">
      <c r="B464" s="199" t="s">
        <v>1337</v>
      </c>
      <c r="C464" s="199" t="s">
        <v>1332</v>
      </c>
      <c r="D464" s="199" t="s">
        <v>1336</v>
      </c>
      <c r="E464" s="199" t="s">
        <v>1338</v>
      </c>
      <c r="F464" s="199">
        <v>6</v>
      </c>
      <c r="G464" s="207">
        <f>3*2.5</f>
        <v>7.5</v>
      </c>
      <c r="H464" s="207">
        <f>G464*F464</f>
        <v>45</v>
      </c>
    </row>
    <row r="465" spans="2:8">
      <c r="B465" s="199" t="s">
        <v>1339</v>
      </c>
      <c r="C465" s="199" t="s">
        <v>1332</v>
      </c>
      <c r="D465" s="199" t="s">
        <v>1336</v>
      </c>
      <c r="E465" s="199" t="s">
        <v>1340</v>
      </c>
      <c r="F465" s="199">
        <v>2</v>
      </c>
      <c r="G465" s="207">
        <f>4.5*2.5</f>
        <v>11.25</v>
      </c>
      <c r="H465" s="207">
        <f>G465*F465</f>
        <v>22.5</v>
      </c>
    </row>
    <row r="466" spans="2:8">
      <c r="B466" s="199" t="s">
        <v>1341</v>
      </c>
      <c r="C466" s="199" t="s">
        <v>1332</v>
      </c>
      <c r="D466" s="199" t="s">
        <v>1336</v>
      </c>
      <c r="E466" s="199" t="s">
        <v>1342</v>
      </c>
      <c r="F466" s="199">
        <v>1</v>
      </c>
      <c r="G466" s="207">
        <f>5.7*2.5</f>
        <v>14.25</v>
      </c>
      <c r="H466" s="207">
        <f>G466*F466</f>
        <v>14.25</v>
      </c>
    </row>
    <row r="467" spans="2:8">
      <c r="B467" s="202"/>
      <c r="C467" s="202"/>
      <c r="D467" s="202"/>
      <c r="E467" s="202"/>
      <c r="F467" s="199"/>
      <c r="G467" s="207"/>
      <c r="H467" s="212">
        <f>SUM(H459:H466)</f>
        <v>120.75</v>
      </c>
    </row>
    <row r="468" spans="2:8">
      <c r="B468" s="204" t="s">
        <v>1343</v>
      </c>
      <c r="C468" s="196"/>
      <c r="D468" s="196"/>
      <c r="E468" s="196"/>
      <c r="F468" s="198"/>
      <c r="G468" s="209"/>
      <c r="H468" s="209"/>
    </row>
    <row r="469" spans="2:8">
      <c r="B469" s="213"/>
      <c r="C469" s="213" t="s">
        <v>222</v>
      </c>
      <c r="D469" s="214"/>
      <c r="E469" s="205"/>
      <c r="F469" s="205"/>
      <c r="G469" s="206"/>
      <c r="H469" s="206"/>
    </row>
    <row r="470" spans="2:8">
      <c r="B470" s="199" t="s">
        <v>1277</v>
      </c>
      <c r="C470" s="199" t="s">
        <v>1280</v>
      </c>
      <c r="D470" s="199" t="s">
        <v>1344</v>
      </c>
      <c r="E470" s="199" t="s">
        <v>1315</v>
      </c>
      <c r="F470" s="199">
        <v>3</v>
      </c>
      <c r="G470" s="207">
        <f>1.6*2.1</f>
        <v>3.3600000000000003</v>
      </c>
      <c r="H470" s="207">
        <f>G470*F470</f>
        <v>10.080000000000002</v>
      </c>
    </row>
    <row r="471" spans="2:8">
      <c r="B471" s="199" t="s">
        <v>1281</v>
      </c>
      <c r="C471" s="199" t="s">
        <v>1284</v>
      </c>
      <c r="D471" s="199" t="s">
        <v>1293</v>
      </c>
      <c r="E471" s="199" t="s">
        <v>1282</v>
      </c>
      <c r="F471" s="199">
        <v>3</v>
      </c>
      <c r="G471" s="207">
        <f>0.8*2.1</f>
        <v>1.6800000000000002</v>
      </c>
      <c r="H471" s="207">
        <f>G471*F471</f>
        <v>5.0400000000000009</v>
      </c>
    </row>
    <row r="472" spans="2:8">
      <c r="B472" s="199" t="s">
        <v>1285</v>
      </c>
      <c r="C472" s="199" t="s">
        <v>1284</v>
      </c>
      <c r="D472" s="199" t="s">
        <v>1293</v>
      </c>
      <c r="E472" s="199" t="s">
        <v>1345</v>
      </c>
      <c r="F472" s="199">
        <v>9</v>
      </c>
      <c r="G472" s="207">
        <f>0.9*2.1</f>
        <v>1.8900000000000001</v>
      </c>
      <c r="H472" s="207">
        <f>G472*F472</f>
        <v>17.010000000000002</v>
      </c>
    </row>
    <row r="473" spans="2:8">
      <c r="B473" s="199"/>
      <c r="C473" s="213" t="s">
        <v>223</v>
      </c>
      <c r="D473" s="199"/>
      <c r="E473" s="199"/>
      <c r="F473" s="199"/>
      <c r="G473" s="207"/>
      <c r="H473" s="207"/>
    </row>
    <row r="474" spans="2:8">
      <c r="B474" s="199" t="s">
        <v>1297</v>
      </c>
      <c r="C474" s="199" t="s">
        <v>1370</v>
      </c>
      <c r="D474" s="199" t="s">
        <v>1347</v>
      </c>
      <c r="E474" s="199" t="s">
        <v>1346</v>
      </c>
      <c r="F474" s="199">
        <v>1</v>
      </c>
      <c r="G474" s="207">
        <f>6.4*1*1.1</f>
        <v>7.0400000000000009</v>
      </c>
      <c r="H474" s="207">
        <f t="shared" ref="H474:H483" si="28">G474*F474</f>
        <v>7.0400000000000009</v>
      </c>
    </row>
    <row r="475" spans="2:8">
      <c r="B475" s="199" t="s">
        <v>1301</v>
      </c>
      <c r="C475" s="199" t="s">
        <v>1370</v>
      </c>
      <c r="D475" s="199" t="s">
        <v>1349</v>
      </c>
      <c r="E475" s="199" t="s">
        <v>1348</v>
      </c>
      <c r="F475" s="199">
        <v>1</v>
      </c>
      <c r="G475" s="207">
        <f>3.15*1*1.1</f>
        <v>3.4650000000000003</v>
      </c>
      <c r="H475" s="207">
        <f t="shared" si="28"/>
        <v>3.4650000000000003</v>
      </c>
    </row>
    <row r="476" spans="2:8">
      <c r="B476" s="199" t="s">
        <v>1303</v>
      </c>
      <c r="C476" s="199" t="s">
        <v>1370</v>
      </c>
      <c r="D476" s="199" t="s">
        <v>1349</v>
      </c>
      <c r="E476" s="199" t="s">
        <v>1350</v>
      </c>
      <c r="F476" s="199">
        <v>1</v>
      </c>
      <c r="G476" s="207">
        <f>2.5*1*1.1</f>
        <v>2.75</v>
      </c>
      <c r="H476" s="207">
        <f t="shared" si="28"/>
        <v>2.75</v>
      </c>
    </row>
    <row r="477" spans="2:8">
      <c r="B477" s="199" t="s">
        <v>1305</v>
      </c>
      <c r="C477" s="199" t="s">
        <v>1370</v>
      </c>
      <c r="D477" s="199" t="s">
        <v>1352</v>
      </c>
      <c r="E477" s="199" t="s">
        <v>1351</v>
      </c>
      <c r="F477" s="199">
        <v>1</v>
      </c>
      <c r="G477" s="207">
        <f>2.3*0.5*1.6</f>
        <v>1.8399999999999999</v>
      </c>
      <c r="H477" s="207">
        <f t="shared" si="28"/>
        <v>1.8399999999999999</v>
      </c>
    </row>
    <row r="478" spans="2:8">
      <c r="B478" s="199" t="s">
        <v>1307</v>
      </c>
      <c r="C478" s="199" t="s">
        <v>1370</v>
      </c>
      <c r="D478" s="199" t="s">
        <v>1354</v>
      </c>
      <c r="E478" s="199" t="s">
        <v>1353</v>
      </c>
      <c r="F478" s="199">
        <v>1</v>
      </c>
      <c r="G478" s="207">
        <f>1.95*1*1.1</f>
        <v>2.145</v>
      </c>
      <c r="H478" s="207">
        <f t="shared" si="28"/>
        <v>2.145</v>
      </c>
    </row>
    <row r="479" spans="2:8">
      <c r="B479" s="199" t="s">
        <v>1309</v>
      </c>
      <c r="C479" s="199" t="s">
        <v>1370</v>
      </c>
      <c r="D479" s="199" t="s">
        <v>1356</v>
      </c>
      <c r="E479" s="199" t="s">
        <v>1355</v>
      </c>
      <c r="F479" s="199">
        <v>4</v>
      </c>
      <c r="G479" s="207">
        <f>4*1*1.1</f>
        <v>4.4000000000000004</v>
      </c>
      <c r="H479" s="207">
        <f t="shared" si="28"/>
        <v>17.600000000000001</v>
      </c>
    </row>
    <row r="480" spans="2:8">
      <c r="B480" s="199" t="s">
        <v>1357</v>
      </c>
      <c r="C480" s="199" t="s">
        <v>1370</v>
      </c>
      <c r="D480" s="199" t="s">
        <v>1349</v>
      </c>
      <c r="E480" s="199" t="s">
        <v>1358</v>
      </c>
      <c r="F480" s="199">
        <v>1</v>
      </c>
      <c r="G480" s="207">
        <f>2.7*1*1.1</f>
        <v>2.9700000000000006</v>
      </c>
      <c r="H480" s="207">
        <f t="shared" si="28"/>
        <v>2.9700000000000006</v>
      </c>
    </row>
    <row r="481" spans="2:8">
      <c r="B481" s="199" t="s">
        <v>1359</v>
      </c>
      <c r="C481" s="199" t="s">
        <v>1370</v>
      </c>
      <c r="D481" s="199" t="s">
        <v>1354</v>
      </c>
      <c r="E481" s="199" t="s">
        <v>1360</v>
      </c>
      <c r="F481" s="199">
        <v>1</v>
      </c>
      <c r="G481" s="207">
        <f>2.25*1*1.1</f>
        <v>2.4750000000000001</v>
      </c>
      <c r="H481" s="207">
        <f t="shared" si="28"/>
        <v>2.4750000000000001</v>
      </c>
    </row>
    <row r="482" spans="2:8">
      <c r="B482" s="199" t="s">
        <v>1361</v>
      </c>
      <c r="C482" s="199" t="s">
        <v>1370</v>
      </c>
      <c r="D482" s="199" t="s">
        <v>1352</v>
      </c>
      <c r="E482" s="199" t="s">
        <v>1362</v>
      </c>
      <c r="F482" s="199">
        <v>1</v>
      </c>
      <c r="G482" s="207">
        <f>2.25*0.5*1.6</f>
        <v>1.8</v>
      </c>
      <c r="H482" s="207">
        <f t="shared" si="28"/>
        <v>1.8</v>
      </c>
    </row>
    <row r="483" spans="2:8">
      <c r="B483" s="199" t="s">
        <v>1363</v>
      </c>
      <c r="C483" s="199" t="s">
        <v>1370</v>
      </c>
      <c r="D483" s="199" t="s">
        <v>1349</v>
      </c>
      <c r="E483" s="199" t="s">
        <v>1364</v>
      </c>
      <c r="F483" s="199">
        <v>1</v>
      </c>
      <c r="G483" s="207">
        <f>4.1*1.1*1</f>
        <v>4.51</v>
      </c>
      <c r="H483" s="207">
        <f t="shared" si="28"/>
        <v>4.51</v>
      </c>
    </row>
    <row r="484" spans="2:8">
      <c r="B484" s="199"/>
      <c r="C484" s="202"/>
      <c r="D484" s="202"/>
      <c r="E484" s="202"/>
      <c r="F484" s="199"/>
      <c r="G484" s="207"/>
      <c r="H484" s="212">
        <f>SUM(H470:H483)</f>
        <v>78.725000000000009</v>
      </c>
    </row>
    <row r="485" spans="2:8">
      <c r="B485" s="204" t="s">
        <v>1365</v>
      </c>
      <c r="C485" s="196"/>
      <c r="D485" s="196"/>
      <c r="E485" s="196"/>
      <c r="F485" s="198"/>
      <c r="G485" s="209"/>
      <c r="H485" s="209"/>
    </row>
    <row r="486" spans="2:8">
      <c r="B486" s="213"/>
      <c r="C486" s="213" t="s">
        <v>222</v>
      </c>
      <c r="D486" s="214"/>
      <c r="E486" s="205"/>
      <c r="F486" s="205"/>
      <c r="G486" s="206"/>
      <c r="H486" s="206"/>
    </row>
    <row r="487" spans="2:8">
      <c r="B487" s="199" t="s">
        <v>1277</v>
      </c>
      <c r="C487" s="199" t="s">
        <v>1329</v>
      </c>
      <c r="D487" s="199" t="s">
        <v>1293</v>
      </c>
      <c r="E487" s="199" t="s">
        <v>1315</v>
      </c>
      <c r="F487" s="199">
        <v>2</v>
      </c>
      <c r="G487" s="207">
        <f>1.6*2.1</f>
        <v>3.3600000000000003</v>
      </c>
      <c r="H487" s="207">
        <f>G487*F487</f>
        <v>6.7200000000000006</v>
      </c>
    </row>
    <row r="488" spans="2:8">
      <c r="B488" s="199" t="s">
        <v>1366</v>
      </c>
      <c r="C488" s="199" t="s">
        <v>1320</v>
      </c>
      <c r="D488" s="199" t="s">
        <v>1279</v>
      </c>
      <c r="E488" s="199" t="s">
        <v>1289</v>
      </c>
      <c r="F488" s="199">
        <v>6</v>
      </c>
      <c r="G488" s="207">
        <f>2*2.1</f>
        <v>4.2</v>
      </c>
      <c r="H488" s="207">
        <f>G488*F488</f>
        <v>25.200000000000003</v>
      </c>
    </row>
    <row r="489" spans="2:8">
      <c r="B489" s="202"/>
      <c r="C489" s="202"/>
      <c r="D489" s="202"/>
      <c r="E489" s="202"/>
      <c r="F489" s="199"/>
      <c r="G489" s="207"/>
      <c r="H489" s="212">
        <f>SUM(H487:H488)</f>
        <v>31.92</v>
      </c>
    </row>
  </sheetData>
  <mergeCells count="22">
    <mergeCell ref="C421:I421"/>
    <mergeCell ref="C283:I283"/>
    <mergeCell ref="C305:I305"/>
    <mergeCell ref="C332:I332"/>
    <mergeCell ref="C396:I396"/>
    <mergeCell ref="C415:I415"/>
    <mergeCell ref="B3:J3"/>
    <mergeCell ref="B34:J34"/>
    <mergeCell ref="C36:I36"/>
    <mergeCell ref="C57:I57"/>
    <mergeCell ref="C78:I78"/>
    <mergeCell ref="C97:I97"/>
    <mergeCell ref="C114:I114"/>
    <mergeCell ref="C130:I130"/>
    <mergeCell ref="C147:I147"/>
    <mergeCell ref="C372:I372"/>
    <mergeCell ref="C350:I350"/>
    <mergeCell ref="C164:I164"/>
    <mergeCell ref="C181:I181"/>
    <mergeCell ref="C200:I200"/>
    <mergeCell ref="B209:J209"/>
    <mergeCell ref="C214:I214"/>
  </mergeCells>
  <dataValidations count="5">
    <dataValidation type="list" allowBlank="1" showInputMessage="1" showErrorMessage="1" sqref="F39:F44 F46:F48 F50:F51 F68:F69 F17:F20 F53:F56 F87 F81:F85 F92 F100:F104 F109 F117:F121 F133:F136 F138 F60:F66 F155 F150:F153 F172 F190 F184:F188 F203 F167:F170 F7:F15 F22:F23 F25:F27">
      <formula1>"0,60 x 1,80,0,90 x 1,80,0,60 x 2,10,0,80 x 2,10,0,90 x 2,10,1,00 x 2,10,1,20 x 2,10,1,60 x 2,10,2,00 x 2,10,2,10 x 2,10,2,20 x 2,10,Ver projeto"</formula1>
    </dataValidation>
    <dataValidation type="list" allowBlank="1" showInputMessage="1" showErrorMessage="1" sqref="E39:E43 E46:E48 E50:E51 E53:E56 E17:E20 E68:E69 E87 E76 E81:E85 E92:E93 E74 E71:E72 E89:E90 E95 E100:E104 E109:E110 E106:E107 E112 E117:E121 E123:E124 E126 E128 E140:E141 E143 E145 E133:E136 E138 E157:E158 E160 E162 E60:E66 E155 E174:E175 E177 E179 E150:E153 E172 E192:E193 E195:E196 E198 E190 E184:E188 E205 E203 E167:E170 E7:E14 E22:E23 E25:E27 E29">
      <formula1>"Vidro,Madeira,Metálica,Alumínio e vidro,PVC,Corta fogo,A definir"</formula1>
    </dataValidation>
    <dataValidation type="list" allowBlank="1" showInputMessage="1" showErrorMessage="1" sqref="D39:D44 D46:D48 D50:D51 D53:D56 D17:D20 D68:D69 D87 D76 D81:D85 D92:D93 D74 D71:D72 D89:D90 D95 D100:D104 D109:D110 D106:D107 D112 D117:D121 D123:D124 D126 D128 D140:D141 D143 D145 D133:D136 D138 D157:D158 D160 D162 D60:D66 D155 D174:D175 D177 D179 D150:D153 D172 D192:D193 D195:D196 D198 D190 D184:D188 D205 D203 D167:D170 D7:D15 D22:D23 D25:D27 D29">
      <formula1>"Abrir,Correr,Fixo,Maxiar,Sanfonada,A definir"</formula1>
    </dataValidation>
    <dataValidation type="list" allowBlank="1" showInputMessage="1" showErrorMessage="1" sqref="C39:C44 C46:C48 C17:C20 C68:C69 C87 C81:C85 C100:C104 C117:C121 C133:C136 C138 C60:C66 C155 C150:C153 C172 C190 C184:C188 C203 C167:C170 C7:C15">
      <formula1>"Porta com 1 folha,Porta com 2 folhas"</formula1>
    </dataValidation>
    <dataValidation type="list" allowBlank="1" showInputMessage="1" showErrorMessage="1" sqref="F76 F74 F93 F71:F72 F89:F90 F95 F110 F106:F107 F112 F126 F123:F124 F128 F143 F140:F141 F145 F160 F157:F158 F162 F177 F174:F175 F179 F195:F196 F192:F193 F198 F205 F29">
      <formula1>"0,60 x 1,80,0,90 x 1,80,0,80 x 2,10,0,90 x 2,10,1,00 x 2,10,1,20 x 2,10,1,60 x 2,10,2,00 x 2,10,2,20 x 2,10,Ver projeto"</formula1>
    </dataValidation>
  </dataValidations>
  <pageMargins left="0.51181102362204722" right="0.51181102362204722" top="0.78740157480314965" bottom="0.78740157480314965" header="0.31496062992125984" footer="0.31496062992125984"/>
  <pageSetup paperSize="9" scale="70" orientation="portrait" r:id="rId1"/>
</worksheet>
</file>

<file path=xl/worksheets/sheet5.xml><?xml version="1.0" encoding="utf-8"?>
<worksheet xmlns="http://schemas.openxmlformats.org/spreadsheetml/2006/main" xmlns:r="http://schemas.openxmlformats.org/officeDocument/2006/relationships">
  <dimension ref="A2:S246"/>
  <sheetViews>
    <sheetView workbookViewId="0"/>
  </sheetViews>
  <sheetFormatPr defaultColWidth="8.19921875" defaultRowHeight="13.8"/>
  <cols>
    <col min="1" max="1" width="6.8984375" style="569" customWidth="1"/>
    <col min="2" max="2" width="11.69921875" style="570" bestFit="1" customWidth="1"/>
    <col min="3" max="3" width="6" style="570" bestFit="1" customWidth="1"/>
    <col min="4" max="4" width="51" style="569" customWidth="1"/>
    <col min="5" max="5" width="7.09765625" style="569" customWidth="1"/>
    <col min="6" max="6" width="6.59765625" style="572" customWidth="1"/>
    <col min="7" max="7" width="7.69921875" style="572" customWidth="1"/>
    <col min="8" max="8" width="6.59765625" style="572" customWidth="1"/>
    <col min="9" max="9" width="7.09765625" style="572" customWidth="1"/>
    <col min="10" max="10" width="8.19921875" style="573"/>
    <col min="11" max="12" width="6.69921875" style="573" bestFit="1" customWidth="1"/>
    <col min="13" max="13" width="9.19921875" style="574" customWidth="1"/>
    <col min="14" max="14" width="9.69921875" style="575" customWidth="1"/>
    <col min="15" max="15" width="9.69921875" style="576" customWidth="1"/>
    <col min="16" max="16" width="10.69921875" style="577" customWidth="1"/>
    <col min="17" max="17" width="10.8984375" style="573" customWidth="1"/>
    <col min="18" max="18" width="9.09765625" style="578" bestFit="1" customWidth="1"/>
    <col min="19" max="19" width="9.5" style="573" bestFit="1" customWidth="1"/>
    <col min="20" max="256" width="8.19921875" style="534"/>
    <col min="257" max="257" width="6.8984375" style="534" customWidth="1"/>
    <col min="258" max="258" width="11.69921875" style="534" bestFit="1" customWidth="1"/>
    <col min="259" max="259" width="6" style="534" bestFit="1" customWidth="1"/>
    <col min="260" max="260" width="51" style="534" customWidth="1"/>
    <col min="261" max="261" width="7.09765625" style="534" customWidth="1"/>
    <col min="262" max="262" width="6.59765625" style="534" customWidth="1"/>
    <col min="263" max="263" width="7.69921875" style="534" customWidth="1"/>
    <col min="264" max="264" width="6.59765625" style="534" customWidth="1"/>
    <col min="265" max="265" width="7.09765625" style="534" customWidth="1"/>
    <col min="266" max="266" width="8.19921875" style="534"/>
    <col min="267" max="268" width="6.69921875" style="534" bestFit="1" customWidth="1"/>
    <col min="269" max="269" width="9.19921875" style="534" customWidth="1"/>
    <col min="270" max="271" width="9.69921875" style="534" customWidth="1"/>
    <col min="272" max="272" width="10.69921875" style="534" customWidth="1"/>
    <col min="273" max="273" width="10.8984375" style="534" customWidth="1"/>
    <col min="274" max="274" width="9.09765625" style="534" bestFit="1" customWidth="1"/>
    <col min="275" max="275" width="9.5" style="534" bestFit="1" customWidth="1"/>
    <col min="276" max="512" width="8.19921875" style="534"/>
    <col min="513" max="513" width="6.8984375" style="534" customWidth="1"/>
    <col min="514" max="514" width="11.69921875" style="534" bestFit="1" customWidth="1"/>
    <col min="515" max="515" width="6" style="534" bestFit="1" customWidth="1"/>
    <col min="516" max="516" width="51" style="534" customWidth="1"/>
    <col min="517" max="517" width="7.09765625" style="534" customWidth="1"/>
    <col min="518" max="518" width="6.59765625" style="534" customWidth="1"/>
    <col min="519" max="519" width="7.69921875" style="534" customWidth="1"/>
    <col min="520" max="520" width="6.59765625" style="534" customWidth="1"/>
    <col min="521" max="521" width="7.09765625" style="534" customWidth="1"/>
    <col min="522" max="522" width="8.19921875" style="534"/>
    <col min="523" max="524" width="6.69921875" style="534" bestFit="1" customWidth="1"/>
    <col min="525" max="525" width="9.19921875" style="534" customWidth="1"/>
    <col min="526" max="527" width="9.69921875" style="534" customWidth="1"/>
    <col min="528" max="528" width="10.69921875" style="534" customWidth="1"/>
    <col min="529" max="529" width="10.8984375" style="534" customWidth="1"/>
    <col min="530" max="530" width="9.09765625" style="534" bestFit="1" customWidth="1"/>
    <col min="531" max="531" width="9.5" style="534" bestFit="1" customWidth="1"/>
    <col min="532" max="768" width="8.19921875" style="534"/>
    <col min="769" max="769" width="6.8984375" style="534" customWidth="1"/>
    <col min="770" max="770" width="11.69921875" style="534" bestFit="1" customWidth="1"/>
    <col min="771" max="771" width="6" style="534" bestFit="1" customWidth="1"/>
    <col min="772" max="772" width="51" style="534" customWidth="1"/>
    <col min="773" max="773" width="7.09765625" style="534" customWidth="1"/>
    <col min="774" max="774" width="6.59765625" style="534" customWidth="1"/>
    <col min="775" max="775" width="7.69921875" style="534" customWidth="1"/>
    <col min="776" max="776" width="6.59765625" style="534" customWidth="1"/>
    <col min="777" max="777" width="7.09765625" style="534" customWidth="1"/>
    <col min="778" max="778" width="8.19921875" style="534"/>
    <col min="779" max="780" width="6.69921875" style="534" bestFit="1" customWidth="1"/>
    <col min="781" max="781" width="9.19921875" style="534" customWidth="1"/>
    <col min="782" max="783" width="9.69921875" style="534" customWidth="1"/>
    <col min="784" max="784" width="10.69921875" style="534" customWidth="1"/>
    <col min="785" max="785" width="10.8984375" style="534" customWidth="1"/>
    <col min="786" max="786" width="9.09765625" style="534" bestFit="1" customWidth="1"/>
    <col min="787" max="787" width="9.5" style="534" bestFit="1" customWidth="1"/>
    <col min="788" max="1024" width="8.19921875" style="534"/>
    <col min="1025" max="1025" width="6.8984375" style="534" customWidth="1"/>
    <col min="1026" max="1026" width="11.69921875" style="534" bestFit="1" customWidth="1"/>
    <col min="1027" max="1027" width="6" style="534" bestFit="1" customWidth="1"/>
    <col min="1028" max="1028" width="51" style="534" customWidth="1"/>
    <col min="1029" max="1029" width="7.09765625" style="534" customWidth="1"/>
    <col min="1030" max="1030" width="6.59765625" style="534" customWidth="1"/>
    <col min="1031" max="1031" width="7.69921875" style="534" customWidth="1"/>
    <col min="1032" max="1032" width="6.59765625" style="534" customWidth="1"/>
    <col min="1033" max="1033" width="7.09765625" style="534" customWidth="1"/>
    <col min="1034" max="1034" width="8.19921875" style="534"/>
    <col min="1035" max="1036" width="6.69921875" style="534" bestFit="1" customWidth="1"/>
    <col min="1037" max="1037" width="9.19921875" style="534" customWidth="1"/>
    <col min="1038" max="1039" width="9.69921875" style="534" customWidth="1"/>
    <col min="1040" max="1040" width="10.69921875" style="534" customWidth="1"/>
    <col min="1041" max="1041" width="10.8984375" style="534" customWidth="1"/>
    <col min="1042" max="1042" width="9.09765625" style="534" bestFit="1" customWidth="1"/>
    <col min="1043" max="1043" width="9.5" style="534" bestFit="1" customWidth="1"/>
    <col min="1044" max="1280" width="8.19921875" style="534"/>
    <col min="1281" max="1281" width="6.8984375" style="534" customWidth="1"/>
    <col min="1282" max="1282" width="11.69921875" style="534" bestFit="1" customWidth="1"/>
    <col min="1283" max="1283" width="6" style="534" bestFit="1" customWidth="1"/>
    <col min="1284" max="1284" width="51" style="534" customWidth="1"/>
    <col min="1285" max="1285" width="7.09765625" style="534" customWidth="1"/>
    <col min="1286" max="1286" width="6.59765625" style="534" customWidth="1"/>
    <col min="1287" max="1287" width="7.69921875" style="534" customWidth="1"/>
    <col min="1288" max="1288" width="6.59765625" style="534" customWidth="1"/>
    <col min="1289" max="1289" width="7.09765625" style="534" customWidth="1"/>
    <col min="1290" max="1290" width="8.19921875" style="534"/>
    <col min="1291" max="1292" width="6.69921875" style="534" bestFit="1" customWidth="1"/>
    <col min="1293" max="1293" width="9.19921875" style="534" customWidth="1"/>
    <col min="1294" max="1295" width="9.69921875" style="534" customWidth="1"/>
    <col min="1296" max="1296" width="10.69921875" style="534" customWidth="1"/>
    <col min="1297" max="1297" width="10.8984375" style="534" customWidth="1"/>
    <col min="1298" max="1298" width="9.09765625" style="534" bestFit="1" customWidth="1"/>
    <col min="1299" max="1299" width="9.5" style="534" bestFit="1" customWidth="1"/>
    <col min="1300" max="1536" width="8.19921875" style="534"/>
    <col min="1537" max="1537" width="6.8984375" style="534" customWidth="1"/>
    <col min="1538" max="1538" width="11.69921875" style="534" bestFit="1" customWidth="1"/>
    <col min="1539" max="1539" width="6" style="534" bestFit="1" customWidth="1"/>
    <col min="1540" max="1540" width="51" style="534" customWidth="1"/>
    <col min="1541" max="1541" width="7.09765625" style="534" customWidth="1"/>
    <col min="1542" max="1542" width="6.59765625" style="534" customWidth="1"/>
    <col min="1543" max="1543" width="7.69921875" style="534" customWidth="1"/>
    <col min="1544" max="1544" width="6.59765625" style="534" customWidth="1"/>
    <col min="1545" max="1545" width="7.09765625" style="534" customWidth="1"/>
    <col min="1546" max="1546" width="8.19921875" style="534"/>
    <col min="1547" max="1548" width="6.69921875" style="534" bestFit="1" customWidth="1"/>
    <col min="1549" max="1549" width="9.19921875" style="534" customWidth="1"/>
    <col min="1550" max="1551" width="9.69921875" style="534" customWidth="1"/>
    <col min="1552" max="1552" width="10.69921875" style="534" customWidth="1"/>
    <col min="1553" max="1553" width="10.8984375" style="534" customWidth="1"/>
    <col min="1554" max="1554" width="9.09765625" style="534" bestFit="1" customWidth="1"/>
    <col min="1555" max="1555" width="9.5" style="534" bestFit="1" customWidth="1"/>
    <col min="1556" max="1792" width="8.19921875" style="534"/>
    <col min="1793" max="1793" width="6.8984375" style="534" customWidth="1"/>
    <col min="1794" max="1794" width="11.69921875" style="534" bestFit="1" customWidth="1"/>
    <col min="1795" max="1795" width="6" style="534" bestFit="1" customWidth="1"/>
    <col min="1796" max="1796" width="51" style="534" customWidth="1"/>
    <col min="1797" max="1797" width="7.09765625" style="534" customWidth="1"/>
    <col min="1798" max="1798" width="6.59765625" style="534" customWidth="1"/>
    <col min="1799" max="1799" width="7.69921875" style="534" customWidth="1"/>
    <col min="1800" max="1800" width="6.59765625" style="534" customWidth="1"/>
    <col min="1801" max="1801" width="7.09765625" style="534" customWidth="1"/>
    <col min="1802" max="1802" width="8.19921875" style="534"/>
    <col min="1803" max="1804" width="6.69921875" style="534" bestFit="1" customWidth="1"/>
    <col min="1805" max="1805" width="9.19921875" style="534" customWidth="1"/>
    <col min="1806" max="1807" width="9.69921875" style="534" customWidth="1"/>
    <col min="1808" max="1808" width="10.69921875" style="534" customWidth="1"/>
    <col min="1809" max="1809" width="10.8984375" style="534" customWidth="1"/>
    <col min="1810" max="1810" width="9.09765625" style="534" bestFit="1" customWidth="1"/>
    <col min="1811" max="1811" width="9.5" style="534" bestFit="1" customWidth="1"/>
    <col min="1812" max="2048" width="8.19921875" style="534"/>
    <col min="2049" max="2049" width="6.8984375" style="534" customWidth="1"/>
    <col min="2050" max="2050" width="11.69921875" style="534" bestFit="1" customWidth="1"/>
    <col min="2051" max="2051" width="6" style="534" bestFit="1" customWidth="1"/>
    <col min="2052" max="2052" width="51" style="534" customWidth="1"/>
    <col min="2053" max="2053" width="7.09765625" style="534" customWidth="1"/>
    <col min="2054" max="2054" width="6.59765625" style="534" customWidth="1"/>
    <col min="2055" max="2055" width="7.69921875" style="534" customWidth="1"/>
    <col min="2056" max="2056" width="6.59765625" style="534" customWidth="1"/>
    <col min="2057" max="2057" width="7.09765625" style="534" customWidth="1"/>
    <col min="2058" max="2058" width="8.19921875" style="534"/>
    <col min="2059" max="2060" width="6.69921875" style="534" bestFit="1" customWidth="1"/>
    <col min="2061" max="2061" width="9.19921875" style="534" customWidth="1"/>
    <col min="2062" max="2063" width="9.69921875" style="534" customWidth="1"/>
    <col min="2064" max="2064" width="10.69921875" style="534" customWidth="1"/>
    <col min="2065" max="2065" width="10.8984375" style="534" customWidth="1"/>
    <col min="2066" max="2066" width="9.09765625" style="534" bestFit="1" customWidth="1"/>
    <col min="2067" max="2067" width="9.5" style="534" bestFit="1" customWidth="1"/>
    <col min="2068" max="2304" width="8.19921875" style="534"/>
    <col min="2305" max="2305" width="6.8984375" style="534" customWidth="1"/>
    <col min="2306" max="2306" width="11.69921875" style="534" bestFit="1" customWidth="1"/>
    <col min="2307" max="2307" width="6" style="534" bestFit="1" customWidth="1"/>
    <col min="2308" max="2308" width="51" style="534" customWidth="1"/>
    <col min="2309" max="2309" width="7.09765625" style="534" customWidth="1"/>
    <col min="2310" max="2310" width="6.59765625" style="534" customWidth="1"/>
    <col min="2311" max="2311" width="7.69921875" style="534" customWidth="1"/>
    <col min="2312" max="2312" width="6.59765625" style="534" customWidth="1"/>
    <col min="2313" max="2313" width="7.09765625" style="534" customWidth="1"/>
    <col min="2314" max="2314" width="8.19921875" style="534"/>
    <col min="2315" max="2316" width="6.69921875" style="534" bestFit="1" customWidth="1"/>
    <col min="2317" max="2317" width="9.19921875" style="534" customWidth="1"/>
    <col min="2318" max="2319" width="9.69921875" style="534" customWidth="1"/>
    <col min="2320" max="2320" width="10.69921875" style="534" customWidth="1"/>
    <col min="2321" max="2321" width="10.8984375" style="534" customWidth="1"/>
    <col min="2322" max="2322" width="9.09765625" style="534" bestFit="1" customWidth="1"/>
    <col min="2323" max="2323" width="9.5" style="534" bestFit="1" customWidth="1"/>
    <col min="2324" max="2560" width="8.19921875" style="534"/>
    <col min="2561" max="2561" width="6.8984375" style="534" customWidth="1"/>
    <col min="2562" max="2562" width="11.69921875" style="534" bestFit="1" customWidth="1"/>
    <col min="2563" max="2563" width="6" style="534" bestFit="1" customWidth="1"/>
    <col min="2564" max="2564" width="51" style="534" customWidth="1"/>
    <col min="2565" max="2565" width="7.09765625" style="534" customWidth="1"/>
    <col min="2566" max="2566" width="6.59765625" style="534" customWidth="1"/>
    <col min="2567" max="2567" width="7.69921875" style="534" customWidth="1"/>
    <col min="2568" max="2568" width="6.59765625" style="534" customWidth="1"/>
    <col min="2569" max="2569" width="7.09765625" style="534" customWidth="1"/>
    <col min="2570" max="2570" width="8.19921875" style="534"/>
    <col min="2571" max="2572" width="6.69921875" style="534" bestFit="1" customWidth="1"/>
    <col min="2573" max="2573" width="9.19921875" style="534" customWidth="1"/>
    <col min="2574" max="2575" width="9.69921875" style="534" customWidth="1"/>
    <col min="2576" max="2576" width="10.69921875" style="534" customWidth="1"/>
    <col min="2577" max="2577" width="10.8984375" style="534" customWidth="1"/>
    <col min="2578" max="2578" width="9.09765625" style="534" bestFit="1" customWidth="1"/>
    <col min="2579" max="2579" width="9.5" style="534" bestFit="1" customWidth="1"/>
    <col min="2580" max="2816" width="8.19921875" style="534"/>
    <col min="2817" max="2817" width="6.8984375" style="534" customWidth="1"/>
    <col min="2818" max="2818" width="11.69921875" style="534" bestFit="1" customWidth="1"/>
    <col min="2819" max="2819" width="6" style="534" bestFit="1" customWidth="1"/>
    <col min="2820" max="2820" width="51" style="534" customWidth="1"/>
    <col min="2821" max="2821" width="7.09765625" style="534" customWidth="1"/>
    <col min="2822" max="2822" width="6.59765625" style="534" customWidth="1"/>
    <col min="2823" max="2823" width="7.69921875" style="534" customWidth="1"/>
    <col min="2824" max="2824" width="6.59765625" style="534" customWidth="1"/>
    <col min="2825" max="2825" width="7.09765625" style="534" customWidth="1"/>
    <col min="2826" max="2826" width="8.19921875" style="534"/>
    <col min="2827" max="2828" width="6.69921875" style="534" bestFit="1" customWidth="1"/>
    <col min="2829" max="2829" width="9.19921875" style="534" customWidth="1"/>
    <col min="2830" max="2831" width="9.69921875" style="534" customWidth="1"/>
    <col min="2832" max="2832" width="10.69921875" style="534" customWidth="1"/>
    <col min="2833" max="2833" width="10.8984375" style="534" customWidth="1"/>
    <col min="2834" max="2834" width="9.09765625" style="534" bestFit="1" customWidth="1"/>
    <col min="2835" max="2835" width="9.5" style="534" bestFit="1" customWidth="1"/>
    <col min="2836" max="3072" width="8.19921875" style="534"/>
    <col min="3073" max="3073" width="6.8984375" style="534" customWidth="1"/>
    <col min="3074" max="3074" width="11.69921875" style="534" bestFit="1" customWidth="1"/>
    <col min="3075" max="3075" width="6" style="534" bestFit="1" customWidth="1"/>
    <col min="3076" max="3076" width="51" style="534" customWidth="1"/>
    <col min="3077" max="3077" width="7.09765625" style="534" customWidth="1"/>
    <col min="3078" max="3078" width="6.59765625" style="534" customWidth="1"/>
    <col min="3079" max="3079" width="7.69921875" style="534" customWidth="1"/>
    <col min="3080" max="3080" width="6.59765625" style="534" customWidth="1"/>
    <col min="3081" max="3081" width="7.09765625" style="534" customWidth="1"/>
    <col min="3082" max="3082" width="8.19921875" style="534"/>
    <col min="3083" max="3084" width="6.69921875" style="534" bestFit="1" customWidth="1"/>
    <col min="3085" max="3085" width="9.19921875" style="534" customWidth="1"/>
    <col min="3086" max="3087" width="9.69921875" style="534" customWidth="1"/>
    <col min="3088" max="3088" width="10.69921875" style="534" customWidth="1"/>
    <col min="3089" max="3089" width="10.8984375" style="534" customWidth="1"/>
    <col min="3090" max="3090" width="9.09765625" style="534" bestFit="1" customWidth="1"/>
    <col min="3091" max="3091" width="9.5" style="534" bestFit="1" customWidth="1"/>
    <col min="3092" max="3328" width="8.19921875" style="534"/>
    <col min="3329" max="3329" width="6.8984375" style="534" customWidth="1"/>
    <col min="3330" max="3330" width="11.69921875" style="534" bestFit="1" customWidth="1"/>
    <col min="3331" max="3331" width="6" style="534" bestFit="1" customWidth="1"/>
    <col min="3332" max="3332" width="51" style="534" customWidth="1"/>
    <col min="3333" max="3333" width="7.09765625" style="534" customWidth="1"/>
    <col min="3334" max="3334" width="6.59765625" style="534" customWidth="1"/>
    <col min="3335" max="3335" width="7.69921875" style="534" customWidth="1"/>
    <col min="3336" max="3336" width="6.59765625" style="534" customWidth="1"/>
    <col min="3337" max="3337" width="7.09765625" style="534" customWidth="1"/>
    <col min="3338" max="3338" width="8.19921875" style="534"/>
    <col min="3339" max="3340" width="6.69921875" style="534" bestFit="1" customWidth="1"/>
    <col min="3341" max="3341" width="9.19921875" style="534" customWidth="1"/>
    <col min="3342" max="3343" width="9.69921875" style="534" customWidth="1"/>
    <col min="3344" max="3344" width="10.69921875" style="534" customWidth="1"/>
    <col min="3345" max="3345" width="10.8984375" style="534" customWidth="1"/>
    <col min="3346" max="3346" width="9.09765625" style="534" bestFit="1" customWidth="1"/>
    <col min="3347" max="3347" width="9.5" style="534" bestFit="1" customWidth="1"/>
    <col min="3348" max="3584" width="8.19921875" style="534"/>
    <col min="3585" max="3585" width="6.8984375" style="534" customWidth="1"/>
    <col min="3586" max="3586" width="11.69921875" style="534" bestFit="1" customWidth="1"/>
    <col min="3587" max="3587" width="6" style="534" bestFit="1" customWidth="1"/>
    <col min="3588" max="3588" width="51" style="534" customWidth="1"/>
    <col min="3589" max="3589" width="7.09765625" style="534" customWidth="1"/>
    <col min="3590" max="3590" width="6.59765625" style="534" customWidth="1"/>
    <col min="3591" max="3591" width="7.69921875" style="534" customWidth="1"/>
    <col min="3592" max="3592" width="6.59765625" style="534" customWidth="1"/>
    <col min="3593" max="3593" width="7.09765625" style="534" customWidth="1"/>
    <col min="3594" max="3594" width="8.19921875" style="534"/>
    <col min="3595" max="3596" width="6.69921875" style="534" bestFit="1" customWidth="1"/>
    <col min="3597" max="3597" width="9.19921875" style="534" customWidth="1"/>
    <col min="3598" max="3599" width="9.69921875" style="534" customWidth="1"/>
    <col min="3600" max="3600" width="10.69921875" style="534" customWidth="1"/>
    <col min="3601" max="3601" width="10.8984375" style="534" customWidth="1"/>
    <col min="3602" max="3602" width="9.09765625" style="534" bestFit="1" customWidth="1"/>
    <col min="3603" max="3603" width="9.5" style="534" bestFit="1" customWidth="1"/>
    <col min="3604" max="3840" width="8.19921875" style="534"/>
    <col min="3841" max="3841" width="6.8984375" style="534" customWidth="1"/>
    <col min="3842" max="3842" width="11.69921875" style="534" bestFit="1" customWidth="1"/>
    <col min="3843" max="3843" width="6" style="534" bestFit="1" customWidth="1"/>
    <col min="3844" max="3844" width="51" style="534" customWidth="1"/>
    <col min="3845" max="3845" width="7.09765625" style="534" customWidth="1"/>
    <col min="3846" max="3846" width="6.59765625" style="534" customWidth="1"/>
    <col min="3847" max="3847" width="7.69921875" style="534" customWidth="1"/>
    <col min="3848" max="3848" width="6.59765625" style="534" customWidth="1"/>
    <col min="3849" max="3849" width="7.09765625" style="534" customWidth="1"/>
    <col min="3850" max="3850" width="8.19921875" style="534"/>
    <col min="3851" max="3852" width="6.69921875" style="534" bestFit="1" customWidth="1"/>
    <col min="3853" max="3853" width="9.19921875" style="534" customWidth="1"/>
    <col min="3854" max="3855" width="9.69921875" style="534" customWidth="1"/>
    <col min="3856" max="3856" width="10.69921875" style="534" customWidth="1"/>
    <col min="3857" max="3857" width="10.8984375" style="534" customWidth="1"/>
    <col min="3858" max="3858" width="9.09765625" style="534" bestFit="1" customWidth="1"/>
    <col min="3859" max="3859" width="9.5" style="534" bestFit="1" customWidth="1"/>
    <col min="3860" max="4096" width="8.19921875" style="534"/>
    <col min="4097" max="4097" width="6.8984375" style="534" customWidth="1"/>
    <col min="4098" max="4098" width="11.69921875" style="534" bestFit="1" customWidth="1"/>
    <col min="4099" max="4099" width="6" style="534" bestFit="1" customWidth="1"/>
    <col min="4100" max="4100" width="51" style="534" customWidth="1"/>
    <col min="4101" max="4101" width="7.09765625" style="534" customWidth="1"/>
    <col min="4102" max="4102" width="6.59765625" style="534" customWidth="1"/>
    <col min="4103" max="4103" width="7.69921875" style="534" customWidth="1"/>
    <col min="4104" max="4104" width="6.59765625" style="534" customWidth="1"/>
    <col min="4105" max="4105" width="7.09765625" style="534" customWidth="1"/>
    <col min="4106" max="4106" width="8.19921875" style="534"/>
    <col min="4107" max="4108" width="6.69921875" style="534" bestFit="1" customWidth="1"/>
    <col min="4109" max="4109" width="9.19921875" style="534" customWidth="1"/>
    <col min="4110" max="4111" width="9.69921875" style="534" customWidth="1"/>
    <col min="4112" max="4112" width="10.69921875" style="534" customWidth="1"/>
    <col min="4113" max="4113" width="10.8984375" style="534" customWidth="1"/>
    <col min="4114" max="4114" width="9.09765625" style="534" bestFit="1" customWidth="1"/>
    <col min="4115" max="4115" width="9.5" style="534" bestFit="1" customWidth="1"/>
    <col min="4116" max="4352" width="8.19921875" style="534"/>
    <col min="4353" max="4353" width="6.8984375" style="534" customWidth="1"/>
    <col min="4354" max="4354" width="11.69921875" style="534" bestFit="1" customWidth="1"/>
    <col min="4355" max="4355" width="6" style="534" bestFit="1" customWidth="1"/>
    <col min="4356" max="4356" width="51" style="534" customWidth="1"/>
    <col min="4357" max="4357" width="7.09765625" style="534" customWidth="1"/>
    <col min="4358" max="4358" width="6.59765625" style="534" customWidth="1"/>
    <col min="4359" max="4359" width="7.69921875" style="534" customWidth="1"/>
    <col min="4360" max="4360" width="6.59765625" style="534" customWidth="1"/>
    <col min="4361" max="4361" width="7.09765625" style="534" customWidth="1"/>
    <col min="4362" max="4362" width="8.19921875" style="534"/>
    <col min="4363" max="4364" width="6.69921875" style="534" bestFit="1" customWidth="1"/>
    <col min="4365" max="4365" width="9.19921875" style="534" customWidth="1"/>
    <col min="4366" max="4367" width="9.69921875" style="534" customWidth="1"/>
    <col min="4368" max="4368" width="10.69921875" style="534" customWidth="1"/>
    <col min="4369" max="4369" width="10.8984375" style="534" customWidth="1"/>
    <col min="4370" max="4370" width="9.09765625" style="534" bestFit="1" customWidth="1"/>
    <col min="4371" max="4371" width="9.5" style="534" bestFit="1" customWidth="1"/>
    <col min="4372" max="4608" width="8.19921875" style="534"/>
    <col min="4609" max="4609" width="6.8984375" style="534" customWidth="1"/>
    <col min="4610" max="4610" width="11.69921875" style="534" bestFit="1" customWidth="1"/>
    <col min="4611" max="4611" width="6" style="534" bestFit="1" customWidth="1"/>
    <col min="4612" max="4612" width="51" style="534" customWidth="1"/>
    <col min="4613" max="4613" width="7.09765625" style="534" customWidth="1"/>
    <col min="4614" max="4614" width="6.59765625" style="534" customWidth="1"/>
    <col min="4615" max="4615" width="7.69921875" style="534" customWidth="1"/>
    <col min="4616" max="4616" width="6.59765625" style="534" customWidth="1"/>
    <col min="4617" max="4617" width="7.09765625" style="534" customWidth="1"/>
    <col min="4618" max="4618" width="8.19921875" style="534"/>
    <col min="4619" max="4620" width="6.69921875" style="534" bestFit="1" customWidth="1"/>
    <col min="4621" max="4621" width="9.19921875" style="534" customWidth="1"/>
    <col min="4622" max="4623" width="9.69921875" style="534" customWidth="1"/>
    <col min="4624" max="4624" width="10.69921875" style="534" customWidth="1"/>
    <col min="4625" max="4625" width="10.8984375" style="534" customWidth="1"/>
    <col min="4626" max="4626" width="9.09765625" style="534" bestFit="1" customWidth="1"/>
    <col min="4627" max="4627" width="9.5" style="534" bestFit="1" customWidth="1"/>
    <col min="4628" max="4864" width="8.19921875" style="534"/>
    <col min="4865" max="4865" width="6.8984375" style="534" customWidth="1"/>
    <col min="4866" max="4866" width="11.69921875" style="534" bestFit="1" customWidth="1"/>
    <col min="4867" max="4867" width="6" style="534" bestFit="1" customWidth="1"/>
    <col min="4868" max="4868" width="51" style="534" customWidth="1"/>
    <col min="4869" max="4869" width="7.09765625" style="534" customWidth="1"/>
    <col min="4870" max="4870" width="6.59765625" style="534" customWidth="1"/>
    <col min="4871" max="4871" width="7.69921875" style="534" customWidth="1"/>
    <col min="4872" max="4872" width="6.59765625" style="534" customWidth="1"/>
    <col min="4873" max="4873" width="7.09765625" style="534" customWidth="1"/>
    <col min="4874" max="4874" width="8.19921875" style="534"/>
    <col min="4875" max="4876" width="6.69921875" style="534" bestFit="1" customWidth="1"/>
    <col min="4877" max="4877" width="9.19921875" style="534" customWidth="1"/>
    <col min="4878" max="4879" width="9.69921875" style="534" customWidth="1"/>
    <col min="4880" max="4880" width="10.69921875" style="534" customWidth="1"/>
    <col min="4881" max="4881" width="10.8984375" style="534" customWidth="1"/>
    <col min="4882" max="4882" width="9.09765625" style="534" bestFit="1" customWidth="1"/>
    <col min="4883" max="4883" width="9.5" style="534" bestFit="1" customWidth="1"/>
    <col min="4884" max="5120" width="8.19921875" style="534"/>
    <col min="5121" max="5121" width="6.8984375" style="534" customWidth="1"/>
    <col min="5122" max="5122" width="11.69921875" style="534" bestFit="1" customWidth="1"/>
    <col min="5123" max="5123" width="6" style="534" bestFit="1" customWidth="1"/>
    <col min="5124" max="5124" width="51" style="534" customWidth="1"/>
    <col min="5125" max="5125" width="7.09765625" style="534" customWidth="1"/>
    <col min="5126" max="5126" width="6.59765625" style="534" customWidth="1"/>
    <col min="5127" max="5127" width="7.69921875" style="534" customWidth="1"/>
    <col min="5128" max="5128" width="6.59765625" style="534" customWidth="1"/>
    <col min="5129" max="5129" width="7.09765625" style="534" customWidth="1"/>
    <col min="5130" max="5130" width="8.19921875" style="534"/>
    <col min="5131" max="5132" width="6.69921875" style="534" bestFit="1" customWidth="1"/>
    <col min="5133" max="5133" width="9.19921875" style="534" customWidth="1"/>
    <col min="5134" max="5135" width="9.69921875" style="534" customWidth="1"/>
    <col min="5136" max="5136" width="10.69921875" style="534" customWidth="1"/>
    <col min="5137" max="5137" width="10.8984375" style="534" customWidth="1"/>
    <col min="5138" max="5138" width="9.09765625" style="534" bestFit="1" customWidth="1"/>
    <col min="5139" max="5139" width="9.5" style="534" bestFit="1" customWidth="1"/>
    <col min="5140" max="5376" width="8.19921875" style="534"/>
    <col min="5377" max="5377" width="6.8984375" style="534" customWidth="1"/>
    <col min="5378" max="5378" width="11.69921875" style="534" bestFit="1" customWidth="1"/>
    <col min="5379" max="5379" width="6" style="534" bestFit="1" customWidth="1"/>
    <col min="5380" max="5380" width="51" style="534" customWidth="1"/>
    <col min="5381" max="5381" width="7.09765625" style="534" customWidth="1"/>
    <col min="5382" max="5382" width="6.59765625" style="534" customWidth="1"/>
    <col min="5383" max="5383" width="7.69921875" style="534" customWidth="1"/>
    <col min="5384" max="5384" width="6.59765625" style="534" customWidth="1"/>
    <col min="5385" max="5385" width="7.09765625" style="534" customWidth="1"/>
    <col min="5386" max="5386" width="8.19921875" style="534"/>
    <col min="5387" max="5388" width="6.69921875" style="534" bestFit="1" customWidth="1"/>
    <col min="5389" max="5389" width="9.19921875" style="534" customWidth="1"/>
    <col min="5390" max="5391" width="9.69921875" style="534" customWidth="1"/>
    <col min="5392" max="5392" width="10.69921875" style="534" customWidth="1"/>
    <col min="5393" max="5393" width="10.8984375" style="534" customWidth="1"/>
    <col min="5394" max="5394" width="9.09765625" style="534" bestFit="1" customWidth="1"/>
    <col min="5395" max="5395" width="9.5" style="534" bestFit="1" customWidth="1"/>
    <col min="5396" max="5632" width="8.19921875" style="534"/>
    <col min="5633" max="5633" width="6.8984375" style="534" customWidth="1"/>
    <col min="5634" max="5634" width="11.69921875" style="534" bestFit="1" customWidth="1"/>
    <col min="5635" max="5635" width="6" style="534" bestFit="1" customWidth="1"/>
    <col min="5636" max="5636" width="51" style="534" customWidth="1"/>
    <col min="5637" max="5637" width="7.09765625" style="534" customWidth="1"/>
    <col min="5638" max="5638" width="6.59765625" style="534" customWidth="1"/>
    <col min="5639" max="5639" width="7.69921875" style="534" customWidth="1"/>
    <col min="5640" max="5640" width="6.59765625" style="534" customWidth="1"/>
    <col min="5641" max="5641" width="7.09765625" style="534" customWidth="1"/>
    <col min="5642" max="5642" width="8.19921875" style="534"/>
    <col min="5643" max="5644" width="6.69921875" style="534" bestFit="1" customWidth="1"/>
    <col min="5645" max="5645" width="9.19921875" style="534" customWidth="1"/>
    <col min="5646" max="5647" width="9.69921875" style="534" customWidth="1"/>
    <col min="5648" max="5648" width="10.69921875" style="534" customWidth="1"/>
    <col min="5649" max="5649" width="10.8984375" style="534" customWidth="1"/>
    <col min="5650" max="5650" width="9.09765625" style="534" bestFit="1" customWidth="1"/>
    <col min="5651" max="5651" width="9.5" style="534" bestFit="1" customWidth="1"/>
    <col min="5652" max="5888" width="8.19921875" style="534"/>
    <col min="5889" max="5889" width="6.8984375" style="534" customWidth="1"/>
    <col min="5890" max="5890" width="11.69921875" style="534" bestFit="1" customWidth="1"/>
    <col min="5891" max="5891" width="6" style="534" bestFit="1" customWidth="1"/>
    <col min="5892" max="5892" width="51" style="534" customWidth="1"/>
    <col min="5893" max="5893" width="7.09765625" style="534" customWidth="1"/>
    <col min="5894" max="5894" width="6.59765625" style="534" customWidth="1"/>
    <col min="5895" max="5895" width="7.69921875" style="534" customWidth="1"/>
    <col min="5896" max="5896" width="6.59765625" style="534" customWidth="1"/>
    <col min="5897" max="5897" width="7.09765625" style="534" customWidth="1"/>
    <col min="5898" max="5898" width="8.19921875" style="534"/>
    <col min="5899" max="5900" width="6.69921875" style="534" bestFit="1" customWidth="1"/>
    <col min="5901" max="5901" width="9.19921875" style="534" customWidth="1"/>
    <col min="5902" max="5903" width="9.69921875" style="534" customWidth="1"/>
    <col min="5904" max="5904" width="10.69921875" style="534" customWidth="1"/>
    <col min="5905" max="5905" width="10.8984375" style="534" customWidth="1"/>
    <col min="5906" max="5906" width="9.09765625" style="534" bestFit="1" customWidth="1"/>
    <col min="5907" max="5907" width="9.5" style="534" bestFit="1" customWidth="1"/>
    <col min="5908" max="6144" width="8.19921875" style="534"/>
    <col min="6145" max="6145" width="6.8984375" style="534" customWidth="1"/>
    <col min="6146" max="6146" width="11.69921875" style="534" bestFit="1" customWidth="1"/>
    <col min="6147" max="6147" width="6" style="534" bestFit="1" customWidth="1"/>
    <col min="6148" max="6148" width="51" style="534" customWidth="1"/>
    <col min="6149" max="6149" width="7.09765625" style="534" customWidth="1"/>
    <col min="6150" max="6150" width="6.59765625" style="534" customWidth="1"/>
    <col min="6151" max="6151" width="7.69921875" style="534" customWidth="1"/>
    <col min="6152" max="6152" width="6.59765625" style="534" customWidth="1"/>
    <col min="6153" max="6153" width="7.09765625" style="534" customWidth="1"/>
    <col min="6154" max="6154" width="8.19921875" style="534"/>
    <col min="6155" max="6156" width="6.69921875" style="534" bestFit="1" customWidth="1"/>
    <col min="6157" max="6157" width="9.19921875" style="534" customWidth="1"/>
    <col min="6158" max="6159" width="9.69921875" style="534" customWidth="1"/>
    <col min="6160" max="6160" width="10.69921875" style="534" customWidth="1"/>
    <col min="6161" max="6161" width="10.8984375" style="534" customWidth="1"/>
    <col min="6162" max="6162" width="9.09765625" style="534" bestFit="1" customWidth="1"/>
    <col min="6163" max="6163" width="9.5" style="534" bestFit="1" customWidth="1"/>
    <col min="6164" max="6400" width="8.19921875" style="534"/>
    <col min="6401" max="6401" width="6.8984375" style="534" customWidth="1"/>
    <col min="6402" max="6402" width="11.69921875" style="534" bestFit="1" customWidth="1"/>
    <col min="6403" max="6403" width="6" style="534" bestFit="1" customWidth="1"/>
    <col min="6404" max="6404" width="51" style="534" customWidth="1"/>
    <col min="6405" max="6405" width="7.09765625" style="534" customWidth="1"/>
    <col min="6406" max="6406" width="6.59765625" style="534" customWidth="1"/>
    <col min="6407" max="6407" width="7.69921875" style="534" customWidth="1"/>
    <col min="6408" max="6408" width="6.59765625" style="534" customWidth="1"/>
    <col min="6409" max="6409" width="7.09765625" style="534" customWidth="1"/>
    <col min="6410" max="6410" width="8.19921875" style="534"/>
    <col min="6411" max="6412" width="6.69921875" style="534" bestFit="1" customWidth="1"/>
    <col min="6413" max="6413" width="9.19921875" style="534" customWidth="1"/>
    <col min="6414" max="6415" width="9.69921875" style="534" customWidth="1"/>
    <col min="6416" max="6416" width="10.69921875" style="534" customWidth="1"/>
    <col min="6417" max="6417" width="10.8984375" style="534" customWidth="1"/>
    <col min="6418" max="6418" width="9.09765625" style="534" bestFit="1" customWidth="1"/>
    <col min="6419" max="6419" width="9.5" style="534" bestFit="1" customWidth="1"/>
    <col min="6420" max="6656" width="8.19921875" style="534"/>
    <col min="6657" max="6657" width="6.8984375" style="534" customWidth="1"/>
    <col min="6658" max="6658" width="11.69921875" style="534" bestFit="1" customWidth="1"/>
    <col min="6659" max="6659" width="6" style="534" bestFit="1" customWidth="1"/>
    <col min="6660" max="6660" width="51" style="534" customWidth="1"/>
    <col min="6661" max="6661" width="7.09765625" style="534" customWidth="1"/>
    <col min="6662" max="6662" width="6.59765625" style="534" customWidth="1"/>
    <col min="6663" max="6663" width="7.69921875" style="534" customWidth="1"/>
    <col min="6664" max="6664" width="6.59765625" style="534" customWidth="1"/>
    <col min="6665" max="6665" width="7.09765625" style="534" customWidth="1"/>
    <col min="6666" max="6666" width="8.19921875" style="534"/>
    <col min="6667" max="6668" width="6.69921875" style="534" bestFit="1" customWidth="1"/>
    <col min="6669" max="6669" width="9.19921875" style="534" customWidth="1"/>
    <col min="6670" max="6671" width="9.69921875" style="534" customWidth="1"/>
    <col min="6672" max="6672" width="10.69921875" style="534" customWidth="1"/>
    <col min="6673" max="6673" width="10.8984375" style="534" customWidth="1"/>
    <col min="6674" max="6674" width="9.09765625" style="534" bestFit="1" customWidth="1"/>
    <col min="6675" max="6675" width="9.5" style="534" bestFit="1" customWidth="1"/>
    <col min="6676" max="6912" width="8.19921875" style="534"/>
    <col min="6913" max="6913" width="6.8984375" style="534" customWidth="1"/>
    <col min="6914" max="6914" width="11.69921875" style="534" bestFit="1" customWidth="1"/>
    <col min="6915" max="6915" width="6" style="534" bestFit="1" customWidth="1"/>
    <col min="6916" max="6916" width="51" style="534" customWidth="1"/>
    <col min="6917" max="6917" width="7.09765625" style="534" customWidth="1"/>
    <col min="6918" max="6918" width="6.59765625" style="534" customWidth="1"/>
    <col min="6919" max="6919" width="7.69921875" style="534" customWidth="1"/>
    <col min="6920" max="6920" width="6.59765625" style="534" customWidth="1"/>
    <col min="6921" max="6921" width="7.09765625" style="534" customWidth="1"/>
    <col min="6922" max="6922" width="8.19921875" style="534"/>
    <col min="6923" max="6924" width="6.69921875" style="534" bestFit="1" customWidth="1"/>
    <col min="6925" max="6925" width="9.19921875" style="534" customWidth="1"/>
    <col min="6926" max="6927" width="9.69921875" style="534" customWidth="1"/>
    <col min="6928" max="6928" width="10.69921875" style="534" customWidth="1"/>
    <col min="6929" max="6929" width="10.8984375" style="534" customWidth="1"/>
    <col min="6930" max="6930" width="9.09765625" style="534" bestFit="1" customWidth="1"/>
    <col min="6931" max="6931" width="9.5" style="534" bestFit="1" customWidth="1"/>
    <col min="6932" max="7168" width="8.19921875" style="534"/>
    <col min="7169" max="7169" width="6.8984375" style="534" customWidth="1"/>
    <col min="7170" max="7170" width="11.69921875" style="534" bestFit="1" customWidth="1"/>
    <col min="7171" max="7171" width="6" style="534" bestFit="1" customWidth="1"/>
    <col min="7172" max="7172" width="51" style="534" customWidth="1"/>
    <col min="7173" max="7173" width="7.09765625" style="534" customWidth="1"/>
    <col min="7174" max="7174" width="6.59765625" style="534" customWidth="1"/>
    <col min="7175" max="7175" width="7.69921875" style="534" customWidth="1"/>
    <col min="7176" max="7176" width="6.59765625" style="534" customWidth="1"/>
    <col min="7177" max="7177" width="7.09765625" style="534" customWidth="1"/>
    <col min="7178" max="7178" width="8.19921875" style="534"/>
    <col min="7179" max="7180" width="6.69921875" style="534" bestFit="1" customWidth="1"/>
    <col min="7181" max="7181" width="9.19921875" style="534" customWidth="1"/>
    <col min="7182" max="7183" width="9.69921875" style="534" customWidth="1"/>
    <col min="7184" max="7184" width="10.69921875" style="534" customWidth="1"/>
    <col min="7185" max="7185" width="10.8984375" style="534" customWidth="1"/>
    <col min="7186" max="7186" width="9.09765625" style="534" bestFit="1" customWidth="1"/>
    <col min="7187" max="7187" width="9.5" style="534" bestFit="1" customWidth="1"/>
    <col min="7188" max="7424" width="8.19921875" style="534"/>
    <col min="7425" max="7425" width="6.8984375" style="534" customWidth="1"/>
    <col min="7426" max="7426" width="11.69921875" style="534" bestFit="1" customWidth="1"/>
    <col min="7427" max="7427" width="6" style="534" bestFit="1" customWidth="1"/>
    <col min="7428" max="7428" width="51" style="534" customWidth="1"/>
    <col min="7429" max="7429" width="7.09765625" style="534" customWidth="1"/>
    <col min="7430" max="7430" width="6.59765625" style="534" customWidth="1"/>
    <col min="7431" max="7431" width="7.69921875" style="534" customWidth="1"/>
    <col min="7432" max="7432" width="6.59765625" style="534" customWidth="1"/>
    <col min="7433" max="7433" width="7.09765625" style="534" customWidth="1"/>
    <col min="7434" max="7434" width="8.19921875" style="534"/>
    <col min="7435" max="7436" width="6.69921875" style="534" bestFit="1" customWidth="1"/>
    <col min="7437" max="7437" width="9.19921875" style="534" customWidth="1"/>
    <col min="7438" max="7439" width="9.69921875" style="534" customWidth="1"/>
    <col min="7440" max="7440" width="10.69921875" style="534" customWidth="1"/>
    <col min="7441" max="7441" width="10.8984375" style="534" customWidth="1"/>
    <col min="7442" max="7442" width="9.09765625" style="534" bestFit="1" customWidth="1"/>
    <col min="7443" max="7443" width="9.5" style="534" bestFit="1" customWidth="1"/>
    <col min="7444" max="7680" width="8.19921875" style="534"/>
    <col min="7681" max="7681" width="6.8984375" style="534" customWidth="1"/>
    <col min="7682" max="7682" width="11.69921875" style="534" bestFit="1" customWidth="1"/>
    <col min="7683" max="7683" width="6" style="534" bestFit="1" customWidth="1"/>
    <col min="7684" max="7684" width="51" style="534" customWidth="1"/>
    <col min="7685" max="7685" width="7.09765625" style="534" customWidth="1"/>
    <col min="7686" max="7686" width="6.59765625" style="534" customWidth="1"/>
    <col min="7687" max="7687" width="7.69921875" style="534" customWidth="1"/>
    <col min="7688" max="7688" width="6.59765625" style="534" customWidth="1"/>
    <col min="7689" max="7689" width="7.09765625" style="534" customWidth="1"/>
    <col min="7690" max="7690" width="8.19921875" style="534"/>
    <col min="7691" max="7692" width="6.69921875" style="534" bestFit="1" customWidth="1"/>
    <col min="7693" max="7693" width="9.19921875" style="534" customWidth="1"/>
    <col min="7694" max="7695" width="9.69921875" style="534" customWidth="1"/>
    <col min="7696" max="7696" width="10.69921875" style="534" customWidth="1"/>
    <col min="7697" max="7697" width="10.8984375" style="534" customWidth="1"/>
    <col min="7698" max="7698" width="9.09765625" style="534" bestFit="1" customWidth="1"/>
    <col min="7699" max="7699" width="9.5" style="534" bestFit="1" customWidth="1"/>
    <col min="7700" max="7936" width="8.19921875" style="534"/>
    <col min="7937" max="7937" width="6.8984375" style="534" customWidth="1"/>
    <col min="7938" max="7938" width="11.69921875" style="534" bestFit="1" customWidth="1"/>
    <col min="7939" max="7939" width="6" style="534" bestFit="1" customWidth="1"/>
    <col min="7940" max="7940" width="51" style="534" customWidth="1"/>
    <col min="7941" max="7941" width="7.09765625" style="534" customWidth="1"/>
    <col min="7942" max="7942" width="6.59765625" style="534" customWidth="1"/>
    <col min="7943" max="7943" width="7.69921875" style="534" customWidth="1"/>
    <col min="7944" max="7944" width="6.59765625" style="534" customWidth="1"/>
    <col min="7945" max="7945" width="7.09765625" style="534" customWidth="1"/>
    <col min="7946" max="7946" width="8.19921875" style="534"/>
    <col min="7947" max="7948" width="6.69921875" style="534" bestFit="1" customWidth="1"/>
    <col min="7949" max="7949" width="9.19921875" style="534" customWidth="1"/>
    <col min="7950" max="7951" width="9.69921875" style="534" customWidth="1"/>
    <col min="7952" max="7952" width="10.69921875" style="534" customWidth="1"/>
    <col min="7953" max="7953" width="10.8984375" style="534" customWidth="1"/>
    <col min="7954" max="7954" width="9.09765625" style="534" bestFit="1" customWidth="1"/>
    <col min="7955" max="7955" width="9.5" style="534" bestFit="1" customWidth="1"/>
    <col min="7956" max="8192" width="8.19921875" style="534"/>
    <col min="8193" max="8193" width="6.8984375" style="534" customWidth="1"/>
    <col min="8194" max="8194" width="11.69921875" style="534" bestFit="1" customWidth="1"/>
    <col min="8195" max="8195" width="6" style="534" bestFit="1" customWidth="1"/>
    <col min="8196" max="8196" width="51" style="534" customWidth="1"/>
    <col min="8197" max="8197" width="7.09765625" style="534" customWidth="1"/>
    <col min="8198" max="8198" width="6.59765625" style="534" customWidth="1"/>
    <col min="8199" max="8199" width="7.69921875" style="534" customWidth="1"/>
    <col min="8200" max="8200" width="6.59765625" style="534" customWidth="1"/>
    <col min="8201" max="8201" width="7.09765625" style="534" customWidth="1"/>
    <col min="8202" max="8202" width="8.19921875" style="534"/>
    <col min="8203" max="8204" width="6.69921875" style="534" bestFit="1" customWidth="1"/>
    <col min="8205" max="8205" width="9.19921875" style="534" customWidth="1"/>
    <col min="8206" max="8207" width="9.69921875" style="534" customWidth="1"/>
    <col min="8208" max="8208" width="10.69921875" style="534" customWidth="1"/>
    <col min="8209" max="8209" width="10.8984375" style="534" customWidth="1"/>
    <col min="8210" max="8210" width="9.09765625" style="534" bestFit="1" customWidth="1"/>
    <col min="8211" max="8211" width="9.5" style="534" bestFit="1" customWidth="1"/>
    <col min="8212" max="8448" width="8.19921875" style="534"/>
    <col min="8449" max="8449" width="6.8984375" style="534" customWidth="1"/>
    <col min="8450" max="8450" width="11.69921875" style="534" bestFit="1" customWidth="1"/>
    <col min="8451" max="8451" width="6" style="534" bestFit="1" customWidth="1"/>
    <col min="8452" max="8452" width="51" style="534" customWidth="1"/>
    <col min="8453" max="8453" width="7.09765625" style="534" customWidth="1"/>
    <col min="8454" max="8454" width="6.59765625" style="534" customWidth="1"/>
    <col min="8455" max="8455" width="7.69921875" style="534" customWidth="1"/>
    <col min="8456" max="8456" width="6.59765625" style="534" customWidth="1"/>
    <col min="8457" max="8457" width="7.09765625" style="534" customWidth="1"/>
    <col min="8458" max="8458" width="8.19921875" style="534"/>
    <col min="8459" max="8460" width="6.69921875" style="534" bestFit="1" customWidth="1"/>
    <col min="8461" max="8461" width="9.19921875" style="534" customWidth="1"/>
    <col min="8462" max="8463" width="9.69921875" style="534" customWidth="1"/>
    <col min="8464" max="8464" width="10.69921875" style="534" customWidth="1"/>
    <col min="8465" max="8465" width="10.8984375" style="534" customWidth="1"/>
    <col min="8466" max="8466" width="9.09765625" style="534" bestFit="1" customWidth="1"/>
    <col min="8467" max="8467" width="9.5" style="534" bestFit="1" customWidth="1"/>
    <col min="8468" max="8704" width="8.19921875" style="534"/>
    <col min="8705" max="8705" width="6.8984375" style="534" customWidth="1"/>
    <col min="8706" max="8706" width="11.69921875" style="534" bestFit="1" customWidth="1"/>
    <col min="8707" max="8707" width="6" style="534" bestFit="1" customWidth="1"/>
    <col min="8708" max="8708" width="51" style="534" customWidth="1"/>
    <col min="8709" max="8709" width="7.09765625" style="534" customWidth="1"/>
    <col min="8710" max="8710" width="6.59765625" style="534" customWidth="1"/>
    <col min="8711" max="8711" width="7.69921875" style="534" customWidth="1"/>
    <col min="8712" max="8712" width="6.59765625" style="534" customWidth="1"/>
    <col min="8713" max="8713" width="7.09765625" style="534" customWidth="1"/>
    <col min="8714" max="8714" width="8.19921875" style="534"/>
    <col min="8715" max="8716" width="6.69921875" style="534" bestFit="1" customWidth="1"/>
    <col min="8717" max="8717" width="9.19921875" style="534" customWidth="1"/>
    <col min="8718" max="8719" width="9.69921875" style="534" customWidth="1"/>
    <col min="8720" max="8720" width="10.69921875" style="534" customWidth="1"/>
    <col min="8721" max="8721" width="10.8984375" style="534" customWidth="1"/>
    <col min="8722" max="8722" width="9.09765625" style="534" bestFit="1" customWidth="1"/>
    <col min="8723" max="8723" width="9.5" style="534" bestFit="1" customWidth="1"/>
    <col min="8724" max="8960" width="8.19921875" style="534"/>
    <col min="8961" max="8961" width="6.8984375" style="534" customWidth="1"/>
    <col min="8962" max="8962" width="11.69921875" style="534" bestFit="1" customWidth="1"/>
    <col min="8963" max="8963" width="6" style="534" bestFit="1" customWidth="1"/>
    <col min="8964" max="8964" width="51" style="534" customWidth="1"/>
    <col min="8965" max="8965" width="7.09765625" style="534" customWidth="1"/>
    <col min="8966" max="8966" width="6.59765625" style="534" customWidth="1"/>
    <col min="8967" max="8967" width="7.69921875" style="534" customWidth="1"/>
    <col min="8968" max="8968" width="6.59765625" style="534" customWidth="1"/>
    <col min="8969" max="8969" width="7.09765625" style="534" customWidth="1"/>
    <col min="8970" max="8970" width="8.19921875" style="534"/>
    <col min="8971" max="8972" width="6.69921875" style="534" bestFit="1" customWidth="1"/>
    <col min="8973" max="8973" width="9.19921875" style="534" customWidth="1"/>
    <col min="8974" max="8975" width="9.69921875" style="534" customWidth="1"/>
    <col min="8976" max="8976" width="10.69921875" style="534" customWidth="1"/>
    <col min="8977" max="8977" width="10.8984375" style="534" customWidth="1"/>
    <col min="8978" max="8978" width="9.09765625" style="534" bestFit="1" customWidth="1"/>
    <col min="8979" max="8979" width="9.5" style="534" bestFit="1" customWidth="1"/>
    <col min="8980" max="9216" width="8.19921875" style="534"/>
    <col min="9217" max="9217" width="6.8984375" style="534" customWidth="1"/>
    <col min="9218" max="9218" width="11.69921875" style="534" bestFit="1" customWidth="1"/>
    <col min="9219" max="9219" width="6" style="534" bestFit="1" customWidth="1"/>
    <col min="9220" max="9220" width="51" style="534" customWidth="1"/>
    <col min="9221" max="9221" width="7.09765625" style="534" customWidth="1"/>
    <col min="9222" max="9222" width="6.59765625" style="534" customWidth="1"/>
    <col min="9223" max="9223" width="7.69921875" style="534" customWidth="1"/>
    <col min="9224" max="9224" width="6.59765625" style="534" customWidth="1"/>
    <col min="9225" max="9225" width="7.09765625" style="534" customWidth="1"/>
    <col min="9226" max="9226" width="8.19921875" style="534"/>
    <col min="9227" max="9228" width="6.69921875" style="534" bestFit="1" customWidth="1"/>
    <col min="9229" max="9229" width="9.19921875" style="534" customWidth="1"/>
    <col min="9230" max="9231" width="9.69921875" style="534" customWidth="1"/>
    <col min="9232" max="9232" width="10.69921875" style="534" customWidth="1"/>
    <col min="9233" max="9233" width="10.8984375" style="534" customWidth="1"/>
    <col min="9234" max="9234" width="9.09765625" style="534" bestFit="1" customWidth="1"/>
    <col min="9235" max="9235" width="9.5" style="534" bestFit="1" customWidth="1"/>
    <col min="9236" max="9472" width="8.19921875" style="534"/>
    <col min="9473" max="9473" width="6.8984375" style="534" customWidth="1"/>
    <col min="9474" max="9474" width="11.69921875" style="534" bestFit="1" customWidth="1"/>
    <col min="9475" max="9475" width="6" style="534" bestFit="1" customWidth="1"/>
    <col min="9476" max="9476" width="51" style="534" customWidth="1"/>
    <col min="9477" max="9477" width="7.09765625" style="534" customWidth="1"/>
    <col min="9478" max="9478" width="6.59765625" style="534" customWidth="1"/>
    <col min="9479" max="9479" width="7.69921875" style="534" customWidth="1"/>
    <col min="9480" max="9480" width="6.59765625" style="534" customWidth="1"/>
    <col min="9481" max="9481" width="7.09765625" style="534" customWidth="1"/>
    <col min="9482" max="9482" width="8.19921875" style="534"/>
    <col min="9483" max="9484" width="6.69921875" style="534" bestFit="1" customWidth="1"/>
    <col min="9485" max="9485" width="9.19921875" style="534" customWidth="1"/>
    <col min="9486" max="9487" width="9.69921875" style="534" customWidth="1"/>
    <col min="9488" max="9488" width="10.69921875" style="534" customWidth="1"/>
    <col min="9489" max="9489" width="10.8984375" style="534" customWidth="1"/>
    <col min="9490" max="9490" width="9.09765625" style="534" bestFit="1" customWidth="1"/>
    <col min="9491" max="9491" width="9.5" style="534" bestFit="1" customWidth="1"/>
    <col min="9492" max="9728" width="8.19921875" style="534"/>
    <col min="9729" max="9729" width="6.8984375" style="534" customWidth="1"/>
    <col min="9730" max="9730" width="11.69921875" style="534" bestFit="1" customWidth="1"/>
    <col min="9731" max="9731" width="6" style="534" bestFit="1" customWidth="1"/>
    <col min="9732" max="9732" width="51" style="534" customWidth="1"/>
    <col min="9733" max="9733" width="7.09765625" style="534" customWidth="1"/>
    <col min="9734" max="9734" width="6.59765625" style="534" customWidth="1"/>
    <col min="9735" max="9735" width="7.69921875" style="534" customWidth="1"/>
    <col min="9736" max="9736" width="6.59765625" style="534" customWidth="1"/>
    <col min="9737" max="9737" width="7.09765625" style="534" customWidth="1"/>
    <col min="9738" max="9738" width="8.19921875" style="534"/>
    <col min="9739" max="9740" width="6.69921875" style="534" bestFit="1" customWidth="1"/>
    <col min="9741" max="9741" width="9.19921875" style="534" customWidth="1"/>
    <col min="9742" max="9743" width="9.69921875" style="534" customWidth="1"/>
    <col min="9744" max="9744" width="10.69921875" style="534" customWidth="1"/>
    <col min="9745" max="9745" width="10.8984375" style="534" customWidth="1"/>
    <col min="9746" max="9746" width="9.09765625" style="534" bestFit="1" customWidth="1"/>
    <col min="9747" max="9747" width="9.5" style="534" bestFit="1" customWidth="1"/>
    <col min="9748" max="9984" width="8.19921875" style="534"/>
    <col min="9985" max="9985" width="6.8984375" style="534" customWidth="1"/>
    <col min="9986" max="9986" width="11.69921875" style="534" bestFit="1" customWidth="1"/>
    <col min="9987" max="9987" width="6" style="534" bestFit="1" customWidth="1"/>
    <col min="9988" max="9988" width="51" style="534" customWidth="1"/>
    <col min="9989" max="9989" width="7.09765625" style="534" customWidth="1"/>
    <col min="9990" max="9990" width="6.59765625" style="534" customWidth="1"/>
    <col min="9991" max="9991" width="7.69921875" style="534" customWidth="1"/>
    <col min="9992" max="9992" width="6.59765625" style="534" customWidth="1"/>
    <col min="9993" max="9993" width="7.09765625" style="534" customWidth="1"/>
    <col min="9994" max="9994" width="8.19921875" style="534"/>
    <col min="9995" max="9996" width="6.69921875" style="534" bestFit="1" customWidth="1"/>
    <col min="9997" max="9997" width="9.19921875" style="534" customWidth="1"/>
    <col min="9998" max="9999" width="9.69921875" style="534" customWidth="1"/>
    <col min="10000" max="10000" width="10.69921875" style="534" customWidth="1"/>
    <col min="10001" max="10001" width="10.8984375" style="534" customWidth="1"/>
    <col min="10002" max="10002" width="9.09765625" style="534" bestFit="1" customWidth="1"/>
    <col min="10003" max="10003" width="9.5" style="534" bestFit="1" customWidth="1"/>
    <col min="10004" max="10240" width="8.19921875" style="534"/>
    <col min="10241" max="10241" width="6.8984375" style="534" customWidth="1"/>
    <col min="10242" max="10242" width="11.69921875" style="534" bestFit="1" customWidth="1"/>
    <col min="10243" max="10243" width="6" style="534" bestFit="1" customWidth="1"/>
    <col min="10244" max="10244" width="51" style="534" customWidth="1"/>
    <col min="10245" max="10245" width="7.09765625" style="534" customWidth="1"/>
    <col min="10246" max="10246" width="6.59765625" style="534" customWidth="1"/>
    <col min="10247" max="10247" width="7.69921875" style="534" customWidth="1"/>
    <col min="10248" max="10248" width="6.59765625" style="534" customWidth="1"/>
    <col min="10249" max="10249" width="7.09765625" style="534" customWidth="1"/>
    <col min="10250" max="10250" width="8.19921875" style="534"/>
    <col min="10251" max="10252" width="6.69921875" style="534" bestFit="1" customWidth="1"/>
    <col min="10253" max="10253" width="9.19921875" style="534" customWidth="1"/>
    <col min="10254" max="10255" width="9.69921875" style="534" customWidth="1"/>
    <col min="10256" max="10256" width="10.69921875" style="534" customWidth="1"/>
    <col min="10257" max="10257" width="10.8984375" style="534" customWidth="1"/>
    <col min="10258" max="10258" width="9.09765625" style="534" bestFit="1" customWidth="1"/>
    <col min="10259" max="10259" width="9.5" style="534" bestFit="1" customWidth="1"/>
    <col min="10260" max="10496" width="8.19921875" style="534"/>
    <col min="10497" max="10497" width="6.8984375" style="534" customWidth="1"/>
    <col min="10498" max="10498" width="11.69921875" style="534" bestFit="1" customWidth="1"/>
    <col min="10499" max="10499" width="6" style="534" bestFit="1" customWidth="1"/>
    <col min="10500" max="10500" width="51" style="534" customWidth="1"/>
    <col min="10501" max="10501" width="7.09765625" style="534" customWidth="1"/>
    <col min="10502" max="10502" width="6.59765625" style="534" customWidth="1"/>
    <col min="10503" max="10503" width="7.69921875" style="534" customWidth="1"/>
    <col min="10504" max="10504" width="6.59765625" style="534" customWidth="1"/>
    <col min="10505" max="10505" width="7.09765625" style="534" customWidth="1"/>
    <col min="10506" max="10506" width="8.19921875" style="534"/>
    <col min="10507" max="10508" width="6.69921875" style="534" bestFit="1" customWidth="1"/>
    <col min="10509" max="10509" width="9.19921875" style="534" customWidth="1"/>
    <col min="10510" max="10511" width="9.69921875" style="534" customWidth="1"/>
    <col min="10512" max="10512" width="10.69921875" style="534" customWidth="1"/>
    <col min="10513" max="10513" width="10.8984375" style="534" customWidth="1"/>
    <col min="10514" max="10514" width="9.09765625" style="534" bestFit="1" customWidth="1"/>
    <col min="10515" max="10515" width="9.5" style="534" bestFit="1" customWidth="1"/>
    <col min="10516" max="10752" width="8.19921875" style="534"/>
    <col min="10753" max="10753" width="6.8984375" style="534" customWidth="1"/>
    <col min="10754" max="10754" width="11.69921875" style="534" bestFit="1" customWidth="1"/>
    <col min="10755" max="10755" width="6" style="534" bestFit="1" customWidth="1"/>
    <col min="10756" max="10756" width="51" style="534" customWidth="1"/>
    <col min="10757" max="10757" width="7.09765625" style="534" customWidth="1"/>
    <col min="10758" max="10758" width="6.59765625" style="534" customWidth="1"/>
    <col min="10759" max="10759" width="7.69921875" style="534" customWidth="1"/>
    <col min="10760" max="10760" width="6.59765625" style="534" customWidth="1"/>
    <col min="10761" max="10761" width="7.09765625" style="534" customWidth="1"/>
    <col min="10762" max="10762" width="8.19921875" style="534"/>
    <col min="10763" max="10764" width="6.69921875" style="534" bestFit="1" customWidth="1"/>
    <col min="10765" max="10765" width="9.19921875" style="534" customWidth="1"/>
    <col min="10766" max="10767" width="9.69921875" style="534" customWidth="1"/>
    <col min="10768" max="10768" width="10.69921875" style="534" customWidth="1"/>
    <col min="10769" max="10769" width="10.8984375" style="534" customWidth="1"/>
    <col min="10770" max="10770" width="9.09765625" style="534" bestFit="1" customWidth="1"/>
    <col min="10771" max="10771" width="9.5" style="534" bestFit="1" customWidth="1"/>
    <col min="10772" max="11008" width="8.19921875" style="534"/>
    <col min="11009" max="11009" width="6.8984375" style="534" customWidth="1"/>
    <col min="11010" max="11010" width="11.69921875" style="534" bestFit="1" customWidth="1"/>
    <col min="11011" max="11011" width="6" style="534" bestFit="1" customWidth="1"/>
    <col min="11012" max="11012" width="51" style="534" customWidth="1"/>
    <col min="11013" max="11013" width="7.09765625" style="534" customWidth="1"/>
    <col min="11014" max="11014" width="6.59765625" style="534" customWidth="1"/>
    <col min="11015" max="11015" width="7.69921875" style="534" customWidth="1"/>
    <col min="11016" max="11016" width="6.59765625" style="534" customWidth="1"/>
    <col min="11017" max="11017" width="7.09765625" style="534" customWidth="1"/>
    <col min="11018" max="11018" width="8.19921875" style="534"/>
    <col min="11019" max="11020" width="6.69921875" style="534" bestFit="1" customWidth="1"/>
    <col min="11021" max="11021" width="9.19921875" style="534" customWidth="1"/>
    <col min="11022" max="11023" width="9.69921875" style="534" customWidth="1"/>
    <col min="11024" max="11024" width="10.69921875" style="534" customWidth="1"/>
    <col min="11025" max="11025" width="10.8984375" style="534" customWidth="1"/>
    <col min="11026" max="11026" width="9.09765625" style="534" bestFit="1" customWidth="1"/>
    <col min="11027" max="11027" width="9.5" style="534" bestFit="1" customWidth="1"/>
    <col min="11028" max="11264" width="8.19921875" style="534"/>
    <col min="11265" max="11265" width="6.8984375" style="534" customWidth="1"/>
    <col min="11266" max="11266" width="11.69921875" style="534" bestFit="1" customWidth="1"/>
    <col min="11267" max="11267" width="6" style="534" bestFit="1" customWidth="1"/>
    <col min="11268" max="11268" width="51" style="534" customWidth="1"/>
    <col min="11269" max="11269" width="7.09765625" style="534" customWidth="1"/>
    <col min="11270" max="11270" width="6.59765625" style="534" customWidth="1"/>
    <col min="11271" max="11271" width="7.69921875" style="534" customWidth="1"/>
    <col min="11272" max="11272" width="6.59765625" style="534" customWidth="1"/>
    <col min="11273" max="11273" width="7.09765625" style="534" customWidth="1"/>
    <col min="11274" max="11274" width="8.19921875" style="534"/>
    <col min="11275" max="11276" width="6.69921875" style="534" bestFit="1" customWidth="1"/>
    <col min="11277" max="11277" width="9.19921875" style="534" customWidth="1"/>
    <col min="11278" max="11279" width="9.69921875" style="534" customWidth="1"/>
    <col min="11280" max="11280" width="10.69921875" style="534" customWidth="1"/>
    <col min="11281" max="11281" width="10.8984375" style="534" customWidth="1"/>
    <col min="11282" max="11282" width="9.09765625" style="534" bestFit="1" customWidth="1"/>
    <col min="11283" max="11283" width="9.5" style="534" bestFit="1" customWidth="1"/>
    <col min="11284" max="11520" width="8.19921875" style="534"/>
    <col min="11521" max="11521" width="6.8984375" style="534" customWidth="1"/>
    <col min="11522" max="11522" width="11.69921875" style="534" bestFit="1" customWidth="1"/>
    <col min="11523" max="11523" width="6" style="534" bestFit="1" customWidth="1"/>
    <col min="11524" max="11524" width="51" style="534" customWidth="1"/>
    <col min="11525" max="11525" width="7.09765625" style="534" customWidth="1"/>
    <col min="11526" max="11526" width="6.59765625" style="534" customWidth="1"/>
    <col min="11527" max="11527" width="7.69921875" style="534" customWidth="1"/>
    <col min="11528" max="11528" width="6.59765625" style="534" customWidth="1"/>
    <col min="11529" max="11529" width="7.09765625" style="534" customWidth="1"/>
    <col min="11530" max="11530" width="8.19921875" style="534"/>
    <col min="11531" max="11532" width="6.69921875" style="534" bestFit="1" customWidth="1"/>
    <col min="11533" max="11533" width="9.19921875" style="534" customWidth="1"/>
    <col min="11534" max="11535" width="9.69921875" style="534" customWidth="1"/>
    <col min="11536" max="11536" width="10.69921875" style="534" customWidth="1"/>
    <col min="11537" max="11537" width="10.8984375" style="534" customWidth="1"/>
    <col min="11538" max="11538" width="9.09765625" style="534" bestFit="1" customWidth="1"/>
    <col min="11539" max="11539" width="9.5" style="534" bestFit="1" customWidth="1"/>
    <col min="11540" max="11776" width="8.19921875" style="534"/>
    <col min="11777" max="11777" width="6.8984375" style="534" customWidth="1"/>
    <col min="11778" max="11778" width="11.69921875" style="534" bestFit="1" customWidth="1"/>
    <col min="11779" max="11779" width="6" style="534" bestFit="1" customWidth="1"/>
    <col min="11780" max="11780" width="51" style="534" customWidth="1"/>
    <col min="11781" max="11781" width="7.09765625" style="534" customWidth="1"/>
    <col min="11782" max="11782" width="6.59765625" style="534" customWidth="1"/>
    <col min="11783" max="11783" width="7.69921875" style="534" customWidth="1"/>
    <col min="11784" max="11784" width="6.59765625" style="534" customWidth="1"/>
    <col min="11785" max="11785" width="7.09765625" style="534" customWidth="1"/>
    <col min="11786" max="11786" width="8.19921875" style="534"/>
    <col min="11787" max="11788" width="6.69921875" style="534" bestFit="1" customWidth="1"/>
    <col min="11789" max="11789" width="9.19921875" style="534" customWidth="1"/>
    <col min="11790" max="11791" width="9.69921875" style="534" customWidth="1"/>
    <col min="11792" max="11792" width="10.69921875" style="534" customWidth="1"/>
    <col min="11793" max="11793" width="10.8984375" style="534" customWidth="1"/>
    <col min="11794" max="11794" width="9.09765625" style="534" bestFit="1" customWidth="1"/>
    <col min="11795" max="11795" width="9.5" style="534" bestFit="1" customWidth="1"/>
    <col min="11796" max="12032" width="8.19921875" style="534"/>
    <col min="12033" max="12033" width="6.8984375" style="534" customWidth="1"/>
    <col min="12034" max="12034" width="11.69921875" style="534" bestFit="1" customWidth="1"/>
    <col min="12035" max="12035" width="6" style="534" bestFit="1" customWidth="1"/>
    <col min="12036" max="12036" width="51" style="534" customWidth="1"/>
    <col min="12037" max="12037" width="7.09765625" style="534" customWidth="1"/>
    <col min="12038" max="12038" width="6.59765625" style="534" customWidth="1"/>
    <col min="12039" max="12039" width="7.69921875" style="534" customWidth="1"/>
    <col min="12040" max="12040" width="6.59765625" style="534" customWidth="1"/>
    <col min="12041" max="12041" width="7.09765625" style="534" customWidth="1"/>
    <col min="12042" max="12042" width="8.19921875" style="534"/>
    <col min="12043" max="12044" width="6.69921875" style="534" bestFit="1" customWidth="1"/>
    <col min="12045" max="12045" width="9.19921875" style="534" customWidth="1"/>
    <col min="12046" max="12047" width="9.69921875" style="534" customWidth="1"/>
    <col min="12048" max="12048" width="10.69921875" style="534" customWidth="1"/>
    <col min="12049" max="12049" width="10.8984375" style="534" customWidth="1"/>
    <col min="12050" max="12050" width="9.09765625" style="534" bestFit="1" customWidth="1"/>
    <col min="12051" max="12051" width="9.5" style="534" bestFit="1" customWidth="1"/>
    <col min="12052" max="12288" width="8.19921875" style="534"/>
    <col min="12289" max="12289" width="6.8984375" style="534" customWidth="1"/>
    <col min="12290" max="12290" width="11.69921875" style="534" bestFit="1" customWidth="1"/>
    <col min="12291" max="12291" width="6" style="534" bestFit="1" customWidth="1"/>
    <col min="12292" max="12292" width="51" style="534" customWidth="1"/>
    <col min="12293" max="12293" width="7.09765625" style="534" customWidth="1"/>
    <col min="12294" max="12294" width="6.59765625" style="534" customWidth="1"/>
    <col min="12295" max="12295" width="7.69921875" style="534" customWidth="1"/>
    <col min="12296" max="12296" width="6.59765625" style="534" customWidth="1"/>
    <col min="12297" max="12297" width="7.09765625" style="534" customWidth="1"/>
    <col min="12298" max="12298" width="8.19921875" style="534"/>
    <col min="12299" max="12300" width="6.69921875" style="534" bestFit="1" customWidth="1"/>
    <col min="12301" max="12301" width="9.19921875" style="534" customWidth="1"/>
    <col min="12302" max="12303" width="9.69921875" style="534" customWidth="1"/>
    <col min="12304" max="12304" width="10.69921875" style="534" customWidth="1"/>
    <col min="12305" max="12305" width="10.8984375" style="534" customWidth="1"/>
    <col min="12306" max="12306" width="9.09765625" style="534" bestFit="1" customWidth="1"/>
    <col min="12307" max="12307" width="9.5" style="534" bestFit="1" customWidth="1"/>
    <col min="12308" max="12544" width="8.19921875" style="534"/>
    <col min="12545" max="12545" width="6.8984375" style="534" customWidth="1"/>
    <col min="12546" max="12546" width="11.69921875" style="534" bestFit="1" customWidth="1"/>
    <col min="12547" max="12547" width="6" style="534" bestFit="1" customWidth="1"/>
    <col min="12548" max="12548" width="51" style="534" customWidth="1"/>
    <col min="12549" max="12549" width="7.09765625" style="534" customWidth="1"/>
    <col min="12550" max="12550" width="6.59765625" style="534" customWidth="1"/>
    <col min="12551" max="12551" width="7.69921875" style="534" customWidth="1"/>
    <col min="12552" max="12552" width="6.59765625" style="534" customWidth="1"/>
    <col min="12553" max="12553" width="7.09765625" style="534" customWidth="1"/>
    <col min="12554" max="12554" width="8.19921875" style="534"/>
    <col min="12555" max="12556" width="6.69921875" style="534" bestFit="1" customWidth="1"/>
    <col min="12557" max="12557" width="9.19921875" style="534" customWidth="1"/>
    <col min="12558" max="12559" width="9.69921875" style="534" customWidth="1"/>
    <col min="12560" max="12560" width="10.69921875" style="534" customWidth="1"/>
    <col min="12561" max="12561" width="10.8984375" style="534" customWidth="1"/>
    <col min="12562" max="12562" width="9.09765625" style="534" bestFit="1" customWidth="1"/>
    <col min="12563" max="12563" width="9.5" style="534" bestFit="1" customWidth="1"/>
    <col min="12564" max="12800" width="8.19921875" style="534"/>
    <col min="12801" max="12801" width="6.8984375" style="534" customWidth="1"/>
    <col min="12802" max="12802" width="11.69921875" style="534" bestFit="1" customWidth="1"/>
    <col min="12803" max="12803" width="6" style="534" bestFit="1" customWidth="1"/>
    <col min="12804" max="12804" width="51" style="534" customWidth="1"/>
    <col min="12805" max="12805" width="7.09765625" style="534" customWidth="1"/>
    <col min="12806" max="12806" width="6.59765625" style="534" customWidth="1"/>
    <col min="12807" max="12807" width="7.69921875" style="534" customWidth="1"/>
    <col min="12808" max="12808" width="6.59765625" style="534" customWidth="1"/>
    <col min="12809" max="12809" width="7.09765625" style="534" customWidth="1"/>
    <col min="12810" max="12810" width="8.19921875" style="534"/>
    <col min="12811" max="12812" width="6.69921875" style="534" bestFit="1" customWidth="1"/>
    <col min="12813" max="12813" width="9.19921875" style="534" customWidth="1"/>
    <col min="12814" max="12815" width="9.69921875" style="534" customWidth="1"/>
    <col min="12816" max="12816" width="10.69921875" style="534" customWidth="1"/>
    <col min="12817" max="12817" width="10.8984375" style="534" customWidth="1"/>
    <col min="12818" max="12818" width="9.09765625" style="534" bestFit="1" customWidth="1"/>
    <col min="12819" max="12819" width="9.5" style="534" bestFit="1" customWidth="1"/>
    <col min="12820" max="13056" width="8.19921875" style="534"/>
    <col min="13057" max="13057" width="6.8984375" style="534" customWidth="1"/>
    <col min="13058" max="13058" width="11.69921875" style="534" bestFit="1" customWidth="1"/>
    <col min="13059" max="13059" width="6" style="534" bestFit="1" customWidth="1"/>
    <col min="13060" max="13060" width="51" style="534" customWidth="1"/>
    <col min="13061" max="13061" width="7.09765625" style="534" customWidth="1"/>
    <col min="13062" max="13062" width="6.59765625" style="534" customWidth="1"/>
    <col min="13063" max="13063" width="7.69921875" style="534" customWidth="1"/>
    <col min="13064" max="13064" width="6.59765625" style="534" customWidth="1"/>
    <col min="13065" max="13065" width="7.09765625" style="534" customWidth="1"/>
    <col min="13066" max="13066" width="8.19921875" style="534"/>
    <col min="13067" max="13068" width="6.69921875" style="534" bestFit="1" customWidth="1"/>
    <col min="13069" max="13069" width="9.19921875" style="534" customWidth="1"/>
    <col min="13070" max="13071" width="9.69921875" style="534" customWidth="1"/>
    <col min="13072" max="13072" width="10.69921875" style="534" customWidth="1"/>
    <col min="13073" max="13073" width="10.8984375" style="534" customWidth="1"/>
    <col min="13074" max="13074" width="9.09765625" style="534" bestFit="1" customWidth="1"/>
    <col min="13075" max="13075" width="9.5" style="534" bestFit="1" customWidth="1"/>
    <col min="13076" max="13312" width="8.19921875" style="534"/>
    <col min="13313" max="13313" width="6.8984375" style="534" customWidth="1"/>
    <col min="13314" max="13314" width="11.69921875" style="534" bestFit="1" customWidth="1"/>
    <col min="13315" max="13315" width="6" style="534" bestFit="1" customWidth="1"/>
    <col min="13316" max="13316" width="51" style="534" customWidth="1"/>
    <col min="13317" max="13317" width="7.09765625" style="534" customWidth="1"/>
    <col min="13318" max="13318" width="6.59765625" style="534" customWidth="1"/>
    <col min="13319" max="13319" width="7.69921875" style="534" customWidth="1"/>
    <col min="13320" max="13320" width="6.59765625" style="534" customWidth="1"/>
    <col min="13321" max="13321" width="7.09765625" style="534" customWidth="1"/>
    <col min="13322" max="13322" width="8.19921875" style="534"/>
    <col min="13323" max="13324" width="6.69921875" style="534" bestFit="1" customWidth="1"/>
    <col min="13325" max="13325" width="9.19921875" style="534" customWidth="1"/>
    <col min="13326" max="13327" width="9.69921875" style="534" customWidth="1"/>
    <col min="13328" max="13328" width="10.69921875" style="534" customWidth="1"/>
    <col min="13329" max="13329" width="10.8984375" style="534" customWidth="1"/>
    <col min="13330" max="13330" width="9.09765625" style="534" bestFit="1" customWidth="1"/>
    <col min="13331" max="13331" width="9.5" style="534" bestFit="1" customWidth="1"/>
    <col min="13332" max="13568" width="8.19921875" style="534"/>
    <col min="13569" max="13569" width="6.8984375" style="534" customWidth="1"/>
    <col min="13570" max="13570" width="11.69921875" style="534" bestFit="1" customWidth="1"/>
    <col min="13571" max="13571" width="6" style="534" bestFit="1" customWidth="1"/>
    <col min="13572" max="13572" width="51" style="534" customWidth="1"/>
    <col min="13573" max="13573" width="7.09765625" style="534" customWidth="1"/>
    <col min="13574" max="13574" width="6.59765625" style="534" customWidth="1"/>
    <col min="13575" max="13575" width="7.69921875" style="534" customWidth="1"/>
    <col min="13576" max="13576" width="6.59765625" style="534" customWidth="1"/>
    <col min="13577" max="13577" width="7.09765625" style="534" customWidth="1"/>
    <col min="13578" max="13578" width="8.19921875" style="534"/>
    <col min="13579" max="13580" width="6.69921875" style="534" bestFit="1" customWidth="1"/>
    <col min="13581" max="13581" width="9.19921875" style="534" customWidth="1"/>
    <col min="13582" max="13583" width="9.69921875" style="534" customWidth="1"/>
    <col min="13584" max="13584" width="10.69921875" style="534" customWidth="1"/>
    <col min="13585" max="13585" width="10.8984375" style="534" customWidth="1"/>
    <col min="13586" max="13586" width="9.09765625" style="534" bestFit="1" customWidth="1"/>
    <col min="13587" max="13587" width="9.5" style="534" bestFit="1" customWidth="1"/>
    <col min="13588" max="13824" width="8.19921875" style="534"/>
    <col min="13825" max="13825" width="6.8984375" style="534" customWidth="1"/>
    <col min="13826" max="13826" width="11.69921875" style="534" bestFit="1" customWidth="1"/>
    <col min="13827" max="13827" width="6" style="534" bestFit="1" customWidth="1"/>
    <col min="13828" max="13828" width="51" style="534" customWidth="1"/>
    <col min="13829" max="13829" width="7.09765625" style="534" customWidth="1"/>
    <col min="13830" max="13830" width="6.59765625" style="534" customWidth="1"/>
    <col min="13831" max="13831" width="7.69921875" style="534" customWidth="1"/>
    <col min="13832" max="13832" width="6.59765625" style="534" customWidth="1"/>
    <col min="13833" max="13833" width="7.09765625" style="534" customWidth="1"/>
    <col min="13834" max="13834" width="8.19921875" style="534"/>
    <col min="13835" max="13836" width="6.69921875" style="534" bestFit="1" customWidth="1"/>
    <col min="13837" max="13837" width="9.19921875" style="534" customWidth="1"/>
    <col min="13838" max="13839" width="9.69921875" style="534" customWidth="1"/>
    <col min="13840" max="13840" width="10.69921875" style="534" customWidth="1"/>
    <col min="13841" max="13841" width="10.8984375" style="534" customWidth="1"/>
    <col min="13842" max="13842" width="9.09765625" style="534" bestFit="1" customWidth="1"/>
    <col min="13843" max="13843" width="9.5" style="534" bestFit="1" customWidth="1"/>
    <col min="13844" max="14080" width="8.19921875" style="534"/>
    <col min="14081" max="14081" width="6.8984375" style="534" customWidth="1"/>
    <col min="14082" max="14082" width="11.69921875" style="534" bestFit="1" customWidth="1"/>
    <col min="14083" max="14083" width="6" style="534" bestFit="1" customWidth="1"/>
    <col min="14084" max="14084" width="51" style="534" customWidth="1"/>
    <col min="14085" max="14085" width="7.09765625" style="534" customWidth="1"/>
    <col min="14086" max="14086" width="6.59765625" style="534" customWidth="1"/>
    <col min="14087" max="14087" width="7.69921875" style="534" customWidth="1"/>
    <col min="14088" max="14088" width="6.59765625" style="534" customWidth="1"/>
    <col min="14089" max="14089" width="7.09765625" style="534" customWidth="1"/>
    <col min="14090" max="14090" width="8.19921875" style="534"/>
    <col min="14091" max="14092" width="6.69921875" style="534" bestFit="1" customWidth="1"/>
    <col min="14093" max="14093" width="9.19921875" style="534" customWidth="1"/>
    <col min="14094" max="14095" width="9.69921875" style="534" customWidth="1"/>
    <col min="14096" max="14096" width="10.69921875" style="534" customWidth="1"/>
    <col min="14097" max="14097" width="10.8984375" style="534" customWidth="1"/>
    <col min="14098" max="14098" width="9.09765625" style="534" bestFit="1" customWidth="1"/>
    <col min="14099" max="14099" width="9.5" style="534" bestFit="1" customWidth="1"/>
    <col min="14100" max="14336" width="8.19921875" style="534"/>
    <col min="14337" max="14337" width="6.8984375" style="534" customWidth="1"/>
    <col min="14338" max="14338" width="11.69921875" style="534" bestFit="1" customWidth="1"/>
    <col min="14339" max="14339" width="6" style="534" bestFit="1" customWidth="1"/>
    <col min="14340" max="14340" width="51" style="534" customWidth="1"/>
    <col min="14341" max="14341" width="7.09765625" style="534" customWidth="1"/>
    <col min="14342" max="14342" width="6.59765625" style="534" customWidth="1"/>
    <col min="14343" max="14343" width="7.69921875" style="534" customWidth="1"/>
    <col min="14344" max="14344" width="6.59765625" style="534" customWidth="1"/>
    <col min="14345" max="14345" width="7.09765625" style="534" customWidth="1"/>
    <col min="14346" max="14346" width="8.19921875" style="534"/>
    <col min="14347" max="14348" width="6.69921875" style="534" bestFit="1" customWidth="1"/>
    <col min="14349" max="14349" width="9.19921875" style="534" customWidth="1"/>
    <col min="14350" max="14351" width="9.69921875" style="534" customWidth="1"/>
    <col min="14352" max="14352" width="10.69921875" style="534" customWidth="1"/>
    <col min="14353" max="14353" width="10.8984375" style="534" customWidth="1"/>
    <col min="14354" max="14354" width="9.09765625" style="534" bestFit="1" customWidth="1"/>
    <col min="14355" max="14355" width="9.5" style="534" bestFit="1" customWidth="1"/>
    <col min="14356" max="14592" width="8.19921875" style="534"/>
    <col min="14593" max="14593" width="6.8984375" style="534" customWidth="1"/>
    <col min="14594" max="14594" width="11.69921875" style="534" bestFit="1" customWidth="1"/>
    <col min="14595" max="14595" width="6" style="534" bestFit="1" customWidth="1"/>
    <col min="14596" max="14596" width="51" style="534" customWidth="1"/>
    <col min="14597" max="14597" width="7.09765625" style="534" customWidth="1"/>
    <col min="14598" max="14598" width="6.59765625" style="534" customWidth="1"/>
    <col min="14599" max="14599" width="7.69921875" style="534" customWidth="1"/>
    <col min="14600" max="14600" width="6.59765625" style="534" customWidth="1"/>
    <col min="14601" max="14601" width="7.09765625" style="534" customWidth="1"/>
    <col min="14602" max="14602" width="8.19921875" style="534"/>
    <col min="14603" max="14604" width="6.69921875" style="534" bestFit="1" customWidth="1"/>
    <col min="14605" max="14605" width="9.19921875" style="534" customWidth="1"/>
    <col min="14606" max="14607" width="9.69921875" style="534" customWidth="1"/>
    <col min="14608" max="14608" width="10.69921875" style="534" customWidth="1"/>
    <col min="14609" max="14609" width="10.8984375" style="534" customWidth="1"/>
    <col min="14610" max="14610" width="9.09765625" style="534" bestFit="1" customWidth="1"/>
    <col min="14611" max="14611" width="9.5" style="534" bestFit="1" customWidth="1"/>
    <col min="14612" max="14848" width="8.19921875" style="534"/>
    <col min="14849" max="14849" width="6.8984375" style="534" customWidth="1"/>
    <col min="14850" max="14850" width="11.69921875" style="534" bestFit="1" customWidth="1"/>
    <col min="14851" max="14851" width="6" style="534" bestFit="1" customWidth="1"/>
    <col min="14852" max="14852" width="51" style="534" customWidth="1"/>
    <col min="14853" max="14853" width="7.09765625" style="534" customWidth="1"/>
    <col min="14854" max="14854" width="6.59765625" style="534" customWidth="1"/>
    <col min="14855" max="14855" width="7.69921875" style="534" customWidth="1"/>
    <col min="14856" max="14856" width="6.59765625" style="534" customWidth="1"/>
    <col min="14857" max="14857" width="7.09765625" style="534" customWidth="1"/>
    <col min="14858" max="14858" width="8.19921875" style="534"/>
    <col min="14859" max="14860" width="6.69921875" style="534" bestFit="1" customWidth="1"/>
    <col min="14861" max="14861" width="9.19921875" style="534" customWidth="1"/>
    <col min="14862" max="14863" width="9.69921875" style="534" customWidth="1"/>
    <col min="14864" max="14864" width="10.69921875" style="534" customWidth="1"/>
    <col min="14865" max="14865" width="10.8984375" style="534" customWidth="1"/>
    <col min="14866" max="14866" width="9.09765625" style="534" bestFit="1" customWidth="1"/>
    <col min="14867" max="14867" width="9.5" style="534" bestFit="1" customWidth="1"/>
    <col min="14868" max="15104" width="8.19921875" style="534"/>
    <col min="15105" max="15105" width="6.8984375" style="534" customWidth="1"/>
    <col min="15106" max="15106" width="11.69921875" style="534" bestFit="1" customWidth="1"/>
    <col min="15107" max="15107" width="6" style="534" bestFit="1" customWidth="1"/>
    <col min="15108" max="15108" width="51" style="534" customWidth="1"/>
    <col min="15109" max="15109" width="7.09765625" style="534" customWidth="1"/>
    <col min="15110" max="15110" width="6.59765625" style="534" customWidth="1"/>
    <col min="15111" max="15111" width="7.69921875" style="534" customWidth="1"/>
    <col min="15112" max="15112" width="6.59765625" style="534" customWidth="1"/>
    <col min="15113" max="15113" width="7.09765625" style="534" customWidth="1"/>
    <col min="15114" max="15114" width="8.19921875" style="534"/>
    <col min="15115" max="15116" width="6.69921875" style="534" bestFit="1" customWidth="1"/>
    <col min="15117" max="15117" width="9.19921875" style="534" customWidth="1"/>
    <col min="15118" max="15119" width="9.69921875" style="534" customWidth="1"/>
    <col min="15120" max="15120" width="10.69921875" style="534" customWidth="1"/>
    <col min="15121" max="15121" width="10.8984375" style="534" customWidth="1"/>
    <col min="15122" max="15122" width="9.09765625" style="534" bestFit="1" customWidth="1"/>
    <col min="15123" max="15123" width="9.5" style="534" bestFit="1" customWidth="1"/>
    <col min="15124" max="15360" width="8.19921875" style="534"/>
    <col min="15361" max="15361" width="6.8984375" style="534" customWidth="1"/>
    <col min="15362" max="15362" width="11.69921875" style="534" bestFit="1" customWidth="1"/>
    <col min="15363" max="15363" width="6" style="534" bestFit="1" customWidth="1"/>
    <col min="15364" max="15364" width="51" style="534" customWidth="1"/>
    <col min="15365" max="15365" width="7.09765625" style="534" customWidth="1"/>
    <col min="15366" max="15366" width="6.59765625" style="534" customWidth="1"/>
    <col min="15367" max="15367" width="7.69921875" style="534" customWidth="1"/>
    <col min="15368" max="15368" width="6.59765625" style="534" customWidth="1"/>
    <col min="15369" max="15369" width="7.09765625" style="534" customWidth="1"/>
    <col min="15370" max="15370" width="8.19921875" style="534"/>
    <col min="15371" max="15372" width="6.69921875" style="534" bestFit="1" customWidth="1"/>
    <col min="15373" max="15373" width="9.19921875" style="534" customWidth="1"/>
    <col min="15374" max="15375" width="9.69921875" style="534" customWidth="1"/>
    <col min="15376" max="15376" width="10.69921875" style="534" customWidth="1"/>
    <col min="15377" max="15377" width="10.8984375" style="534" customWidth="1"/>
    <col min="15378" max="15378" width="9.09765625" style="534" bestFit="1" customWidth="1"/>
    <col min="15379" max="15379" width="9.5" style="534" bestFit="1" customWidth="1"/>
    <col min="15380" max="15616" width="8.19921875" style="534"/>
    <col min="15617" max="15617" width="6.8984375" style="534" customWidth="1"/>
    <col min="15618" max="15618" width="11.69921875" style="534" bestFit="1" customWidth="1"/>
    <col min="15619" max="15619" width="6" style="534" bestFit="1" customWidth="1"/>
    <col min="15620" max="15620" width="51" style="534" customWidth="1"/>
    <col min="15621" max="15621" width="7.09765625" style="534" customWidth="1"/>
    <col min="15622" max="15622" width="6.59765625" style="534" customWidth="1"/>
    <col min="15623" max="15623" width="7.69921875" style="534" customWidth="1"/>
    <col min="15624" max="15624" width="6.59765625" style="534" customWidth="1"/>
    <col min="15625" max="15625" width="7.09765625" style="534" customWidth="1"/>
    <col min="15626" max="15626" width="8.19921875" style="534"/>
    <col min="15627" max="15628" width="6.69921875" style="534" bestFit="1" customWidth="1"/>
    <col min="15629" max="15629" width="9.19921875" style="534" customWidth="1"/>
    <col min="15630" max="15631" width="9.69921875" style="534" customWidth="1"/>
    <col min="15632" max="15632" width="10.69921875" style="534" customWidth="1"/>
    <col min="15633" max="15633" width="10.8984375" style="534" customWidth="1"/>
    <col min="15634" max="15634" width="9.09765625" style="534" bestFit="1" customWidth="1"/>
    <col min="15635" max="15635" width="9.5" style="534" bestFit="1" customWidth="1"/>
    <col min="15636" max="15872" width="8.19921875" style="534"/>
    <col min="15873" max="15873" width="6.8984375" style="534" customWidth="1"/>
    <col min="15874" max="15874" width="11.69921875" style="534" bestFit="1" customWidth="1"/>
    <col min="15875" max="15875" width="6" style="534" bestFit="1" customWidth="1"/>
    <col min="15876" max="15876" width="51" style="534" customWidth="1"/>
    <col min="15877" max="15877" width="7.09765625" style="534" customWidth="1"/>
    <col min="15878" max="15878" width="6.59765625" style="534" customWidth="1"/>
    <col min="15879" max="15879" width="7.69921875" style="534" customWidth="1"/>
    <col min="15880" max="15880" width="6.59765625" style="534" customWidth="1"/>
    <col min="15881" max="15881" width="7.09765625" style="534" customWidth="1"/>
    <col min="15882" max="15882" width="8.19921875" style="534"/>
    <col min="15883" max="15884" width="6.69921875" style="534" bestFit="1" customWidth="1"/>
    <col min="15885" max="15885" width="9.19921875" style="534" customWidth="1"/>
    <col min="15886" max="15887" width="9.69921875" style="534" customWidth="1"/>
    <col min="15888" max="15888" width="10.69921875" style="534" customWidth="1"/>
    <col min="15889" max="15889" width="10.8984375" style="534" customWidth="1"/>
    <col min="15890" max="15890" width="9.09765625" style="534" bestFit="1" customWidth="1"/>
    <col min="15891" max="15891" width="9.5" style="534" bestFit="1" customWidth="1"/>
    <col min="15892" max="16128" width="8.19921875" style="534"/>
    <col min="16129" max="16129" width="6.8984375" style="534" customWidth="1"/>
    <col min="16130" max="16130" width="11.69921875" style="534" bestFit="1" customWidth="1"/>
    <col min="16131" max="16131" width="6" style="534" bestFit="1" customWidth="1"/>
    <col min="16132" max="16132" width="51" style="534" customWidth="1"/>
    <col min="16133" max="16133" width="7.09765625" style="534" customWidth="1"/>
    <col min="16134" max="16134" width="6.59765625" style="534" customWidth="1"/>
    <col min="16135" max="16135" width="7.69921875" style="534" customWidth="1"/>
    <col min="16136" max="16136" width="6.59765625" style="534" customWidth="1"/>
    <col min="16137" max="16137" width="7.09765625" style="534" customWidth="1"/>
    <col min="16138" max="16138" width="8.19921875" style="534"/>
    <col min="16139" max="16140" width="6.69921875" style="534" bestFit="1" customWidth="1"/>
    <col min="16141" max="16141" width="9.19921875" style="534" customWidth="1"/>
    <col min="16142" max="16143" width="9.69921875" style="534" customWidth="1"/>
    <col min="16144" max="16144" width="10.69921875" style="534" customWidth="1"/>
    <col min="16145" max="16145" width="10.8984375" style="534" customWidth="1"/>
    <col min="16146" max="16146" width="9.09765625" style="534" bestFit="1" customWidth="1"/>
    <col min="16147" max="16147" width="9.5" style="534" bestFit="1" customWidth="1"/>
    <col min="16148" max="16384" width="8.19921875" style="534"/>
  </cols>
  <sheetData>
    <row r="2" spans="1:19">
      <c r="A2" s="1023" t="s">
        <v>2502</v>
      </c>
      <c r="B2" s="1023"/>
      <c r="C2" s="1023"/>
      <c r="D2" s="1023"/>
      <c r="E2" s="1023"/>
      <c r="F2" s="1023"/>
      <c r="G2" s="1023"/>
      <c r="H2" s="1023"/>
      <c r="I2" s="1023"/>
      <c r="J2" s="1023"/>
      <c r="K2" s="1023"/>
      <c r="L2" s="1023"/>
      <c r="M2" s="1023"/>
      <c r="N2" s="1023"/>
      <c r="O2" s="1023"/>
      <c r="P2" s="1023"/>
      <c r="Q2" s="1023"/>
      <c r="R2" s="1023"/>
      <c r="S2" s="1023"/>
    </row>
    <row r="3" spans="1:19" ht="26.25" customHeight="1">
      <c r="A3" s="1024" t="s">
        <v>2503</v>
      </c>
      <c r="B3" s="1024"/>
      <c r="C3" s="1024"/>
      <c r="D3" s="1024"/>
      <c r="E3" s="1024"/>
      <c r="F3" s="1024"/>
      <c r="G3" s="1024"/>
      <c r="H3" s="1024"/>
      <c r="I3" s="1024"/>
      <c r="J3" s="1024"/>
      <c r="K3" s="1024"/>
      <c r="L3" s="1024"/>
      <c r="M3" s="1024"/>
      <c r="N3" s="1024"/>
      <c r="O3" s="1024"/>
      <c r="P3" s="1024"/>
      <c r="Q3" s="1024"/>
      <c r="R3" s="1024"/>
      <c r="S3" s="1024"/>
    </row>
    <row r="4" spans="1:19" ht="20.399999999999999">
      <c r="A4" s="1025" t="s">
        <v>2504</v>
      </c>
      <c r="B4" s="1026"/>
      <c r="C4" s="1026"/>
      <c r="D4" s="1026"/>
      <c r="E4" s="1026"/>
      <c r="F4" s="1026"/>
      <c r="G4" s="1026"/>
      <c r="H4" s="1026"/>
      <c r="I4" s="1026"/>
      <c r="J4" s="1026"/>
      <c r="K4" s="1026"/>
      <c r="L4" s="1026"/>
      <c r="M4" s="1026"/>
      <c r="N4" s="1026"/>
      <c r="O4" s="1026"/>
      <c r="P4" s="1026"/>
      <c r="Q4" s="1026"/>
      <c r="R4" s="1026"/>
      <c r="S4" s="1027"/>
    </row>
    <row r="5" spans="1:19" ht="20.399999999999999">
      <c r="A5" s="1028" t="s">
        <v>222</v>
      </c>
      <c r="B5" s="1029"/>
      <c r="C5" s="1029"/>
      <c r="D5" s="1029"/>
      <c r="E5" s="1029"/>
      <c r="F5" s="1029"/>
      <c r="G5" s="1029"/>
      <c r="H5" s="1029"/>
      <c r="I5" s="1029"/>
      <c r="J5" s="1029"/>
      <c r="K5" s="1029"/>
      <c r="L5" s="1029"/>
      <c r="M5" s="1029"/>
      <c r="N5" s="1029"/>
      <c r="O5" s="1029"/>
      <c r="P5" s="1029"/>
      <c r="Q5" s="1029"/>
      <c r="R5" s="1029"/>
      <c r="S5" s="1030"/>
    </row>
    <row r="6" spans="1:19" s="542" customFormat="1" ht="30.6">
      <c r="A6" s="1031" t="s">
        <v>1275</v>
      </c>
      <c r="B6" s="535" t="s">
        <v>2505</v>
      </c>
      <c r="C6" s="535"/>
      <c r="D6" s="1031" t="s">
        <v>2506</v>
      </c>
      <c r="E6" s="536" t="s">
        <v>956</v>
      </c>
      <c r="F6" s="537" t="s">
        <v>2507</v>
      </c>
      <c r="G6" s="537" t="s">
        <v>2508</v>
      </c>
      <c r="H6" s="537" t="s">
        <v>2509</v>
      </c>
      <c r="I6" s="537" t="s">
        <v>2510</v>
      </c>
      <c r="J6" s="537" t="s">
        <v>2511</v>
      </c>
      <c r="K6" s="537" t="s">
        <v>2512</v>
      </c>
      <c r="L6" s="537" t="s">
        <v>2513</v>
      </c>
      <c r="M6" s="538" t="s">
        <v>2514</v>
      </c>
      <c r="N6" s="539" t="s">
        <v>2515</v>
      </c>
      <c r="O6" s="540" t="s">
        <v>2516</v>
      </c>
      <c r="P6" s="541" t="s">
        <v>2517</v>
      </c>
      <c r="Q6" s="537" t="s">
        <v>2518</v>
      </c>
      <c r="R6" s="1032" t="s">
        <v>9</v>
      </c>
      <c r="S6" s="1032"/>
    </row>
    <row r="7" spans="1:19" s="542" customFormat="1" ht="13.2">
      <c r="A7" s="1031"/>
      <c r="B7" s="535" t="s">
        <v>1402</v>
      </c>
      <c r="C7" s="535" t="s">
        <v>1401</v>
      </c>
      <c r="D7" s="1031"/>
      <c r="E7" s="1031" t="s">
        <v>2519</v>
      </c>
      <c r="F7" s="1031"/>
      <c r="G7" s="1031"/>
      <c r="H7" s="1031"/>
      <c r="I7" s="1031"/>
      <c r="J7" s="1031"/>
      <c r="K7" s="1031"/>
      <c r="L7" s="1031"/>
      <c r="M7" s="543"/>
      <c r="N7" s="544"/>
      <c r="O7" s="545"/>
      <c r="P7" s="546"/>
      <c r="Q7" s="536"/>
      <c r="R7" s="535" t="s">
        <v>2519</v>
      </c>
      <c r="S7" s="535" t="s">
        <v>1535</v>
      </c>
    </row>
    <row r="8" spans="1:19" ht="20.399999999999999">
      <c r="A8" s="1022" t="s">
        <v>2520</v>
      </c>
      <c r="B8" s="1022"/>
      <c r="C8" s="1022"/>
      <c r="D8" s="1022"/>
      <c r="E8" s="1022"/>
      <c r="F8" s="1022"/>
      <c r="G8" s="1022"/>
      <c r="H8" s="1022"/>
      <c r="I8" s="1022"/>
      <c r="J8" s="1022"/>
      <c r="K8" s="1022"/>
      <c r="L8" s="1022"/>
      <c r="M8" s="547"/>
      <c r="N8" s="548"/>
      <c r="O8" s="549"/>
      <c r="P8" s="550"/>
      <c r="Q8" s="551"/>
      <c r="R8" s="552"/>
      <c r="S8" s="553">
        <f>SUM(S9:S10)</f>
        <v>180.60000000000002</v>
      </c>
    </row>
    <row r="9" spans="1:19">
      <c r="A9" s="554" t="s">
        <v>2521</v>
      </c>
      <c r="B9" s="555">
        <v>1</v>
      </c>
      <c r="C9" s="555">
        <v>2.1</v>
      </c>
      <c r="D9" s="556" t="s">
        <v>2522</v>
      </c>
      <c r="E9" s="554">
        <v>4</v>
      </c>
      <c r="F9" s="557">
        <v>11</v>
      </c>
      <c r="G9" s="557">
        <v>5</v>
      </c>
      <c r="H9" s="557">
        <v>5</v>
      </c>
      <c r="I9" s="557">
        <v>5</v>
      </c>
      <c r="J9" s="551">
        <f>5*3</f>
        <v>15</v>
      </c>
      <c r="K9" s="551">
        <v>5</v>
      </c>
      <c r="L9" s="551"/>
      <c r="M9" s="547"/>
      <c r="N9" s="548"/>
      <c r="O9" s="549"/>
      <c r="P9" s="550"/>
      <c r="Q9" s="551"/>
      <c r="R9" s="552">
        <f>SUM(E9:Q9)</f>
        <v>50</v>
      </c>
      <c r="S9" s="552">
        <f>+R9*B9*C9</f>
        <v>105</v>
      </c>
    </row>
    <row r="10" spans="1:19">
      <c r="A10" s="554" t="s">
        <v>2523</v>
      </c>
      <c r="B10" s="555">
        <v>2</v>
      </c>
      <c r="C10" s="555">
        <v>2.1</v>
      </c>
      <c r="D10" s="556" t="s">
        <v>2524</v>
      </c>
      <c r="E10" s="554">
        <v>2</v>
      </c>
      <c r="F10" s="557">
        <v>2</v>
      </c>
      <c r="G10" s="557">
        <v>2</v>
      </c>
      <c r="H10" s="557">
        <v>2</v>
      </c>
      <c r="I10" s="557">
        <v>2</v>
      </c>
      <c r="J10" s="551">
        <f>2*3</f>
        <v>6</v>
      </c>
      <c r="K10" s="551">
        <v>2</v>
      </c>
      <c r="L10" s="551"/>
      <c r="M10" s="547"/>
      <c r="N10" s="548"/>
      <c r="O10" s="549"/>
      <c r="P10" s="550"/>
      <c r="Q10" s="551"/>
      <c r="R10" s="552">
        <f t="shared" ref="R10:R83" si="0">SUM(E10:Q10)</f>
        <v>18</v>
      </c>
      <c r="S10" s="552">
        <f>+R10*B10*C10</f>
        <v>75.600000000000009</v>
      </c>
    </row>
    <row r="11" spans="1:19" ht="20.399999999999999">
      <c r="A11" s="1022" t="s">
        <v>2525</v>
      </c>
      <c r="B11" s="1022"/>
      <c r="C11" s="1022"/>
      <c r="D11" s="1022"/>
      <c r="E11" s="1022"/>
      <c r="F11" s="1022"/>
      <c r="G11" s="1022"/>
      <c r="H11" s="1022"/>
      <c r="I11" s="1022"/>
      <c r="J11" s="1022"/>
      <c r="K11" s="1022"/>
      <c r="L11" s="1022"/>
      <c r="M11" s="547"/>
      <c r="N11" s="548"/>
      <c r="O11" s="549"/>
      <c r="P11" s="550"/>
      <c r="Q11" s="551"/>
      <c r="R11" s="552">
        <f t="shared" si="0"/>
        <v>0</v>
      </c>
      <c r="S11" s="553">
        <f>SUM(S12:S12)</f>
        <v>15.600000000000001</v>
      </c>
    </row>
    <row r="12" spans="1:19">
      <c r="A12" s="554" t="s">
        <v>2526</v>
      </c>
      <c r="B12" s="558">
        <v>2</v>
      </c>
      <c r="C12" s="558">
        <v>2.6</v>
      </c>
      <c r="D12" s="559" t="s">
        <v>2527</v>
      </c>
      <c r="E12" s="554">
        <v>2</v>
      </c>
      <c r="F12" s="557">
        <v>1</v>
      </c>
      <c r="G12" s="557"/>
      <c r="H12" s="557"/>
      <c r="I12" s="557"/>
      <c r="J12" s="551"/>
      <c r="K12" s="551"/>
      <c r="L12" s="551"/>
      <c r="M12" s="547"/>
      <c r="N12" s="548"/>
      <c r="O12" s="549"/>
      <c r="P12" s="550"/>
      <c r="Q12" s="551"/>
      <c r="R12" s="552">
        <f t="shared" si="0"/>
        <v>3</v>
      </c>
      <c r="S12" s="552">
        <f>+R12*B12*C12</f>
        <v>15.600000000000001</v>
      </c>
    </row>
    <row r="13" spans="1:19">
      <c r="A13" s="554"/>
      <c r="B13" s="558"/>
      <c r="C13" s="558"/>
      <c r="D13" s="559"/>
      <c r="E13" s="554"/>
      <c r="F13" s="557"/>
      <c r="G13" s="557"/>
      <c r="H13" s="557"/>
      <c r="I13" s="557"/>
      <c r="J13" s="551"/>
      <c r="K13" s="551"/>
      <c r="L13" s="551"/>
      <c r="M13" s="547"/>
      <c r="N13" s="548"/>
      <c r="O13" s="549"/>
      <c r="P13" s="550"/>
      <c r="Q13" s="551"/>
      <c r="R13" s="552">
        <f t="shared" si="0"/>
        <v>0</v>
      </c>
      <c r="S13" s="552"/>
    </row>
    <row r="14" spans="1:19" ht="20.399999999999999">
      <c r="A14" s="1022" t="s">
        <v>2528</v>
      </c>
      <c r="B14" s="1022"/>
      <c r="C14" s="1022"/>
      <c r="D14" s="1022"/>
      <c r="E14" s="1022"/>
      <c r="F14" s="1022"/>
      <c r="G14" s="1022"/>
      <c r="H14" s="1022"/>
      <c r="I14" s="1022"/>
      <c r="J14" s="1022"/>
      <c r="K14" s="1022"/>
      <c r="L14" s="1022"/>
      <c r="M14" s="547"/>
      <c r="N14" s="548"/>
      <c r="O14" s="549"/>
      <c r="P14" s="550"/>
      <c r="Q14" s="551"/>
      <c r="R14" s="552">
        <f t="shared" si="0"/>
        <v>0</v>
      </c>
      <c r="S14" s="553">
        <f>SUM(S15:S16)</f>
        <v>12.5</v>
      </c>
    </row>
    <row r="15" spans="1:19">
      <c r="A15" s="554"/>
      <c r="B15" s="558">
        <v>1</v>
      </c>
      <c r="C15" s="558">
        <v>2.1</v>
      </c>
      <c r="D15" s="559" t="s">
        <v>2529</v>
      </c>
      <c r="E15" s="554"/>
      <c r="F15" s="557"/>
      <c r="G15" s="557"/>
      <c r="H15" s="557"/>
      <c r="I15" s="557"/>
      <c r="J15" s="551"/>
      <c r="K15" s="551"/>
      <c r="L15" s="551"/>
      <c r="M15" s="547">
        <v>1</v>
      </c>
      <c r="N15" s="548"/>
      <c r="O15" s="549"/>
      <c r="P15" s="550"/>
      <c r="Q15" s="551"/>
      <c r="R15" s="552">
        <f t="shared" si="0"/>
        <v>1</v>
      </c>
      <c r="S15" s="552">
        <f>+R15*B15*C15</f>
        <v>2.1</v>
      </c>
    </row>
    <row r="16" spans="1:19">
      <c r="A16" s="554" t="s">
        <v>2530</v>
      </c>
      <c r="B16" s="555">
        <v>2</v>
      </c>
      <c r="C16" s="555">
        <v>2.6</v>
      </c>
      <c r="D16" s="559" t="s">
        <v>2531</v>
      </c>
      <c r="E16" s="554"/>
      <c r="F16" s="557">
        <v>2</v>
      </c>
      <c r="G16" s="557"/>
      <c r="H16" s="557"/>
      <c r="I16" s="557"/>
      <c r="J16" s="551"/>
      <c r="K16" s="551"/>
      <c r="L16" s="551"/>
      <c r="M16" s="547"/>
      <c r="N16" s="548"/>
      <c r="O16" s="549"/>
      <c r="P16" s="550"/>
      <c r="Q16" s="551"/>
      <c r="R16" s="552">
        <f t="shared" si="0"/>
        <v>2</v>
      </c>
      <c r="S16" s="552">
        <f>+R16*B16*C16</f>
        <v>10.4</v>
      </c>
    </row>
    <row r="17" spans="1:19">
      <c r="A17" s="554"/>
      <c r="B17" s="555"/>
      <c r="C17" s="555"/>
      <c r="D17" s="559"/>
      <c r="E17" s="554"/>
      <c r="F17" s="557"/>
      <c r="G17" s="557"/>
      <c r="H17" s="557"/>
      <c r="I17" s="557"/>
      <c r="J17" s="551"/>
      <c r="K17" s="551"/>
      <c r="L17" s="551"/>
      <c r="M17" s="547"/>
      <c r="N17" s="548"/>
      <c r="O17" s="549"/>
      <c r="P17" s="550"/>
      <c r="Q17" s="551"/>
      <c r="R17" s="552"/>
      <c r="S17" s="552"/>
    </row>
    <row r="18" spans="1:19" ht="20.399999999999999">
      <c r="A18" s="1022" t="s">
        <v>2532</v>
      </c>
      <c r="B18" s="1022"/>
      <c r="C18" s="1022"/>
      <c r="D18" s="1022"/>
      <c r="E18" s="1022"/>
      <c r="F18" s="1022"/>
      <c r="G18" s="1022"/>
      <c r="H18" s="1022"/>
      <c r="I18" s="1022"/>
      <c r="J18" s="1022"/>
      <c r="K18" s="1022"/>
      <c r="L18" s="1022"/>
      <c r="M18" s="547"/>
      <c r="N18" s="548"/>
      <c r="O18" s="549"/>
      <c r="P18" s="550"/>
      <c r="Q18" s="551"/>
      <c r="R18" s="552">
        <f t="shared" si="0"/>
        <v>0</v>
      </c>
      <c r="S18" s="553">
        <f>SUM(S19:S22)</f>
        <v>29.078000000000003</v>
      </c>
    </row>
    <row r="19" spans="1:19">
      <c r="A19" s="554"/>
      <c r="B19" s="555">
        <v>6.15</v>
      </c>
      <c r="C19" s="555">
        <v>2.6</v>
      </c>
      <c r="D19" s="559" t="s">
        <v>2533</v>
      </c>
      <c r="E19" s="554">
        <v>1</v>
      </c>
      <c r="F19" s="557"/>
      <c r="G19" s="557"/>
      <c r="H19" s="557"/>
      <c r="I19" s="557"/>
      <c r="J19" s="551"/>
      <c r="K19" s="551"/>
      <c r="L19" s="551"/>
      <c r="M19" s="547"/>
      <c r="N19" s="548"/>
      <c r="O19" s="549"/>
      <c r="P19" s="550"/>
      <c r="Q19" s="551"/>
      <c r="R19" s="552">
        <f t="shared" si="0"/>
        <v>1</v>
      </c>
      <c r="S19" s="552">
        <f>+R19*B19*C19</f>
        <v>15.990000000000002</v>
      </c>
    </row>
    <row r="20" spans="1:19">
      <c r="A20" s="554"/>
      <c r="B20" s="555">
        <v>2.4</v>
      </c>
      <c r="C20" s="555">
        <v>2.6</v>
      </c>
      <c r="D20" s="559" t="s">
        <v>2533</v>
      </c>
      <c r="E20" s="554">
        <v>1</v>
      </c>
      <c r="F20" s="557"/>
      <c r="G20" s="557"/>
      <c r="H20" s="557"/>
      <c r="I20" s="557"/>
      <c r="J20" s="551"/>
      <c r="K20" s="551"/>
      <c r="L20" s="551"/>
      <c r="M20" s="547"/>
      <c r="N20" s="548"/>
      <c r="O20" s="549"/>
      <c r="P20" s="550"/>
      <c r="Q20" s="551"/>
      <c r="R20" s="552">
        <f t="shared" si="0"/>
        <v>1</v>
      </c>
      <c r="S20" s="552">
        <f>+R20*B20*C20</f>
        <v>6.24</v>
      </c>
    </row>
    <row r="21" spans="1:19">
      <c r="A21" s="554"/>
      <c r="B21" s="555">
        <v>2</v>
      </c>
      <c r="C21" s="555">
        <v>0.5</v>
      </c>
      <c r="D21" s="559" t="s">
        <v>2534</v>
      </c>
      <c r="E21" s="554">
        <v>2</v>
      </c>
      <c r="F21" s="557">
        <v>1</v>
      </c>
      <c r="G21" s="557"/>
      <c r="H21" s="557"/>
      <c r="I21" s="557"/>
      <c r="J21" s="551"/>
      <c r="K21" s="551"/>
      <c r="L21" s="551"/>
      <c r="M21" s="547"/>
      <c r="N21" s="548"/>
      <c r="O21" s="549"/>
      <c r="P21" s="550"/>
      <c r="Q21" s="551"/>
      <c r="R21" s="552">
        <f t="shared" si="0"/>
        <v>3</v>
      </c>
      <c r="S21" s="552">
        <f>+R21*B21*C21</f>
        <v>3</v>
      </c>
    </row>
    <row r="22" spans="1:19">
      <c r="A22" s="554"/>
      <c r="B22" s="555">
        <v>0.37</v>
      </c>
      <c r="C22" s="555">
        <v>2.6</v>
      </c>
      <c r="D22" s="559" t="s">
        <v>2533</v>
      </c>
      <c r="E22" s="554">
        <v>2</v>
      </c>
      <c r="F22" s="557">
        <v>2</v>
      </c>
      <c r="G22" s="557"/>
      <c r="H22" s="557"/>
      <c r="I22" s="557"/>
      <c r="J22" s="551"/>
      <c r="K22" s="551"/>
      <c r="L22" s="551"/>
      <c r="M22" s="547"/>
      <c r="N22" s="548"/>
      <c r="O22" s="549"/>
      <c r="P22" s="550"/>
      <c r="Q22" s="551"/>
      <c r="R22" s="552">
        <f t="shared" si="0"/>
        <v>4</v>
      </c>
      <c r="S22" s="552">
        <f>+R22*B22*C22</f>
        <v>3.8479999999999999</v>
      </c>
    </row>
    <row r="23" spans="1:19">
      <c r="A23" s="554"/>
      <c r="B23" s="555"/>
      <c r="C23" s="555"/>
      <c r="D23" s="559"/>
      <c r="E23" s="554"/>
      <c r="F23" s="557"/>
      <c r="G23" s="557"/>
      <c r="H23" s="557"/>
      <c r="I23" s="557"/>
      <c r="J23" s="551"/>
      <c r="K23" s="551"/>
      <c r="L23" s="551"/>
      <c r="M23" s="547"/>
      <c r="N23" s="548"/>
      <c r="O23" s="549"/>
      <c r="P23" s="550"/>
      <c r="Q23" s="551"/>
      <c r="R23" s="552"/>
      <c r="S23" s="552"/>
    </row>
    <row r="24" spans="1:19" ht="20.399999999999999">
      <c r="A24" s="1022" t="s">
        <v>2649</v>
      </c>
      <c r="B24" s="1022"/>
      <c r="C24" s="1022"/>
      <c r="D24" s="1022"/>
      <c r="E24" s="1022"/>
      <c r="F24" s="1022"/>
      <c r="G24" s="1022"/>
      <c r="H24" s="1022"/>
      <c r="I24" s="1022"/>
      <c r="J24" s="1022"/>
      <c r="K24" s="1022"/>
      <c r="L24" s="1022"/>
      <c r="M24" s="547"/>
      <c r="N24" s="548"/>
      <c r="O24" s="549"/>
      <c r="P24" s="550"/>
      <c r="Q24" s="551"/>
      <c r="R24" s="552">
        <f t="shared" si="0"/>
        <v>0</v>
      </c>
      <c r="S24" s="553">
        <f>SUM(S25:S30)</f>
        <v>1014.5100000000002</v>
      </c>
    </row>
    <row r="25" spans="1:19">
      <c r="A25" s="554" t="s">
        <v>1281</v>
      </c>
      <c r="B25" s="555">
        <v>0.9</v>
      </c>
      <c r="C25" s="555">
        <v>2.1</v>
      </c>
      <c r="D25" s="559" t="s">
        <v>2535</v>
      </c>
      <c r="E25" s="554">
        <v>42</v>
      </c>
      <c r="F25" s="557">
        <v>55</v>
      </c>
      <c r="G25" s="557">
        <v>33</v>
      </c>
      <c r="H25" s="557">
        <v>35</v>
      </c>
      <c r="I25" s="557">
        <v>56</v>
      </c>
      <c r="J25" s="551">
        <v>111</v>
      </c>
      <c r="K25" s="551">
        <v>25</v>
      </c>
      <c r="L25" s="551"/>
      <c r="M25" s="547"/>
      <c r="N25" s="548">
        <v>4</v>
      </c>
      <c r="O25" s="549"/>
      <c r="P25" s="550"/>
      <c r="Q25" s="551"/>
      <c r="R25" s="552">
        <f t="shared" si="0"/>
        <v>361</v>
      </c>
      <c r="S25" s="552">
        <f t="shared" ref="S25:S38" si="1">+R25*B25*C25</f>
        <v>682.29000000000008</v>
      </c>
    </row>
    <row r="26" spans="1:19" ht="27.6">
      <c r="A26" s="554" t="s">
        <v>1288</v>
      </c>
      <c r="B26" s="555">
        <v>1.6</v>
      </c>
      <c r="C26" s="555">
        <v>2.1</v>
      </c>
      <c r="D26" s="559" t="s">
        <v>2538</v>
      </c>
      <c r="E26" s="554">
        <v>16</v>
      </c>
      <c r="F26" s="557">
        <v>4</v>
      </c>
      <c r="G26" s="557">
        <v>12</v>
      </c>
      <c r="H26" s="557">
        <v>5</v>
      </c>
      <c r="I26" s="557">
        <v>3</v>
      </c>
      <c r="J26" s="551"/>
      <c r="K26" s="551">
        <v>5</v>
      </c>
      <c r="L26" s="551">
        <v>1</v>
      </c>
      <c r="M26" s="547"/>
      <c r="N26" s="548"/>
      <c r="O26" s="549"/>
      <c r="P26" s="550"/>
      <c r="Q26" s="551"/>
      <c r="R26" s="552">
        <f t="shared" si="0"/>
        <v>46</v>
      </c>
      <c r="S26" s="552">
        <f t="shared" si="1"/>
        <v>154.56000000000003</v>
      </c>
    </row>
    <row r="27" spans="1:19" ht="27.6">
      <c r="A27" s="554" t="s">
        <v>1290</v>
      </c>
      <c r="B27" s="555">
        <v>1.2</v>
      </c>
      <c r="C27" s="555">
        <v>2.1</v>
      </c>
      <c r="D27" s="559" t="s">
        <v>2539</v>
      </c>
      <c r="E27" s="554"/>
      <c r="F27" s="557"/>
      <c r="G27" s="557">
        <v>8</v>
      </c>
      <c r="H27" s="557">
        <v>2</v>
      </c>
      <c r="I27" s="557">
        <v>3</v>
      </c>
      <c r="J27" s="551">
        <f>15*3</f>
        <v>45</v>
      </c>
      <c r="K27" s="551">
        <v>1</v>
      </c>
      <c r="L27" s="551"/>
      <c r="M27" s="547"/>
      <c r="N27" s="548"/>
      <c r="O27" s="549"/>
      <c r="P27" s="550"/>
      <c r="Q27" s="551"/>
      <c r="R27" s="552">
        <f t="shared" si="0"/>
        <v>59</v>
      </c>
      <c r="S27" s="552">
        <f t="shared" si="1"/>
        <v>148.68</v>
      </c>
    </row>
    <row r="28" spans="1:19">
      <c r="A28" s="554" t="s">
        <v>1291</v>
      </c>
      <c r="B28" s="555">
        <v>0.7</v>
      </c>
      <c r="C28" s="555">
        <v>2.1</v>
      </c>
      <c r="D28" s="559" t="s">
        <v>2540</v>
      </c>
      <c r="E28" s="554"/>
      <c r="F28" s="557"/>
      <c r="G28" s="557"/>
      <c r="H28" s="557"/>
      <c r="I28" s="557"/>
      <c r="J28" s="551"/>
      <c r="K28" s="551"/>
      <c r="L28" s="551"/>
      <c r="M28" s="547"/>
      <c r="N28" s="548"/>
      <c r="O28" s="549"/>
      <c r="P28" s="550">
        <v>2</v>
      </c>
      <c r="Q28" s="551"/>
      <c r="R28" s="552">
        <f>SUM(E28:Q28)</f>
        <v>2</v>
      </c>
      <c r="S28" s="552">
        <f>+R28*B28*C28</f>
        <v>2.94</v>
      </c>
    </row>
    <row r="29" spans="1:19">
      <c r="A29" s="554" t="s">
        <v>1294</v>
      </c>
      <c r="B29" s="555">
        <v>0.6</v>
      </c>
      <c r="C29" s="555">
        <v>2.1</v>
      </c>
      <c r="D29" s="559" t="s">
        <v>2540</v>
      </c>
      <c r="E29" s="554"/>
      <c r="F29" s="557"/>
      <c r="G29" s="557"/>
      <c r="H29" s="557"/>
      <c r="I29" s="557"/>
      <c r="J29" s="551"/>
      <c r="K29" s="551"/>
      <c r="L29" s="551"/>
      <c r="M29" s="547"/>
      <c r="N29" s="548"/>
      <c r="O29" s="549"/>
      <c r="P29" s="550">
        <v>2</v>
      </c>
      <c r="Q29" s="551"/>
      <c r="R29" s="552">
        <f>SUM(E29:Q29)</f>
        <v>2</v>
      </c>
      <c r="S29" s="552">
        <f>+R29*B29*C29</f>
        <v>2.52</v>
      </c>
    </row>
    <row r="30" spans="1:19">
      <c r="A30" s="554"/>
      <c r="B30" s="555">
        <v>0.8</v>
      </c>
      <c r="C30" s="555">
        <v>2.1</v>
      </c>
      <c r="D30" s="559" t="s">
        <v>2540</v>
      </c>
      <c r="E30" s="554"/>
      <c r="F30" s="557"/>
      <c r="G30" s="557"/>
      <c r="H30" s="557"/>
      <c r="I30" s="557"/>
      <c r="J30" s="551"/>
      <c r="K30" s="551"/>
      <c r="L30" s="551"/>
      <c r="M30" s="547"/>
      <c r="N30" s="548"/>
      <c r="O30" s="549"/>
      <c r="P30" s="550">
        <v>11</v>
      </c>
      <c r="Q30" s="551">
        <v>3</v>
      </c>
      <c r="R30" s="552">
        <f t="shared" si="0"/>
        <v>14</v>
      </c>
      <c r="S30" s="552">
        <f t="shared" si="1"/>
        <v>23.520000000000003</v>
      </c>
    </row>
    <row r="31" spans="1:19">
      <c r="A31" s="554"/>
      <c r="B31" s="555"/>
      <c r="C31" s="555"/>
      <c r="D31" s="559"/>
      <c r="E31" s="554"/>
      <c r="F31" s="557"/>
      <c r="G31" s="557"/>
      <c r="H31" s="557"/>
      <c r="I31" s="557"/>
      <c r="J31" s="551"/>
      <c r="K31" s="551"/>
      <c r="L31" s="551"/>
      <c r="M31" s="547"/>
      <c r="N31" s="548"/>
      <c r="O31" s="549"/>
      <c r="P31" s="550"/>
      <c r="Q31" s="551"/>
      <c r="R31" s="552"/>
      <c r="S31" s="552"/>
    </row>
    <row r="32" spans="1:19" ht="20.399999999999999">
      <c r="A32" s="1022" t="s">
        <v>2646</v>
      </c>
      <c r="B32" s="1022"/>
      <c r="C32" s="1022"/>
      <c r="D32" s="1022"/>
      <c r="E32" s="1022"/>
      <c r="F32" s="1022"/>
      <c r="G32" s="1022"/>
      <c r="H32" s="1022"/>
      <c r="I32" s="1022"/>
      <c r="J32" s="1022"/>
      <c r="K32" s="1022"/>
      <c r="L32" s="1022"/>
      <c r="M32" s="547"/>
      <c r="N32" s="548"/>
      <c r="O32" s="549"/>
      <c r="P32" s="550"/>
      <c r="Q32" s="551"/>
      <c r="R32" s="552"/>
      <c r="S32" s="552"/>
    </row>
    <row r="33" spans="1:19" ht="27.6">
      <c r="A33" s="554" t="s">
        <v>2536</v>
      </c>
      <c r="B33" s="555">
        <v>0.6</v>
      </c>
      <c r="C33" s="555">
        <v>1.6</v>
      </c>
      <c r="D33" s="559" t="s">
        <v>2537</v>
      </c>
      <c r="E33" s="554">
        <v>26</v>
      </c>
      <c r="F33" s="557">
        <v>10</v>
      </c>
      <c r="G33" s="557">
        <v>8</v>
      </c>
      <c r="H33" s="557"/>
      <c r="I33" s="557"/>
      <c r="J33" s="551">
        <f>10*3</f>
        <v>30</v>
      </c>
      <c r="K33" s="551">
        <v>10</v>
      </c>
      <c r="L33" s="551"/>
      <c r="M33" s="547"/>
      <c r="N33" s="548"/>
      <c r="O33" s="549"/>
      <c r="P33" s="550"/>
      <c r="Q33" s="551"/>
      <c r="R33" s="552">
        <f>SUM(E33:Q33)</f>
        <v>84</v>
      </c>
      <c r="S33" s="552">
        <f>+R33*B33*C33</f>
        <v>80.64</v>
      </c>
    </row>
    <row r="34" spans="1:19">
      <c r="A34" s="554"/>
      <c r="B34" s="555"/>
      <c r="C34" s="555"/>
      <c r="D34" s="559"/>
      <c r="E34" s="554"/>
      <c r="F34" s="557"/>
      <c r="G34" s="557"/>
      <c r="H34" s="557"/>
      <c r="I34" s="557"/>
      <c r="J34" s="551"/>
      <c r="K34" s="551"/>
      <c r="L34" s="551"/>
      <c r="M34" s="547"/>
      <c r="N34" s="548"/>
      <c r="O34" s="549"/>
      <c r="P34" s="550"/>
      <c r="Q34" s="551"/>
      <c r="R34" s="552"/>
      <c r="S34" s="552"/>
    </row>
    <row r="35" spans="1:19" ht="20.399999999999999">
      <c r="A35" s="1022" t="s">
        <v>2650</v>
      </c>
      <c r="B35" s="1022"/>
      <c r="C35" s="1022"/>
      <c r="D35" s="1022"/>
      <c r="E35" s="1022"/>
      <c r="F35" s="1022"/>
      <c r="G35" s="1022"/>
      <c r="H35" s="1022"/>
      <c r="I35" s="1022"/>
      <c r="J35" s="1022"/>
      <c r="K35" s="1022"/>
      <c r="L35" s="1022"/>
      <c r="M35" s="547"/>
      <c r="N35" s="548"/>
      <c r="O35" s="549"/>
      <c r="P35" s="550"/>
      <c r="Q35" s="551"/>
      <c r="R35" s="553">
        <f>SUM(R36:R38)</f>
        <v>16</v>
      </c>
      <c r="S35" s="553">
        <f>SUM(S36:S38)</f>
        <v>32.550000000000004</v>
      </c>
    </row>
    <row r="36" spans="1:19">
      <c r="A36" s="554" t="s">
        <v>1285</v>
      </c>
      <c r="B36" s="555">
        <v>1.1000000000000001</v>
      </c>
      <c r="C36" s="555">
        <v>2.1</v>
      </c>
      <c r="D36" s="559" t="s">
        <v>2541</v>
      </c>
      <c r="E36" s="554"/>
      <c r="F36" s="557"/>
      <c r="G36" s="557"/>
      <c r="H36" s="557"/>
      <c r="I36" s="557"/>
      <c r="J36" s="551"/>
      <c r="K36" s="551"/>
      <c r="L36" s="551"/>
      <c r="M36" s="547"/>
      <c r="N36" s="548"/>
      <c r="O36" s="549"/>
      <c r="P36" s="550">
        <v>6</v>
      </c>
      <c r="Q36" s="551"/>
      <c r="R36" s="552">
        <f t="shared" si="0"/>
        <v>6</v>
      </c>
      <c r="S36" s="552">
        <f t="shared" si="1"/>
        <v>13.860000000000001</v>
      </c>
    </row>
    <row r="37" spans="1:19">
      <c r="A37" s="554" t="s">
        <v>1290</v>
      </c>
      <c r="B37" s="555">
        <v>0.8</v>
      </c>
      <c r="C37" s="555">
        <v>2.1</v>
      </c>
      <c r="D37" s="559" t="s">
        <v>2541</v>
      </c>
      <c r="E37" s="554"/>
      <c r="F37" s="557"/>
      <c r="G37" s="557"/>
      <c r="H37" s="557"/>
      <c r="I37" s="557"/>
      <c r="J37" s="551"/>
      <c r="K37" s="551"/>
      <c r="L37" s="551"/>
      <c r="M37" s="547"/>
      <c r="N37" s="548"/>
      <c r="O37" s="549"/>
      <c r="P37" s="550">
        <v>1</v>
      </c>
      <c r="Q37" s="551"/>
      <c r="R37" s="552">
        <f t="shared" si="0"/>
        <v>1</v>
      </c>
      <c r="S37" s="552">
        <f t="shared" si="1"/>
        <v>1.6800000000000002</v>
      </c>
    </row>
    <row r="38" spans="1:19">
      <c r="A38" s="554" t="s">
        <v>1285</v>
      </c>
      <c r="B38" s="555">
        <v>0.9</v>
      </c>
      <c r="C38" s="555">
        <v>2.1</v>
      </c>
      <c r="D38" s="559" t="s">
        <v>2542</v>
      </c>
      <c r="E38" s="554"/>
      <c r="F38" s="557"/>
      <c r="G38" s="557"/>
      <c r="H38" s="557"/>
      <c r="I38" s="557"/>
      <c r="J38" s="551"/>
      <c r="K38" s="551"/>
      <c r="L38" s="551"/>
      <c r="M38" s="547"/>
      <c r="N38" s="548"/>
      <c r="O38" s="549"/>
      <c r="P38" s="550"/>
      <c r="Q38" s="551">
        <v>9</v>
      </c>
      <c r="R38" s="552">
        <f t="shared" si="0"/>
        <v>9</v>
      </c>
      <c r="S38" s="552">
        <f t="shared" si="1"/>
        <v>17.010000000000002</v>
      </c>
    </row>
    <row r="39" spans="1:19">
      <c r="A39" s="554"/>
      <c r="B39" s="555"/>
      <c r="C39" s="555"/>
      <c r="D39" s="559"/>
      <c r="E39" s="554"/>
      <c r="F39" s="557"/>
      <c r="G39" s="557"/>
      <c r="H39" s="557"/>
      <c r="I39" s="557"/>
      <c r="J39" s="551"/>
      <c r="K39" s="551"/>
      <c r="L39" s="551"/>
      <c r="M39" s="547"/>
      <c r="N39" s="548"/>
      <c r="O39" s="549"/>
      <c r="P39" s="550"/>
      <c r="Q39" s="551"/>
      <c r="R39" s="552"/>
      <c r="S39" s="552"/>
    </row>
    <row r="40" spans="1:19" ht="20.399999999999999">
      <c r="A40" s="1022" t="s">
        <v>2651</v>
      </c>
      <c r="B40" s="1022"/>
      <c r="C40" s="1022"/>
      <c r="D40" s="1022"/>
      <c r="E40" s="1022"/>
      <c r="F40" s="1022"/>
      <c r="G40" s="1022"/>
      <c r="H40" s="1022"/>
      <c r="I40" s="1022"/>
      <c r="J40" s="1022"/>
      <c r="K40" s="1022"/>
      <c r="L40" s="1022"/>
      <c r="M40" s="547"/>
      <c r="N40" s="548"/>
      <c r="O40" s="549"/>
      <c r="P40" s="550"/>
      <c r="Q40" s="551"/>
      <c r="R40" s="552"/>
      <c r="S40" s="553">
        <f>+S41*R41</f>
        <v>2251.1790000000001</v>
      </c>
    </row>
    <row r="41" spans="1:19">
      <c r="A41" s="554"/>
      <c r="B41" s="555"/>
      <c r="C41" s="555"/>
      <c r="D41" s="559" t="s">
        <v>2652</v>
      </c>
      <c r="E41" s="554"/>
      <c r="F41" s="557"/>
      <c r="G41" s="557"/>
      <c r="H41" s="557"/>
      <c r="I41" s="557"/>
      <c r="J41" s="551"/>
      <c r="K41" s="551"/>
      <c r="L41" s="551"/>
      <c r="M41" s="547"/>
      <c r="N41" s="548"/>
      <c r="O41" s="549"/>
      <c r="P41" s="550"/>
      <c r="Q41" s="551"/>
      <c r="R41" s="552">
        <f>+S35+S24</f>
        <v>1047.0600000000002</v>
      </c>
      <c r="S41" s="552">
        <v>2.15</v>
      </c>
    </row>
    <row r="42" spans="1:19">
      <c r="A42" s="554"/>
      <c r="B42" s="555"/>
      <c r="C42" s="555"/>
      <c r="D42" s="559"/>
      <c r="E42" s="554"/>
      <c r="F42" s="557"/>
      <c r="G42" s="557"/>
      <c r="H42" s="557"/>
      <c r="I42" s="557"/>
      <c r="J42" s="551"/>
      <c r="K42" s="551"/>
      <c r="L42" s="551"/>
      <c r="M42" s="547"/>
      <c r="N42" s="548"/>
      <c r="O42" s="549"/>
      <c r="P42" s="550"/>
      <c r="Q42" s="551"/>
      <c r="R42" s="552"/>
      <c r="S42" s="552"/>
    </row>
    <row r="43" spans="1:19">
      <c r="A43" s="554"/>
      <c r="B43" s="555"/>
      <c r="C43" s="555"/>
      <c r="D43" s="554"/>
      <c r="E43" s="554"/>
      <c r="F43" s="557"/>
      <c r="G43" s="557"/>
      <c r="H43" s="557"/>
      <c r="I43" s="557"/>
      <c r="J43" s="551"/>
      <c r="K43" s="551"/>
      <c r="L43" s="551"/>
      <c r="M43" s="547"/>
      <c r="N43" s="548"/>
      <c r="O43" s="549"/>
      <c r="P43" s="550"/>
      <c r="Q43" s="551"/>
      <c r="R43" s="552">
        <f t="shared" si="0"/>
        <v>0</v>
      </c>
      <c r="S43" s="551"/>
    </row>
    <row r="44" spans="1:19" ht="20.399999999999999">
      <c r="A44" s="1022" t="s">
        <v>2543</v>
      </c>
      <c r="B44" s="1022"/>
      <c r="C44" s="1022"/>
      <c r="D44" s="1022"/>
      <c r="E44" s="1022"/>
      <c r="F44" s="1022"/>
      <c r="G44" s="1022"/>
      <c r="H44" s="1022"/>
      <c r="I44" s="1022"/>
      <c r="J44" s="1022"/>
      <c r="K44" s="1022"/>
      <c r="L44" s="1022"/>
      <c r="M44" s="560"/>
      <c r="N44" s="561"/>
      <c r="O44" s="562"/>
      <c r="P44" s="563"/>
      <c r="Q44" s="564"/>
      <c r="R44" s="552">
        <f t="shared" si="0"/>
        <v>0</v>
      </c>
      <c r="S44" s="553">
        <f>SUM(S45:S46)</f>
        <v>28.8</v>
      </c>
    </row>
    <row r="45" spans="1:19">
      <c r="A45" s="554" t="s">
        <v>2544</v>
      </c>
      <c r="B45" s="555">
        <v>1</v>
      </c>
      <c r="C45" s="555">
        <v>0.8</v>
      </c>
      <c r="D45" s="556" t="s">
        <v>2545</v>
      </c>
      <c r="E45" s="554">
        <v>2</v>
      </c>
      <c r="F45" s="554">
        <v>2</v>
      </c>
      <c r="G45" s="557">
        <v>2</v>
      </c>
      <c r="H45" s="557">
        <v>2</v>
      </c>
      <c r="I45" s="557">
        <v>2</v>
      </c>
      <c r="J45" s="551">
        <f>2*3</f>
        <v>6</v>
      </c>
      <c r="K45" s="551">
        <v>2</v>
      </c>
      <c r="L45" s="551"/>
      <c r="M45" s="547"/>
      <c r="N45" s="548"/>
      <c r="O45" s="549"/>
      <c r="P45" s="550"/>
      <c r="Q45" s="551"/>
      <c r="R45" s="552">
        <f t="shared" si="0"/>
        <v>18</v>
      </c>
      <c r="S45" s="552">
        <f>+R45*B45*C45</f>
        <v>14.4</v>
      </c>
    </row>
    <row r="46" spans="1:19">
      <c r="A46" s="554" t="s">
        <v>2546</v>
      </c>
      <c r="B46" s="555">
        <v>1</v>
      </c>
      <c r="C46" s="555">
        <v>0.8</v>
      </c>
      <c r="D46" s="556" t="s">
        <v>2547</v>
      </c>
      <c r="E46" s="554">
        <v>2</v>
      </c>
      <c r="F46" s="554">
        <v>2</v>
      </c>
      <c r="G46" s="557">
        <v>2</v>
      </c>
      <c r="H46" s="557">
        <v>2</v>
      </c>
      <c r="I46" s="557">
        <v>2</v>
      </c>
      <c r="J46" s="551">
        <f>2*3</f>
        <v>6</v>
      </c>
      <c r="K46" s="551">
        <v>2</v>
      </c>
      <c r="L46" s="551"/>
      <c r="M46" s="547"/>
      <c r="N46" s="548"/>
      <c r="O46" s="549"/>
      <c r="P46" s="550"/>
      <c r="Q46" s="551"/>
      <c r="R46" s="552">
        <f t="shared" si="0"/>
        <v>18</v>
      </c>
      <c r="S46" s="552">
        <f>+R46*B46*C46</f>
        <v>14.4</v>
      </c>
    </row>
    <row r="47" spans="1:19">
      <c r="A47" s="554"/>
      <c r="B47" s="555"/>
      <c r="C47" s="555"/>
      <c r="D47" s="556"/>
      <c r="E47" s="554"/>
      <c r="F47" s="554"/>
      <c r="G47" s="557"/>
      <c r="H47" s="557"/>
      <c r="I47" s="557"/>
      <c r="J47" s="551"/>
      <c r="K47" s="551"/>
      <c r="L47" s="551"/>
      <c r="M47" s="547"/>
      <c r="N47" s="548"/>
      <c r="O47" s="549"/>
      <c r="P47" s="550"/>
      <c r="Q47" s="551"/>
      <c r="R47" s="552"/>
      <c r="S47" s="552"/>
    </row>
    <row r="48" spans="1:19" ht="20.399999999999999">
      <c r="A48" s="1022" t="s">
        <v>2548</v>
      </c>
      <c r="B48" s="1022"/>
      <c r="C48" s="1022"/>
      <c r="D48" s="1022"/>
      <c r="E48" s="1022"/>
      <c r="F48" s="1022"/>
      <c r="G48" s="1022"/>
      <c r="H48" s="1022"/>
      <c r="I48" s="1022"/>
      <c r="J48" s="1022"/>
      <c r="K48" s="1022"/>
      <c r="L48" s="1022"/>
      <c r="M48" s="547"/>
      <c r="N48" s="548"/>
      <c r="O48" s="549"/>
      <c r="P48" s="550"/>
      <c r="Q48" s="551"/>
      <c r="R48" s="552">
        <f t="shared" si="0"/>
        <v>0</v>
      </c>
      <c r="S48" s="553">
        <f>SUM(S49)</f>
        <v>3.8400000000000007</v>
      </c>
    </row>
    <row r="49" spans="1:19">
      <c r="A49" s="554" t="s">
        <v>2549</v>
      </c>
      <c r="B49" s="555">
        <v>0.4</v>
      </c>
      <c r="C49" s="555">
        <v>0.4</v>
      </c>
      <c r="D49" s="556" t="s">
        <v>2550</v>
      </c>
      <c r="E49" s="554"/>
      <c r="F49" s="557">
        <v>3</v>
      </c>
      <c r="G49" s="557">
        <v>3</v>
      </c>
      <c r="H49" s="557">
        <v>3</v>
      </c>
      <c r="I49" s="557">
        <v>3</v>
      </c>
      <c r="J49" s="551">
        <f>3*3</f>
        <v>9</v>
      </c>
      <c r="K49" s="551">
        <v>3</v>
      </c>
      <c r="L49" s="551"/>
      <c r="M49" s="547"/>
      <c r="N49" s="548"/>
      <c r="O49" s="549"/>
      <c r="P49" s="550"/>
      <c r="Q49" s="551"/>
      <c r="R49" s="552">
        <f t="shared" si="0"/>
        <v>24</v>
      </c>
      <c r="S49" s="552">
        <f>+R49*B49*C49</f>
        <v>3.8400000000000007</v>
      </c>
    </row>
    <row r="50" spans="1:19">
      <c r="A50" s="554"/>
      <c r="B50" s="555"/>
      <c r="C50" s="555"/>
      <c r="D50" s="556"/>
      <c r="E50" s="554"/>
      <c r="F50" s="557"/>
      <c r="G50" s="557"/>
      <c r="H50" s="557"/>
      <c r="I50" s="557"/>
      <c r="J50" s="551"/>
      <c r="K50" s="551"/>
      <c r="L50" s="551"/>
      <c r="M50" s="547"/>
      <c r="N50" s="548"/>
      <c r="O50" s="549"/>
      <c r="P50" s="550"/>
      <c r="Q50" s="551"/>
      <c r="R50" s="552"/>
      <c r="S50" s="552"/>
    </row>
    <row r="51" spans="1:19" ht="20.399999999999999">
      <c r="A51" s="1022" t="s">
        <v>2551</v>
      </c>
      <c r="B51" s="1022"/>
      <c r="C51" s="1022"/>
      <c r="D51" s="1022"/>
      <c r="E51" s="1022"/>
      <c r="F51" s="1022"/>
      <c r="G51" s="1022"/>
      <c r="H51" s="1022"/>
      <c r="I51" s="1022"/>
      <c r="J51" s="1022"/>
      <c r="K51" s="1022"/>
      <c r="L51" s="1022"/>
      <c r="M51" s="547"/>
      <c r="N51" s="548"/>
      <c r="O51" s="549"/>
      <c r="P51" s="550"/>
      <c r="Q51" s="551"/>
      <c r="R51" s="552">
        <f t="shared" si="0"/>
        <v>0</v>
      </c>
      <c r="S51" s="553">
        <f>SUM(S52:S130)</f>
        <v>1748.0390000000011</v>
      </c>
    </row>
    <row r="52" spans="1:19">
      <c r="A52" s="554" t="s">
        <v>2552</v>
      </c>
      <c r="B52" s="555">
        <v>4</v>
      </c>
      <c r="C52" s="555">
        <v>0.6</v>
      </c>
      <c r="D52" s="556" t="s">
        <v>2553</v>
      </c>
      <c r="E52" s="554"/>
      <c r="F52" s="557">
        <v>2</v>
      </c>
      <c r="G52" s="557">
        <v>2</v>
      </c>
      <c r="H52" s="557">
        <v>2</v>
      </c>
      <c r="I52" s="557">
        <v>2</v>
      </c>
      <c r="J52" s="551">
        <f>2*3</f>
        <v>6</v>
      </c>
      <c r="K52" s="551">
        <v>2</v>
      </c>
      <c r="L52" s="551">
        <v>2</v>
      </c>
      <c r="M52" s="547"/>
      <c r="N52" s="548"/>
      <c r="O52" s="549"/>
      <c r="P52" s="550"/>
      <c r="Q52" s="551"/>
      <c r="R52" s="552">
        <f t="shared" si="0"/>
        <v>18</v>
      </c>
      <c r="S52" s="552">
        <f t="shared" ref="S52:S115" si="2">+R52*B52*C52</f>
        <v>43.199999999999996</v>
      </c>
    </row>
    <row r="53" spans="1:19">
      <c r="A53" s="554" t="s">
        <v>1359</v>
      </c>
      <c r="B53" s="555">
        <v>2.1</v>
      </c>
      <c r="C53" s="555">
        <v>0.8</v>
      </c>
      <c r="D53" s="559" t="s">
        <v>2553</v>
      </c>
      <c r="E53" s="554">
        <v>2</v>
      </c>
      <c r="F53" s="557"/>
      <c r="G53" s="557"/>
      <c r="H53" s="557"/>
      <c r="I53" s="557"/>
      <c r="J53" s="551"/>
      <c r="K53" s="551"/>
      <c r="L53" s="551"/>
      <c r="M53" s="547"/>
      <c r="N53" s="548"/>
      <c r="O53" s="549"/>
      <c r="P53" s="550"/>
      <c r="Q53" s="551"/>
      <c r="R53" s="552">
        <f t="shared" si="0"/>
        <v>2</v>
      </c>
      <c r="S53" s="552">
        <f t="shared" si="2"/>
        <v>3.3600000000000003</v>
      </c>
    </row>
    <row r="54" spans="1:19">
      <c r="A54" s="554" t="s">
        <v>1361</v>
      </c>
      <c r="B54" s="555">
        <v>4.03</v>
      </c>
      <c r="C54" s="555">
        <v>0.8</v>
      </c>
      <c r="D54" s="559" t="s">
        <v>2553</v>
      </c>
      <c r="E54" s="554">
        <v>2</v>
      </c>
      <c r="F54" s="557"/>
      <c r="G54" s="557"/>
      <c r="H54" s="557"/>
      <c r="I54" s="557">
        <v>1</v>
      </c>
      <c r="J54" s="551"/>
      <c r="K54" s="551"/>
      <c r="L54" s="551"/>
      <c r="M54" s="547"/>
      <c r="N54" s="548"/>
      <c r="O54" s="549"/>
      <c r="P54" s="550"/>
      <c r="Q54" s="551"/>
      <c r="R54" s="552">
        <f t="shared" si="0"/>
        <v>3</v>
      </c>
      <c r="S54" s="552">
        <f t="shared" si="2"/>
        <v>9.6720000000000006</v>
      </c>
    </row>
    <row r="55" spans="1:19" ht="20.25" customHeight="1">
      <c r="A55" s="554" t="s">
        <v>1363</v>
      </c>
      <c r="B55" s="555">
        <v>5</v>
      </c>
      <c r="C55" s="555">
        <v>1.6</v>
      </c>
      <c r="D55" s="559" t="s">
        <v>2554</v>
      </c>
      <c r="E55" s="554"/>
      <c r="F55" s="557">
        <v>1</v>
      </c>
      <c r="G55" s="557">
        <v>2</v>
      </c>
      <c r="H55" s="557"/>
      <c r="I55" s="557">
        <v>1</v>
      </c>
      <c r="J55" s="551">
        <f>1*3</f>
        <v>3</v>
      </c>
      <c r="K55" s="551">
        <v>2</v>
      </c>
      <c r="L55" s="551"/>
      <c r="M55" s="547"/>
      <c r="N55" s="548"/>
      <c r="O55" s="549"/>
      <c r="P55" s="550"/>
      <c r="Q55" s="551"/>
      <c r="R55" s="552">
        <f t="shared" si="0"/>
        <v>9</v>
      </c>
      <c r="S55" s="552">
        <f t="shared" si="2"/>
        <v>72</v>
      </c>
    </row>
    <row r="56" spans="1:19" ht="20.25" customHeight="1">
      <c r="A56" s="554" t="s">
        <v>2555</v>
      </c>
      <c r="B56" s="555">
        <v>5</v>
      </c>
      <c r="C56" s="555">
        <v>0.8</v>
      </c>
      <c r="D56" s="559" t="s">
        <v>2554</v>
      </c>
      <c r="E56" s="554"/>
      <c r="F56" s="557"/>
      <c r="G56" s="557"/>
      <c r="H56" s="557">
        <v>1</v>
      </c>
      <c r="I56" s="557"/>
      <c r="J56" s="551"/>
      <c r="K56" s="551"/>
      <c r="L56" s="551"/>
      <c r="M56" s="547"/>
      <c r="N56" s="548"/>
      <c r="O56" s="549"/>
      <c r="P56" s="550"/>
      <c r="Q56" s="551"/>
      <c r="R56" s="552">
        <f t="shared" si="0"/>
        <v>1</v>
      </c>
      <c r="S56" s="552">
        <f t="shared" si="2"/>
        <v>4</v>
      </c>
    </row>
    <row r="57" spans="1:19">
      <c r="A57" s="554" t="s">
        <v>2556</v>
      </c>
      <c r="B57" s="555">
        <v>4.7</v>
      </c>
      <c r="C57" s="555">
        <v>0.8</v>
      </c>
      <c r="D57" s="559" t="s">
        <v>2557</v>
      </c>
      <c r="E57" s="554">
        <v>1</v>
      </c>
      <c r="F57" s="557"/>
      <c r="G57" s="557"/>
      <c r="H57" s="557"/>
      <c r="I57" s="557"/>
      <c r="J57" s="551"/>
      <c r="K57" s="551"/>
      <c r="L57" s="551"/>
      <c r="M57" s="547"/>
      <c r="N57" s="548"/>
      <c r="O57" s="549"/>
      <c r="P57" s="550"/>
      <c r="Q57" s="551"/>
      <c r="R57" s="552">
        <f t="shared" si="0"/>
        <v>1</v>
      </c>
      <c r="S57" s="552">
        <f t="shared" si="2"/>
        <v>3.7600000000000002</v>
      </c>
    </row>
    <row r="58" spans="1:19">
      <c r="A58" s="554" t="s">
        <v>2558</v>
      </c>
      <c r="B58" s="555">
        <v>3.95</v>
      </c>
      <c r="C58" s="555">
        <v>0.8</v>
      </c>
      <c r="D58" s="559" t="s">
        <v>2553</v>
      </c>
      <c r="E58" s="554">
        <v>1</v>
      </c>
      <c r="F58" s="557"/>
      <c r="G58" s="557"/>
      <c r="H58" s="557"/>
      <c r="I58" s="557"/>
      <c r="J58" s="551"/>
      <c r="K58" s="551"/>
      <c r="L58" s="551"/>
      <c r="M58" s="547"/>
      <c r="N58" s="548"/>
      <c r="O58" s="549"/>
      <c r="P58" s="550"/>
      <c r="Q58" s="551"/>
      <c r="R58" s="552">
        <f t="shared" si="0"/>
        <v>1</v>
      </c>
      <c r="S58" s="552">
        <f t="shared" si="2"/>
        <v>3.16</v>
      </c>
    </row>
    <row r="59" spans="1:19">
      <c r="A59" s="554" t="s">
        <v>2559</v>
      </c>
      <c r="B59" s="555">
        <v>2.65</v>
      </c>
      <c r="C59" s="555">
        <v>0.8</v>
      </c>
      <c r="D59" s="559" t="s">
        <v>2553</v>
      </c>
      <c r="E59" s="554">
        <v>1</v>
      </c>
      <c r="F59" s="557"/>
      <c r="G59" s="557"/>
      <c r="H59" s="557"/>
      <c r="I59" s="557"/>
      <c r="J59" s="551"/>
      <c r="K59" s="551"/>
      <c r="L59" s="551"/>
      <c r="M59" s="547"/>
      <c r="N59" s="548"/>
      <c r="O59" s="549"/>
      <c r="P59" s="550"/>
      <c r="Q59" s="551"/>
      <c r="R59" s="552">
        <f t="shared" si="0"/>
        <v>1</v>
      </c>
      <c r="S59" s="552">
        <f t="shared" si="2"/>
        <v>2.12</v>
      </c>
    </row>
    <row r="60" spans="1:19">
      <c r="A60" s="554" t="s">
        <v>2560</v>
      </c>
      <c r="B60" s="555">
        <v>3.95</v>
      </c>
      <c r="C60" s="555">
        <v>0.8</v>
      </c>
      <c r="D60" s="559" t="s">
        <v>2553</v>
      </c>
      <c r="E60" s="554">
        <v>1</v>
      </c>
      <c r="F60" s="557"/>
      <c r="G60" s="557"/>
      <c r="H60" s="557"/>
      <c r="I60" s="557"/>
      <c r="J60" s="551"/>
      <c r="K60" s="551"/>
      <c r="L60" s="551"/>
      <c r="M60" s="547"/>
      <c r="N60" s="548"/>
      <c r="O60" s="549"/>
      <c r="P60" s="550"/>
      <c r="Q60" s="551"/>
      <c r="R60" s="552">
        <f t="shared" si="0"/>
        <v>1</v>
      </c>
      <c r="S60" s="552">
        <f t="shared" si="2"/>
        <v>3.16</v>
      </c>
    </row>
    <row r="61" spans="1:19">
      <c r="A61" s="554" t="s">
        <v>2561</v>
      </c>
      <c r="B61" s="555">
        <v>2.72</v>
      </c>
      <c r="C61" s="555">
        <v>0.8</v>
      </c>
      <c r="D61" s="559" t="s">
        <v>2553</v>
      </c>
      <c r="E61" s="554">
        <v>1</v>
      </c>
      <c r="F61" s="557"/>
      <c r="G61" s="557"/>
      <c r="H61" s="557"/>
      <c r="I61" s="557"/>
      <c r="J61" s="551"/>
      <c r="K61" s="551"/>
      <c r="L61" s="551"/>
      <c r="M61" s="547"/>
      <c r="N61" s="548"/>
      <c r="O61" s="549"/>
      <c r="P61" s="550"/>
      <c r="Q61" s="551"/>
      <c r="R61" s="552">
        <f t="shared" si="0"/>
        <v>1</v>
      </c>
      <c r="S61" s="552">
        <f t="shared" si="2"/>
        <v>2.1760000000000002</v>
      </c>
    </row>
    <row r="62" spans="1:19">
      <c r="A62" s="554" t="s">
        <v>2562</v>
      </c>
      <c r="B62" s="555">
        <v>4</v>
      </c>
      <c r="C62" s="555">
        <v>0.8</v>
      </c>
      <c r="D62" s="559" t="s">
        <v>2553</v>
      </c>
      <c r="E62" s="554">
        <v>1</v>
      </c>
      <c r="F62" s="557"/>
      <c r="G62" s="557"/>
      <c r="H62" s="557"/>
      <c r="I62" s="557"/>
      <c r="J62" s="551"/>
      <c r="K62" s="551"/>
      <c r="L62" s="551"/>
      <c r="M62" s="547"/>
      <c r="N62" s="548"/>
      <c r="O62" s="549"/>
      <c r="P62" s="550"/>
      <c r="Q62" s="551"/>
      <c r="R62" s="552">
        <f t="shared" si="0"/>
        <v>1</v>
      </c>
      <c r="S62" s="552">
        <f t="shared" si="2"/>
        <v>3.2</v>
      </c>
    </row>
    <row r="63" spans="1:19">
      <c r="A63" s="554" t="s">
        <v>2563</v>
      </c>
      <c r="B63" s="555">
        <v>3.7</v>
      </c>
      <c r="C63" s="555">
        <v>0.8</v>
      </c>
      <c r="D63" s="559" t="s">
        <v>2553</v>
      </c>
      <c r="E63" s="554">
        <v>2</v>
      </c>
      <c r="F63" s="557"/>
      <c r="G63" s="557"/>
      <c r="H63" s="557"/>
      <c r="I63" s="557"/>
      <c r="J63" s="551"/>
      <c r="K63" s="551"/>
      <c r="L63" s="551"/>
      <c r="M63" s="547"/>
      <c r="N63" s="548"/>
      <c r="O63" s="549"/>
      <c r="P63" s="550"/>
      <c r="Q63" s="551"/>
      <c r="R63" s="552">
        <f t="shared" si="0"/>
        <v>2</v>
      </c>
      <c r="S63" s="552">
        <f t="shared" si="2"/>
        <v>5.9200000000000008</v>
      </c>
    </row>
    <row r="64" spans="1:19">
      <c r="A64" s="554" t="s">
        <v>2564</v>
      </c>
      <c r="B64" s="555">
        <v>7</v>
      </c>
      <c r="C64" s="555">
        <v>0.8</v>
      </c>
      <c r="D64" s="559" t="s">
        <v>2553</v>
      </c>
      <c r="E64" s="554">
        <v>1</v>
      </c>
      <c r="F64" s="557"/>
      <c r="G64" s="557"/>
      <c r="H64" s="557"/>
      <c r="I64" s="557"/>
      <c r="J64" s="551"/>
      <c r="K64" s="551"/>
      <c r="L64" s="551"/>
      <c r="M64" s="547"/>
      <c r="N64" s="548"/>
      <c r="O64" s="549"/>
      <c r="P64" s="550"/>
      <c r="Q64" s="551"/>
      <c r="R64" s="552">
        <f t="shared" si="0"/>
        <v>1</v>
      </c>
      <c r="S64" s="552">
        <f t="shared" si="2"/>
        <v>5.6000000000000005</v>
      </c>
    </row>
    <row r="65" spans="1:19">
      <c r="A65" s="554" t="s">
        <v>2565</v>
      </c>
      <c r="B65" s="555">
        <v>2.27</v>
      </c>
      <c r="C65" s="555">
        <v>0.8</v>
      </c>
      <c r="D65" s="559" t="s">
        <v>2553</v>
      </c>
      <c r="E65" s="554">
        <v>1</v>
      </c>
      <c r="F65" s="557">
        <v>2</v>
      </c>
      <c r="G65" s="557"/>
      <c r="H65" s="557"/>
      <c r="I65" s="557"/>
      <c r="J65" s="551"/>
      <c r="K65" s="551"/>
      <c r="L65" s="551"/>
      <c r="M65" s="547"/>
      <c r="N65" s="548"/>
      <c r="O65" s="549"/>
      <c r="P65" s="550"/>
      <c r="Q65" s="551"/>
      <c r="R65" s="552">
        <f t="shared" si="0"/>
        <v>3</v>
      </c>
      <c r="S65" s="552">
        <f t="shared" si="2"/>
        <v>5.4480000000000004</v>
      </c>
    </row>
    <row r="66" spans="1:19">
      <c r="A66" s="554" t="s">
        <v>2566</v>
      </c>
      <c r="B66" s="555">
        <v>3.63</v>
      </c>
      <c r="C66" s="555">
        <v>0.8</v>
      </c>
      <c r="D66" s="559" t="s">
        <v>2553</v>
      </c>
      <c r="E66" s="554">
        <v>1</v>
      </c>
      <c r="F66" s="557"/>
      <c r="G66" s="557"/>
      <c r="H66" s="557"/>
      <c r="I66" s="557"/>
      <c r="J66" s="551"/>
      <c r="K66" s="551"/>
      <c r="L66" s="551"/>
      <c r="M66" s="547"/>
      <c r="N66" s="548"/>
      <c r="O66" s="549"/>
      <c r="P66" s="550"/>
      <c r="Q66" s="551"/>
      <c r="R66" s="552">
        <f t="shared" si="0"/>
        <v>1</v>
      </c>
      <c r="S66" s="552">
        <f t="shared" si="2"/>
        <v>2.9039999999999999</v>
      </c>
    </row>
    <row r="67" spans="1:19">
      <c r="A67" s="554" t="s">
        <v>2567</v>
      </c>
      <c r="B67" s="555">
        <v>2.5</v>
      </c>
      <c r="C67" s="555">
        <v>0.8</v>
      </c>
      <c r="D67" s="559" t="s">
        <v>2553</v>
      </c>
      <c r="E67" s="554">
        <v>1</v>
      </c>
      <c r="F67" s="557"/>
      <c r="G67" s="557"/>
      <c r="H67" s="557"/>
      <c r="I67" s="557">
        <v>1</v>
      </c>
      <c r="J67" s="551"/>
      <c r="K67" s="551"/>
      <c r="L67" s="551"/>
      <c r="M67" s="547"/>
      <c r="N67" s="548"/>
      <c r="O67" s="549"/>
      <c r="P67" s="550"/>
      <c r="Q67" s="551"/>
      <c r="R67" s="552">
        <f t="shared" si="0"/>
        <v>2</v>
      </c>
      <c r="S67" s="552">
        <f t="shared" si="2"/>
        <v>4</v>
      </c>
    </row>
    <row r="68" spans="1:19">
      <c r="A68" s="554" t="s">
        <v>2568</v>
      </c>
      <c r="B68" s="555">
        <v>4</v>
      </c>
      <c r="C68" s="555">
        <v>0.8</v>
      </c>
      <c r="D68" s="559" t="s">
        <v>2553</v>
      </c>
      <c r="E68" s="554">
        <v>1</v>
      </c>
      <c r="F68" s="557"/>
      <c r="G68" s="557"/>
      <c r="H68" s="557"/>
      <c r="I68" s="557"/>
      <c r="J68" s="551"/>
      <c r="K68" s="551"/>
      <c r="L68" s="551"/>
      <c r="M68" s="547"/>
      <c r="N68" s="548"/>
      <c r="O68" s="549"/>
      <c r="P68" s="550"/>
      <c r="Q68" s="551"/>
      <c r="R68" s="552">
        <f t="shared" si="0"/>
        <v>1</v>
      </c>
      <c r="S68" s="552">
        <f t="shared" si="2"/>
        <v>3.2</v>
      </c>
    </row>
    <row r="69" spans="1:19">
      <c r="A69" s="554" t="s">
        <v>2569</v>
      </c>
      <c r="B69" s="555">
        <v>5.42</v>
      </c>
      <c r="C69" s="555">
        <v>0.8</v>
      </c>
      <c r="D69" s="559" t="s">
        <v>2553</v>
      </c>
      <c r="E69" s="554">
        <v>1</v>
      </c>
      <c r="F69" s="557"/>
      <c r="G69" s="557"/>
      <c r="H69" s="557"/>
      <c r="I69" s="557"/>
      <c r="J69" s="551"/>
      <c r="K69" s="551"/>
      <c r="L69" s="551"/>
      <c r="M69" s="547"/>
      <c r="N69" s="548"/>
      <c r="O69" s="549"/>
      <c r="P69" s="550"/>
      <c r="Q69" s="551"/>
      <c r="R69" s="552">
        <f t="shared" si="0"/>
        <v>1</v>
      </c>
      <c r="S69" s="552">
        <f t="shared" si="2"/>
        <v>4.3360000000000003</v>
      </c>
    </row>
    <row r="70" spans="1:19">
      <c r="A70" s="554" t="s">
        <v>2570</v>
      </c>
      <c r="B70" s="555">
        <v>5.28</v>
      </c>
      <c r="C70" s="555">
        <v>0.8</v>
      </c>
      <c r="D70" s="559" t="s">
        <v>2553</v>
      </c>
      <c r="E70" s="554">
        <v>1</v>
      </c>
      <c r="F70" s="557"/>
      <c r="G70" s="557"/>
      <c r="H70" s="557"/>
      <c r="I70" s="557"/>
      <c r="J70" s="551"/>
      <c r="K70" s="551"/>
      <c r="L70" s="551"/>
      <c r="M70" s="547"/>
      <c r="N70" s="548"/>
      <c r="O70" s="549"/>
      <c r="P70" s="550"/>
      <c r="Q70" s="551"/>
      <c r="R70" s="552">
        <f t="shared" si="0"/>
        <v>1</v>
      </c>
      <c r="S70" s="552">
        <f t="shared" si="2"/>
        <v>4.2240000000000002</v>
      </c>
    </row>
    <row r="71" spans="1:19">
      <c r="A71" s="554" t="s">
        <v>2571</v>
      </c>
      <c r="B71" s="555">
        <v>12.97</v>
      </c>
      <c r="C71" s="555">
        <v>0.8</v>
      </c>
      <c r="D71" s="559" t="s">
        <v>2553</v>
      </c>
      <c r="E71" s="554">
        <v>1</v>
      </c>
      <c r="F71" s="557"/>
      <c r="G71" s="557"/>
      <c r="H71" s="557"/>
      <c r="I71" s="557"/>
      <c r="J71" s="551"/>
      <c r="K71" s="551"/>
      <c r="L71" s="551"/>
      <c r="M71" s="547"/>
      <c r="N71" s="548"/>
      <c r="O71" s="549"/>
      <c r="P71" s="550"/>
      <c r="Q71" s="551"/>
      <c r="R71" s="552">
        <f t="shared" si="0"/>
        <v>1</v>
      </c>
      <c r="S71" s="552">
        <f t="shared" si="2"/>
        <v>10.376000000000001</v>
      </c>
    </row>
    <row r="72" spans="1:19">
      <c r="A72" s="554" t="s">
        <v>2572</v>
      </c>
      <c r="B72" s="555">
        <v>5</v>
      </c>
      <c r="C72" s="555">
        <v>0.8</v>
      </c>
      <c r="D72" s="559" t="s">
        <v>2553</v>
      </c>
      <c r="E72" s="554">
        <v>2</v>
      </c>
      <c r="F72" s="557"/>
      <c r="G72" s="557"/>
      <c r="H72" s="557"/>
      <c r="I72" s="557"/>
      <c r="J72" s="551"/>
      <c r="K72" s="551"/>
      <c r="L72" s="551"/>
      <c r="M72" s="547"/>
      <c r="N72" s="548"/>
      <c r="O72" s="549"/>
      <c r="P72" s="550"/>
      <c r="Q72" s="551"/>
      <c r="R72" s="552">
        <f t="shared" si="0"/>
        <v>2</v>
      </c>
      <c r="S72" s="552">
        <f t="shared" si="2"/>
        <v>8</v>
      </c>
    </row>
    <row r="73" spans="1:19">
      <c r="A73" s="554" t="s">
        <v>2573</v>
      </c>
      <c r="B73" s="555">
        <v>4.1900000000000004</v>
      </c>
      <c r="C73" s="555">
        <v>0.8</v>
      </c>
      <c r="D73" s="559" t="s">
        <v>2553</v>
      </c>
      <c r="E73" s="554">
        <v>1</v>
      </c>
      <c r="F73" s="557"/>
      <c r="G73" s="557"/>
      <c r="H73" s="557"/>
      <c r="I73" s="557"/>
      <c r="J73" s="551"/>
      <c r="K73" s="551"/>
      <c r="L73" s="551"/>
      <c r="M73" s="547"/>
      <c r="N73" s="548"/>
      <c r="O73" s="549"/>
      <c r="P73" s="550"/>
      <c r="Q73" s="551"/>
      <c r="R73" s="552">
        <f t="shared" si="0"/>
        <v>1</v>
      </c>
      <c r="S73" s="552">
        <f t="shared" si="2"/>
        <v>3.3520000000000003</v>
      </c>
    </row>
    <row r="74" spans="1:19">
      <c r="A74" s="554" t="s">
        <v>2574</v>
      </c>
      <c r="B74" s="555">
        <v>6.5</v>
      </c>
      <c r="C74" s="555">
        <v>0.8</v>
      </c>
      <c r="D74" s="559" t="s">
        <v>2553</v>
      </c>
      <c r="E74" s="554">
        <v>1</v>
      </c>
      <c r="F74" s="557"/>
      <c r="G74" s="557"/>
      <c r="H74" s="557"/>
      <c r="I74" s="557"/>
      <c r="J74" s="551"/>
      <c r="K74" s="551"/>
      <c r="L74" s="551"/>
      <c r="M74" s="547"/>
      <c r="N74" s="548"/>
      <c r="O74" s="549"/>
      <c r="P74" s="550"/>
      <c r="Q74" s="551"/>
      <c r="R74" s="552">
        <f t="shared" si="0"/>
        <v>1</v>
      </c>
      <c r="S74" s="552">
        <f t="shared" si="2"/>
        <v>5.2</v>
      </c>
    </row>
    <row r="75" spans="1:19">
      <c r="A75" s="554" t="s">
        <v>2575</v>
      </c>
      <c r="B75" s="555">
        <v>2.39</v>
      </c>
      <c r="C75" s="555">
        <v>0.8</v>
      </c>
      <c r="D75" s="559" t="s">
        <v>2553</v>
      </c>
      <c r="E75" s="554">
        <v>1</v>
      </c>
      <c r="F75" s="557"/>
      <c r="G75" s="557"/>
      <c r="H75" s="557"/>
      <c r="I75" s="557"/>
      <c r="J75" s="551"/>
      <c r="K75" s="551"/>
      <c r="L75" s="551"/>
      <c r="M75" s="547"/>
      <c r="N75" s="548"/>
      <c r="O75" s="549"/>
      <c r="P75" s="550"/>
      <c r="Q75" s="551"/>
      <c r="R75" s="552">
        <f t="shared" si="0"/>
        <v>1</v>
      </c>
      <c r="S75" s="552">
        <f t="shared" si="2"/>
        <v>1.9120000000000001</v>
      </c>
    </row>
    <row r="76" spans="1:19">
      <c r="A76" s="554" t="s">
        <v>2576</v>
      </c>
      <c r="B76" s="555">
        <v>7.36</v>
      </c>
      <c r="C76" s="555">
        <v>0.8</v>
      </c>
      <c r="D76" s="559" t="s">
        <v>2553</v>
      </c>
      <c r="E76" s="554">
        <v>1</v>
      </c>
      <c r="F76" s="557"/>
      <c r="G76" s="557"/>
      <c r="H76" s="557"/>
      <c r="I76" s="557"/>
      <c r="J76" s="551"/>
      <c r="K76" s="551"/>
      <c r="L76" s="551"/>
      <c r="M76" s="547"/>
      <c r="N76" s="548"/>
      <c r="O76" s="549"/>
      <c r="P76" s="550"/>
      <c r="Q76" s="551"/>
      <c r="R76" s="552">
        <f t="shared" si="0"/>
        <v>1</v>
      </c>
      <c r="S76" s="552">
        <f t="shared" si="2"/>
        <v>5.8880000000000008</v>
      </c>
    </row>
    <row r="77" spans="1:19">
      <c r="A77" s="554" t="s">
        <v>2577</v>
      </c>
      <c r="B77" s="555">
        <v>0.8</v>
      </c>
      <c r="C77" s="555">
        <v>0.8</v>
      </c>
      <c r="D77" s="559" t="s">
        <v>2553</v>
      </c>
      <c r="E77" s="554">
        <v>2</v>
      </c>
      <c r="F77" s="557"/>
      <c r="G77" s="557"/>
      <c r="H77" s="557"/>
      <c r="I77" s="557"/>
      <c r="J77" s="551"/>
      <c r="K77" s="551"/>
      <c r="L77" s="551"/>
      <c r="M77" s="547"/>
      <c r="N77" s="548"/>
      <c r="O77" s="549"/>
      <c r="P77" s="550"/>
      <c r="Q77" s="551"/>
      <c r="R77" s="552">
        <f t="shared" si="0"/>
        <v>2</v>
      </c>
      <c r="S77" s="552">
        <f t="shared" si="2"/>
        <v>1.2800000000000002</v>
      </c>
    </row>
    <row r="78" spans="1:19">
      <c r="A78" s="554" t="s">
        <v>2578</v>
      </c>
      <c r="B78" s="555">
        <v>3.38</v>
      </c>
      <c r="C78" s="555">
        <v>0.8</v>
      </c>
      <c r="D78" s="559" t="s">
        <v>2553</v>
      </c>
      <c r="E78" s="554">
        <v>1</v>
      </c>
      <c r="F78" s="557"/>
      <c r="G78" s="557"/>
      <c r="H78" s="557"/>
      <c r="I78" s="557"/>
      <c r="J78" s="551"/>
      <c r="K78" s="551"/>
      <c r="L78" s="551"/>
      <c r="M78" s="547"/>
      <c r="N78" s="548"/>
      <c r="O78" s="549"/>
      <c r="P78" s="550"/>
      <c r="Q78" s="551"/>
      <c r="R78" s="552">
        <f t="shared" si="0"/>
        <v>1</v>
      </c>
      <c r="S78" s="552">
        <f t="shared" si="2"/>
        <v>2.7040000000000002</v>
      </c>
    </row>
    <row r="79" spans="1:19">
      <c r="A79" s="554" t="s">
        <v>2579</v>
      </c>
      <c r="B79" s="555">
        <v>7.5</v>
      </c>
      <c r="C79" s="555">
        <v>1.6</v>
      </c>
      <c r="D79" s="559" t="s">
        <v>2580</v>
      </c>
      <c r="E79" s="554"/>
      <c r="F79" s="557">
        <v>1</v>
      </c>
      <c r="G79" s="557"/>
      <c r="H79" s="557"/>
      <c r="I79" s="557"/>
      <c r="J79" s="551"/>
      <c r="K79" s="551"/>
      <c r="L79" s="551"/>
      <c r="M79" s="547"/>
      <c r="N79" s="548"/>
      <c r="O79" s="549"/>
      <c r="P79" s="550"/>
      <c r="Q79" s="551"/>
      <c r="R79" s="552">
        <f t="shared" si="0"/>
        <v>1</v>
      </c>
      <c r="S79" s="552">
        <f t="shared" si="2"/>
        <v>12</v>
      </c>
    </row>
    <row r="80" spans="1:19">
      <c r="A80" s="554" t="s">
        <v>2581</v>
      </c>
      <c r="B80" s="555">
        <v>1.6</v>
      </c>
      <c r="C80" s="555">
        <v>0.8</v>
      </c>
      <c r="D80" s="559" t="s">
        <v>2580</v>
      </c>
      <c r="E80" s="554"/>
      <c r="F80" s="557">
        <v>6</v>
      </c>
      <c r="G80" s="557">
        <v>2</v>
      </c>
      <c r="H80" s="557"/>
      <c r="I80" s="557">
        <v>1</v>
      </c>
      <c r="J80" s="551">
        <f>6*3</f>
        <v>18</v>
      </c>
      <c r="K80" s="551"/>
      <c r="L80" s="551"/>
      <c r="M80" s="547"/>
      <c r="N80" s="548"/>
      <c r="O80" s="549"/>
      <c r="P80" s="550"/>
      <c r="Q80" s="551"/>
      <c r="R80" s="552">
        <f t="shared" si="0"/>
        <v>27</v>
      </c>
      <c r="S80" s="552">
        <f t="shared" si="2"/>
        <v>34.56</v>
      </c>
    </row>
    <row r="81" spans="1:19" ht="27.6">
      <c r="A81" s="554" t="s">
        <v>2582</v>
      </c>
      <c r="B81" s="558">
        <v>11.77</v>
      </c>
      <c r="C81" s="558">
        <v>0.8</v>
      </c>
      <c r="D81" s="559" t="s">
        <v>2583</v>
      </c>
      <c r="E81" s="554"/>
      <c r="F81" s="557"/>
      <c r="G81" s="557"/>
      <c r="H81" s="557"/>
      <c r="I81" s="557">
        <v>1</v>
      </c>
      <c r="J81" s="551"/>
      <c r="K81" s="551"/>
      <c r="L81" s="551"/>
      <c r="M81" s="547"/>
      <c r="N81" s="548"/>
      <c r="O81" s="549"/>
      <c r="P81" s="550"/>
      <c r="Q81" s="551"/>
      <c r="R81" s="552">
        <f t="shared" si="0"/>
        <v>1</v>
      </c>
      <c r="S81" s="552">
        <f t="shared" si="2"/>
        <v>9.4160000000000004</v>
      </c>
    </row>
    <row r="82" spans="1:19" ht="29.25" customHeight="1">
      <c r="A82" s="554" t="s">
        <v>2584</v>
      </c>
      <c r="B82" s="558">
        <v>1.51</v>
      </c>
      <c r="C82" s="558">
        <v>0.8</v>
      </c>
      <c r="D82" s="559" t="s">
        <v>2583</v>
      </c>
      <c r="E82" s="554"/>
      <c r="F82" s="557"/>
      <c r="G82" s="557"/>
      <c r="H82" s="557"/>
      <c r="I82" s="557"/>
      <c r="J82" s="551">
        <f>1*3</f>
        <v>3</v>
      </c>
      <c r="K82" s="551"/>
      <c r="L82" s="551"/>
      <c r="M82" s="547"/>
      <c r="N82" s="548"/>
      <c r="O82" s="549"/>
      <c r="P82" s="550"/>
      <c r="Q82" s="551"/>
      <c r="R82" s="552">
        <f t="shared" si="0"/>
        <v>3</v>
      </c>
      <c r="S82" s="552">
        <f t="shared" si="2"/>
        <v>3.6240000000000006</v>
      </c>
    </row>
    <row r="83" spans="1:19" ht="29.25" customHeight="1">
      <c r="A83" s="554"/>
      <c r="B83" s="558">
        <v>35.799999999999997</v>
      </c>
      <c r="C83" s="558">
        <v>1.74</v>
      </c>
      <c r="D83" s="559" t="s">
        <v>2583</v>
      </c>
      <c r="E83" s="554"/>
      <c r="F83" s="557"/>
      <c r="G83" s="557"/>
      <c r="H83" s="557"/>
      <c r="I83" s="557"/>
      <c r="J83" s="551"/>
      <c r="K83" s="551"/>
      <c r="L83" s="551"/>
      <c r="M83" s="547">
        <v>1</v>
      </c>
      <c r="N83" s="548"/>
      <c r="O83" s="549"/>
      <c r="P83" s="550"/>
      <c r="Q83" s="551"/>
      <c r="R83" s="552">
        <f t="shared" si="0"/>
        <v>1</v>
      </c>
      <c r="S83" s="552">
        <f t="shared" si="2"/>
        <v>62.291999999999994</v>
      </c>
    </row>
    <row r="84" spans="1:19">
      <c r="A84" s="554" t="s">
        <v>2585</v>
      </c>
      <c r="B84" s="555">
        <v>4.87</v>
      </c>
      <c r="C84" s="555">
        <v>0.8</v>
      </c>
      <c r="D84" s="559" t="s">
        <v>2553</v>
      </c>
      <c r="E84" s="554"/>
      <c r="F84" s="557"/>
      <c r="G84" s="557">
        <v>1</v>
      </c>
      <c r="H84" s="557"/>
      <c r="I84" s="557"/>
      <c r="J84" s="551"/>
      <c r="K84" s="551"/>
      <c r="L84" s="551"/>
      <c r="M84" s="547"/>
      <c r="N84" s="548"/>
      <c r="O84" s="549"/>
      <c r="P84" s="550"/>
      <c r="Q84" s="551"/>
      <c r="R84" s="552">
        <f t="shared" ref="R84:R147" si="3">SUM(E84:Q84)</f>
        <v>1</v>
      </c>
      <c r="S84" s="552">
        <f t="shared" si="2"/>
        <v>3.8960000000000004</v>
      </c>
    </row>
    <row r="85" spans="1:19">
      <c r="A85" s="554" t="s">
        <v>2586</v>
      </c>
      <c r="B85" s="555">
        <v>4.95</v>
      </c>
      <c r="C85" s="555">
        <v>0.8</v>
      </c>
      <c r="D85" s="559" t="s">
        <v>2553</v>
      </c>
      <c r="E85" s="554"/>
      <c r="F85" s="557"/>
      <c r="G85" s="557">
        <v>1</v>
      </c>
      <c r="H85" s="557"/>
      <c r="I85" s="557"/>
      <c r="J85" s="551"/>
      <c r="K85" s="551"/>
      <c r="L85" s="551"/>
      <c r="M85" s="547"/>
      <c r="N85" s="548"/>
      <c r="O85" s="549"/>
      <c r="P85" s="550"/>
      <c r="Q85" s="551"/>
      <c r="R85" s="552">
        <f t="shared" si="3"/>
        <v>1</v>
      </c>
      <c r="S85" s="552">
        <f t="shared" si="2"/>
        <v>3.9600000000000004</v>
      </c>
    </row>
    <row r="86" spans="1:19">
      <c r="A86" s="554" t="s">
        <v>2587</v>
      </c>
      <c r="B86" s="555">
        <v>4.3</v>
      </c>
      <c r="C86" s="555">
        <v>0.8</v>
      </c>
      <c r="D86" s="559" t="s">
        <v>2553</v>
      </c>
      <c r="E86" s="554"/>
      <c r="F86" s="557"/>
      <c r="G86" s="557">
        <v>1</v>
      </c>
      <c r="H86" s="557"/>
      <c r="I86" s="557"/>
      <c r="J86" s="551"/>
      <c r="K86" s="551"/>
      <c r="L86" s="551"/>
      <c r="M86" s="547"/>
      <c r="N86" s="548"/>
      <c r="O86" s="549"/>
      <c r="P86" s="550"/>
      <c r="Q86" s="551"/>
      <c r="R86" s="552">
        <f t="shared" si="3"/>
        <v>1</v>
      </c>
      <c r="S86" s="552">
        <f t="shared" si="2"/>
        <v>3.44</v>
      </c>
    </row>
    <row r="87" spans="1:19">
      <c r="A87" s="554" t="s">
        <v>2588</v>
      </c>
      <c r="B87" s="555">
        <v>13.43</v>
      </c>
      <c r="C87" s="555">
        <v>0.8</v>
      </c>
      <c r="D87" s="559" t="s">
        <v>2553</v>
      </c>
      <c r="E87" s="554"/>
      <c r="F87" s="557"/>
      <c r="G87" s="557"/>
      <c r="H87" s="557">
        <v>2</v>
      </c>
      <c r="I87" s="557"/>
      <c r="J87" s="551"/>
      <c r="K87" s="551"/>
      <c r="L87" s="551"/>
      <c r="M87" s="547"/>
      <c r="N87" s="548"/>
      <c r="O87" s="549"/>
      <c r="P87" s="550"/>
      <c r="Q87" s="551"/>
      <c r="R87" s="552">
        <f t="shared" si="3"/>
        <v>2</v>
      </c>
      <c r="S87" s="552">
        <f t="shared" si="2"/>
        <v>21.488</v>
      </c>
    </row>
    <row r="88" spans="1:19" ht="27.6">
      <c r="A88" s="554" t="s">
        <v>2589</v>
      </c>
      <c r="B88" s="555">
        <v>3.24</v>
      </c>
      <c r="C88" s="555">
        <v>0.8</v>
      </c>
      <c r="D88" s="559" t="s">
        <v>2590</v>
      </c>
      <c r="E88" s="554"/>
      <c r="F88" s="557"/>
      <c r="G88" s="557"/>
      <c r="H88" s="557"/>
      <c r="I88" s="557"/>
      <c r="J88" s="551"/>
      <c r="K88" s="551">
        <v>4</v>
      </c>
      <c r="L88" s="551"/>
      <c r="M88" s="547"/>
      <c r="N88" s="548"/>
      <c r="O88" s="549"/>
      <c r="P88" s="550"/>
      <c r="Q88" s="551"/>
      <c r="R88" s="552">
        <f t="shared" si="3"/>
        <v>4</v>
      </c>
      <c r="S88" s="552">
        <f t="shared" si="2"/>
        <v>10.368000000000002</v>
      </c>
    </row>
    <row r="89" spans="1:19">
      <c r="A89" s="554" t="s">
        <v>2591</v>
      </c>
      <c r="B89" s="555">
        <v>5.5</v>
      </c>
      <c r="C89" s="555">
        <v>0.8</v>
      </c>
      <c r="D89" s="559" t="s">
        <v>2553</v>
      </c>
      <c r="E89" s="554">
        <v>1</v>
      </c>
      <c r="F89" s="557"/>
      <c r="G89" s="557"/>
      <c r="H89" s="557"/>
      <c r="I89" s="557"/>
      <c r="J89" s="551"/>
      <c r="K89" s="551"/>
      <c r="L89" s="551"/>
      <c r="M89" s="547"/>
      <c r="N89" s="548"/>
      <c r="O89" s="549"/>
      <c r="P89" s="550"/>
      <c r="Q89" s="551"/>
      <c r="R89" s="552">
        <f t="shared" si="3"/>
        <v>1</v>
      </c>
      <c r="S89" s="552">
        <f t="shared" si="2"/>
        <v>4.4000000000000004</v>
      </c>
    </row>
    <row r="90" spans="1:19">
      <c r="A90" s="554" t="s">
        <v>2592</v>
      </c>
      <c r="B90" s="555">
        <v>3</v>
      </c>
      <c r="C90" s="555">
        <v>0.8</v>
      </c>
      <c r="D90" s="559" t="s">
        <v>2553</v>
      </c>
      <c r="E90" s="554">
        <v>4</v>
      </c>
      <c r="F90" s="557"/>
      <c r="G90" s="557"/>
      <c r="H90" s="557"/>
      <c r="I90" s="557"/>
      <c r="J90" s="551"/>
      <c r="K90" s="551"/>
      <c r="L90" s="551"/>
      <c r="M90" s="547"/>
      <c r="N90" s="548"/>
      <c r="O90" s="549"/>
      <c r="P90" s="550"/>
      <c r="Q90" s="551"/>
      <c r="R90" s="552">
        <f t="shared" si="3"/>
        <v>4</v>
      </c>
      <c r="S90" s="552">
        <f t="shared" si="2"/>
        <v>9.6000000000000014</v>
      </c>
    </row>
    <row r="91" spans="1:19">
      <c r="A91" s="554" t="s">
        <v>2593</v>
      </c>
      <c r="B91" s="555">
        <v>8.5500000000000007</v>
      </c>
      <c r="C91" s="555">
        <v>0.8</v>
      </c>
      <c r="D91" s="559" t="s">
        <v>2553</v>
      </c>
      <c r="E91" s="554">
        <v>1</v>
      </c>
      <c r="F91" s="557"/>
      <c r="G91" s="557"/>
      <c r="H91" s="557"/>
      <c r="I91" s="557"/>
      <c r="J91" s="551"/>
      <c r="K91" s="551"/>
      <c r="L91" s="551"/>
      <c r="M91" s="547"/>
      <c r="N91" s="548"/>
      <c r="O91" s="549"/>
      <c r="P91" s="550"/>
      <c r="Q91" s="551"/>
      <c r="R91" s="552">
        <f t="shared" si="3"/>
        <v>1</v>
      </c>
      <c r="S91" s="552">
        <f t="shared" si="2"/>
        <v>6.8400000000000007</v>
      </c>
    </row>
    <row r="92" spans="1:19">
      <c r="A92" s="554" t="s">
        <v>2594</v>
      </c>
      <c r="B92" s="555">
        <v>1</v>
      </c>
      <c r="C92" s="555">
        <v>0.8</v>
      </c>
      <c r="D92" s="559" t="s">
        <v>2553</v>
      </c>
      <c r="E92" s="554"/>
      <c r="F92" s="557"/>
      <c r="G92" s="557"/>
      <c r="H92" s="557">
        <v>2</v>
      </c>
      <c r="I92" s="557"/>
      <c r="J92" s="551"/>
      <c r="K92" s="551"/>
      <c r="L92" s="551"/>
      <c r="M92" s="547"/>
      <c r="N92" s="548"/>
      <c r="O92" s="549"/>
      <c r="P92" s="550"/>
      <c r="Q92" s="551"/>
      <c r="R92" s="552">
        <f t="shared" si="3"/>
        <v>2</v>
      </c>
      <c r="S92" s="552">
        <f t="shared" si="2"/>
        <v>1.6</v>
      </c>
    </row>
    <row r="93" spans="1:19" ht="27.6">
      <c r="A93" s="554" t="s">
        <v>2595</v>
      </c>
      <c r="B93" s="555">
        <v>1</v>
      </c>
      <c r="C93" s="555">
        <v>1.5</v>
      </c>
      <c r="D93" s="559" t="s">
        <v>2596</v>
      </c>
      <c r="E93" s="554"/>
      <c r="F93" s="557">
        <f>6+22+4+12+8+4+9</f>
        <v>65</v>
      </c>
      <c r="G93" s="557">
        <f>6+6+12+4+35+4+9+12</f>
        <v>88</v>
      </c>
      <c r="H93" s="557">
        <f>26+4+2+2+6+10+6+3+4+9+8</f>
        <v>80</v>
      </c>
      <c r="I93" s="557">
        <f>5+24+4+21+8+4+1+6+12</f>
        <v>85</v>
      </c>
      <c r="J93" s="551">
        <f>67*3</f>
        <v>201</v>
      </c>
      <c r="K93" s="551">
        <f>30+4+12+8+4+9+12</f>
        <v>79</v>
      </c>
      <c r="L93" s="551"/>
      <c r="M93" s="547"/>
      <c r="N93" s="548"/>
      <c r="O93" s="549"/>
      <c r="P93" s="550"/>
      <c r="Q93" s="551"/>
      <c r="R93" s="552">
        <f t="shared" si="3"/>
        <v>598</v>
      </c>
      <c r="S93" s="552">
        <f t="shared" si="2"/>
        <v>897</v>
      </c>
    </row>
    <row r="94" spans="1:19" ht="27.6">
      <c r="A94" s="554" t="s">
        <v>2597</v>
      </c>
      <c r="B94" s="555">
        <v>1</v>
      </c>
      <c r="C94" s="555">
        <v>1.5</v>
      </c>
      <c r="D94" s="559" t="s">
        <v>2596</v>
      </c>
      <c r="E94" s="554"/>
      <c r="F94" s="557">
        <v>15</v>
      </c>
      <c r="G94" s="557">
        <v>4</v>
      </c>
      <c r="H94" s="557">
        <f>4+2+2+2+4</f>
        <v>14</v>
      </c>
      <c r="I94" s="557">
        <v>9</v>
      </c>
      <c r="J94" s="551">
        <f>27*3</f>
        <v>81</v>
      </c>
      <c r="K94" s="551">
        <f>15</f>
        <v>15</v>
      </c>
      <c r="L94" s="551"/>
      <c r="M94" s="547"/>
      <c r="N94" s="548"/>
      <c r="O94" s="549"/>
      <c r="P94" s="550"/>
      <c r="Q94" s="551"/>
      <c r="R94" s="552">
        <f t="shared" si="3"/>
        <v>138</v>
      </c>
      <c r="S94" s="552">
        <f t="shared" si="2"/>
        <v>207</v>
      </c>
    </row>
    <row r="95" spans="1:19">
      <c r="A95" s="554" t="s">
        <v>2598</v>
      </c>
      <c r="B95" s="555">
        <v>4.8899999999999997</v>
      </c>
      <c r="C95" s="555">
        <v>1.6</v>
      </c>
      <c r="D95" s="559" t="s">
        <v>2554</v>
      </c>
      <c r="E95" s="554"/>
      <c r="F95" s="557">
        <v>2</v>
      </c>
      <c r="G95" s="557"/>
      <c r="H95" s="557"/>
      <c r="I95" s="557"/>
      <c r="J95" s="551">
        <f>2*3</f>
        <v>6</v>
      </c>
      <c r="K95" s="551"/>
      <c r="L95" s="551"/>
      <c r="M95" s="547"/>
      <c r="N95" s="548"/>
      <c r="O95" s="549"/>
      <c r="P95" s="550"/>
      <c r="Q95" s="551"/>
      <c r="R95" s="552">
        <f t="shared" si="3"/>
        <v>8</v>
      </c>
      <c r="S95" s="552">
        <f t="shared" si="2"/>
        <v>62.591999999999999</v>
      </c>
    </row>
    <row r="96" spans="1:19">
      <c r="A96" s="554" t="s">
        <v>2599</v>
      </c>
      <c r="B96" s="555">
        <v>4.5</v>
      </c>
      <c r="C96" s="555">
        <v>0.8</v>
      </c>
      <c r="D96" s="559" t="s">
        <v>2554</v>
      </c>
      <c r="E96" s="554"/>
      <c r="F96" s="557"/>
      <c r="G96" s="557"/>
      <c r="H96" s="557"/>
      <c r="I96" s="557"/>
      <c r="J96" s="551">
        <f>1*3</f>
        <v>3</v>
      </c>
      <c r="K96" s="551"/>
      <c r="L96" s="551"/>
      <c r="M96" s="547"/>
      <c r="N96" s="548"/>
      <c r="O96" s="549"/>
      <c r="P96" s="550"/>
      <c r="Q96" s="551"/>
      <c r="R96" s="552">
        <f t="shared" si="3"/>
        <v>3</v>
      </c>
      <c r="S96" s="552">
        <f t="shared" si="2"/>
        <v>10.8</v>
      </c>
    </row>
    <row r="97" spans="1:19" ht="33.75" customHeight="1">
      <c r="A97" s="554" t="s">
        <v>2600</v>
      </c>
      <c r="B97" s="555">
        <v>4.45</v>
      </c>
      <c r="C97" s="555">
        <v>0.8</v>
      </c>
      <c r="D97" s="559" t="s">
        <v>2583</v>
      </c>
      <c r="E97" s="554"/>
      <c r="F97" s="557"/>
      <c r="G97" s="557">
        <v>1</v>
      </c>
      <c r="H97" s="557"/>
      <c r="I97" s="557"/>
      <c r="J97" s="551">
        <f>1*3</f>
        <v>3</v>
      </c>
      <c r="K97" s="551"/>
      <c r="L97" s="551"/>
      <c r="M97" s="547"/>
      <c r="N97" s="548"/>
      <c r="O97" s="549"/>
      <c r="P97" s="550"/>
      <c r="Q97" s="551"/>
      <c r="R97" s="552">
        <f t="shared" si="3"/>
        <v>4</v>
      </c>
      <c r="S97" s="552">
        <f t="shared" si="2"/>
        <v>14.240000000000002</v>
      </c>
    </row>
    <row r="98" spans="1:19">
      <c r="A98" s="554" t="s">
        <v>2601</v>
      </c>
      <c r="B98" s="555">
        <v>1.53</v>
      </c>
      <c r="C98" s="555">
        <v>0.8</v>
      </c>
      <c r="D98" s="559" t="s">
        <v>2580</v>
      </c>
      <c r="E98" s="554"/>
      <c r="F98" s="557"/>
      <c r="G98" s="557"/>
      <c r="H98" s="557"/>
      <c r="I98" s="557"/>
      <c r="J98" s="551">
        <f>1*3</f>
        <v>3</v>
      </c>
      <c r="K98" s="551"/>
      <c r="L98" s="551"/>
      <c r="M98" s="547"/>
      <c r="N98" s="548"/>
      <c r="O98" s="549"/>
      <c r="P98" s="550"/>
      <c r="Q98" s="551"/>
      <c r="R98" s="552">
        <f t="shared" si="3"/>
        <v>3</v>
      </c>
      <c r="S98" s="552">
        <f t="shared" si="2"/>
        <v>3.6720000000000002</v>
      </c>
    </row>
    <row r="99" spans="1:19">
      <c r="A99" s="554" t="s">
        <v>2602</v>
      </c>
      <c r="B99" s="555">
        <v>3.43</v>
      </c>
      <c r="C99" s="555">
        <v>0.8</v>
      </c>
      <c r="D99" s="559" t="s">
        <v>2580</v>
      </c>
      <c r="E99" s="554"/>
      <c r="F99" s="557"/>
      <c r="G99" s="557"/>
      <c r="H99" s="557"/>
      <c r="I99" s="557"/>
      <c r="J99" s="551"/>
      <c r="K99" s="551"/>
      <c r="L99" s="551"/>
      <c r="M99" s="547"/>
      <c r="N99" s="548"/>
      <c r="O99" s="549"/>
      <c r="P99" s="550"/>
      <c r="Q99" s="551"/>
      <c r="R99" s="552">
        <f t="shared" si="3"/>
        <v>0</v>
      </c>
      <c r="S99" s="552">
        <f t="shared" si="2"/>
        <v>0</v>
      </c>
    </row>
    <row r="100" spans="1:19" ht="30" customHeight="1">
      <c r="A100" s="554" t="s">
        <v>2603</v>
      </c>
      <c r="B100" s="555">
        <v>2.84</v>
      </c>
      <c r="C100" s="555">
        <v>0.8</v>
      </c>
      <c r="D100" s="559" t="s">
        <v>2583</v>
      </c>
      <c r="E100" s="554"/>
      <c r="F100" s="557"/>
      <c r="G100" s="557"/>
      <c r="H100" s="557"/>
      <c r="I100" s="557"/>
      <c r="J100" s="551">
        <f>1*3</f>
        <v>3</v>
      </c>
      <c r="K100" s="551"/>
      <c r="L100" s="551"/>
      <c r="M100" s="547"/>
      <c r="N100" s="548"/>
      <c r="O100" s="549"/>
      <c r="P100" s="550"/>
      <c r="Q100" s="551"/>
      <c r="R100" s="552">
        <f t="shared" si="3"/>
        <v>3</v>
      </c>
      <c r="S100" s="552">
        <f t="shared" si="2"/>
        <v>6.8159999999999998</v>
      </c>
    </row>
    <row r="101" spans="1:19">
      <c r="A101" s="554" t="s">
        <v>2604</v>
      </c>
      <c r="B101" s="555"/>
      <c r="C101" s="555"/>
      <c r="D101" s="554"/>
      <c r="E101" s="554"/>
      <c r="F101" s="557"/>
      <c r="G101" s="557"/>
      <c r="H101" s="557"/>
      <c r="I101" s="557"/>
      <c r="J101" s="551"/>
      <c r="K101" s="551"/>
      <c r="L101" s="551"/>
      <c r="M101" s="547"/>
      <c r="N101" s="548"/>
      <c r="O101" s="549"/>
      <c r="P101" s="550"/>
      <c r="Q101" s="551"/>
      <c r="R101" s="552">
        <f t="shared" si="3"/>
        <v>0</v>
      </c>
      <c r="S101" s="552">
        <f t="shared" si="2"/>
        <v>0</v>
      </c>
    </row>
    <row r="102" spans="1:19">
      <c r="A102" s="554" t="s">
        <v>2605</v>
      </c>
      <c r="B102" s="555">
        <v>8.1999999999999993</v>
      </c>
      <c r="C102" s="555">
        <v>0.8</v>
      </c>
      <c r="D102" s="559" t="s">
        <v>2580</v>
      </c>
      <c r="E102" s="554"/>
      <c r="F102" s="557"/>
      <c r="G102" s="557">
        <v>1</v>
      </c>
      <c r="H102" s="557"/>
      <c r="I102" s="557"/>
      <c r="J102" s="551"/>
      <c r="K102" s="551"/>
      <c r="L102" s="551"/>
      <c r="M102" s="547"/>
      <c r="N102" s="548"/>
      <c r="O102" s="549"/>
      <c r="P102" s="550"/>
      <c r="Q102" s="551"/>
      <c r="R102" s="552">
        <f t="shared" si="3"/>
        <v>1</v>
      </c>
      <c r="S102" s="552">
        <f t="shared" si="2"/>
        <v>6.56</v>
      </c>
    </row>
    <row r="103" spans="1:19" ht="33.75" customHeight="1">
      <c r="A103" s="554" t="s">
        <v>2606</v>
      </c>
      <c r="B103" s="555">
        <v>3.5</v>
      </c>
      <c r="C103" s="555">
        <v>0.8</v>
      </c>
      <c r="D103" s="559" t="s">
        <v>2583</v>
      </c>
      <c r="E103" s="554"/>
      <c r="F103" s="557"/>
      <c r="G103" s="557"/>
      <c r="H103" s="557"/>
      <c r="I103" s="557"/>
      <c r="J103" s="551"/>
      <c r="K103" s="551">
        <v>1</v>
      </c>
      <c r="L103" s="551"/>
      <c r="M103" s="547"/>
      <c r="N103" s="548"/>
      <c r="O103" s="549"/>
      <c r="P103" s="550"/>
      <c r="Q103" s="551"/>
      <c r="R103" s="552">
        <f t="shared" si="3"/>
        <v>1</v>
      </c>
      <c r="S103" s="552">
        <f t="shared" si="2"/>
        <v>2.8000000000000003</v>
      </c>
    </row>
    <row r="104" spans="1:19" ht="39.75" customHeight="1">
      <c r="A104" s="554" t="s">
        <v>2607</v>
      </c>
      <c r="B104" s="555">
        <v>9.77</v>
      </c>
      <c r="C104" s="555">
        <v>1.6</v>
      </c>
      <c r="D104" s="559" t="s">
        <v>2583</v>
      </c>
      <c r="E104" s="554"/>
      <c r="F104" s="557"/>
      <c r="G104" s="557"/>
      <c r="H104" s="557"/>
      <c r="I104" s="557"/>
      <c r="J104" s="551"/>
      <c r="K104" s="551">
        <v>1</v>
      </c>
      <c r="L104" s="551"/>
      <c r="M104" s="547"/>
      <c r="N104" s="548"/>
      <c r="O104" s="549"/>
      <c r="P104" s="550"/>
      <c r="Q104" s="551"/>
      <c r="R104" s="552">
        <f t="shared" si="3"/>
        <v>1</v>
      </c>
      <c r="S104" s="552">
        <f t="shared" si="2"/>
        <v>15.632</v>
      </c>
    </row>
    <row r="105" spans="1:19" ht="29.25" customHeight="1">
      <c r="A105" s="554" t="s">
        <v>2608</v>
      </c>
      <c r="B105" s="555">
        <v>3.3</v>
      </c>
      <c r="C105" s="555">
        <v>0.8</v>
      </c>
      <c r="D105" s="559" t="s">
        <v>2583</v>
      </c>
      <c r="E105" s="554"/>
      <c r="F105" s="557"/>
      <c r="G105" s="557">
        <v>1</v>
      </c>
      <c r="H105" s="557"/>
      <c r="I105" s="557"/>
      <c r="J105" s="551"/>
      <c r="K105" s="551"/>
      <c r="L105" s="551"/>
      <c r="M105" s="547"/>
      <c r="N105" s="548"/>
      <c r="O105" s="549"/>
      <c r="P105" s="550"/>
      <c r="Q105" s="551"/>
      <c r="R105" s="552">
        <f t="shared" si="3"/>
        <v>1</v>
      </c>
      <c r="S105" s="552">
        <f t="shared" si="2"/>
        <v>2.64</v>
      </c>
    </row>
    <row r="106" spans="1:19" ht="29.25" customHeight="1">
      <c r="A106" s="554" t="s">
        <v>2609</v>
      </c>
      <c r="B106" s="555">
        <v>3.01</v>
      </c>
      <c r="C106" s="555">
        <v>0.8</v>
      </c>
      <c r="D106" s="559" t="s">
        <v>2583</v>
      </c>
      <c r="E106" s="554"/>
      <c r="F106" s="557"/>
      <c r="G106" s="557">
        <v>1</v>
      </c>
      <c r="H106" s="557"/>
      <c r="I106" s="557">
        <v>1</v>
      </c>
      <c r="J106" s="551"/>
      <c r="K106" s="551"/>
      <c r="L106" s="551"/>
      <c r="M106" s="547"/>
      <c r="N106" s="548"/>
      <c r="O106" s="549"/>
      <c r="P106" s="550"/>
      <c r="Q106" s="551"/>
      <c r="R106" s="552">
        <f t="shared" si="3"/>
        <v>2</v>
      </c>
      <c r="S106" s="552">
        <f t="shared" si="2"/>
        <v>4.8159999999999998</v>
      </c>
    </row>
    <row r="107" spans="1:19" ht="29.25" customHeight="1">
      <c r="A107" s="554" t="s">
        <v>2610</v>
      </c>
      <c r="B107" s="555">
        <v>3.31</v>
      </c>
      <c r="C107" s="555">
        <v>0.8</v>
      </c>
      <c r="D107" s="559" t="s">
        <v>2583</v>
      </c>
      <c r="E107" s="554"/>
      <c r="F107" s="557"/>
      <c r="G107" s="557">
        <v>1</v>
      </c>
      <c r="H107" s="557"/>
      <c r="I107" s="557"/>
      <c r="J107" s="551"/>
      <c r="K107" s="551"/>
      <c r="L107" s="551"/>
      <c r="M107" s="547"/>
      <c r="N107" s="548"/>
      <c r="O107" s="549"/>
      <c r="P107" s="550"/>
      <c r="Q107" s="551"/>
      <c r="R107" s="552">
        <f t="shared" si="3"/>
        <v>1</v>
      </c>
      <c r="S107" s="552">
        <f t="shared" si="2"/>
        <v>2.6480000000000001</v>
      </c>
    </row>
    <row r="108" spans="1:19">
      <c r="A108" s="554" t="s">
        <v>2611</v>
      </c>
      <c r="B108" s="555">
        <v>2.35</v>
      </c>
      <c r="C108" s="555">
        <v>0.8</v>
      </c>
      <c r="D108" s="559" t="s">
        <v>2580</v>
      </c>
      <c r="E108" s="554"/>
      <c r="F108" s="557"/>
      <c r="G108" s="557"/>
      <c r="H108" s="557"/>
      <c r="I108" s="557">
        <v>1</v>
      </c>
      <c r="J108" s="551"/>
      <c r="K108" s="551"/>
      <c r="L108" s="551"/>
      <c r="M108" s="547"/>
      <c r="N108" s="548"/>
      <c r="O108" s="549"/>
      <c r="P108" s="550"/>
      <c r="Q108" s="551"/>
      <c r="R108" s="552">
        <f t="shared" si="3"/>
        <v>1</v>
      </c>
      <c r="S108" s="552">
        <f t="shared" si="2"/>
        <v>1.8800000000000001</v>
      </c>
    </row>
    <row r="109" spans="1:19">
      <c r="A109" s="554" t="s">
        <v>2612</v>
      </c>
      <c r="B109" s="555">
        <v>3.97</v>
      </c>
      <c r="C109" s="555">
        <v>0.8</v>
      </c>
      <c r="D109" s="559" t="s">
        <v>2580</v>
      </c>
      <c r="E109" s="554"/>
      <c r="F109" s="557"/>
      <c r="G109" s="557"/>
      <c r="H109" s="557"/>
      <c r="I109" s="557">
        <v>2</v>
      </c>
      <c r="J109" s="551"/>
      <c r="K109" s="551"/>
      <c r="L109" s="551"/>
      <c r="M109" s="547"/>
      <c r="N109" s="548"/>
      <c r="O109" s="549"/>
      <c r="P109" s="550"/>
      <c r="Q109" s="551"/>
      <c r="R109" s="552">
        <f t="shared" si="3"/>
        <v>2</v>
      </c>
      <c r="S109" s="552">
        <f t="shared" si="2"/>
        <v>6.3520000000000003</v>
      </c>
    </row>
    <row r="110" spans="1:19" ht="29.25" customHeight="1">
      <c r="A110" s="554" t="s">
        <v>2613</v>
      </c>
      <c r="B110" s="555">
        <v>2</v>
      </c>
      <c r="C110" s="555">
        <v>1.6</v>
      </c>
      <c r="D110" s="559" t="s">
        <v>2583</v>
      </c>
      <c r="E110" s="554"/>
      <c r="F110" s="557"/>
      <c r="G110" s="557"/>
      <c r="H110" s="557">
        <v>1</v>
      </c>
      <c r="I110" s="557">
        <v>1</v>
      </c>
      <c r="J110" s="551"/>
      <c r="K110" s="551"/>
      <c r="L110" s="551"/>
      <c r="M110" s="547"/>
      <c r="N110" s="548"/>
      <c r="O110" s="549"/>
      <c r="P110" s="550"/>
      <c r="Q110" s="551"/>
      <c r="R110" s="552">
        <f t="shared" si="3"/>
        <v>2</v>
      </c>
      <c r="S110" s="552">
        <f t="shared" si="2"/>
        <v>6.4</v>
      </c>
    </row>
    <row r="111" spans="1:19" ht="29.25" customHeight="1">
      <c r="A111" s="554" t="s">
        <v>2614</v>
      </c>
      <c r="B111" s="555">
        <v>1.2</v>
      </c>
      <c r="C111" s="555">
        <v>0.8</v>
      </c>
      <c r="D111" s="559" t="s">
        <v>2583</v>
      </c>
      <c r="E111" s="554"/>
      <c r="F111" s="557"/>
      <c r="G111" s="557">
        <v>2</v>
      </c>
      <c r="H111" s="557">
        <v>2</v>
      </c>
      <c r="I111" s="557">
        <v>2</v>
      </c>
      <c r="J111" s="551">
        <f>2*3</f>
        <v>6</v>
      </c>
      <c r="K111" s="551">
        <v>2</v>
      </c>
      <c r="L111" s="551"/>
      <c r="M111" s="547"/>
      <c r="N111" s="548"/>
      <c r="O111" s="549"/>
      <c r="P111" s="550"/>
      <c r="Q111" s="551"/>
      <c r="R111" s="552">
        <f t="shared" si="3"/>
        <v>14</v>
      </c>
      <c r="S111" s="552">
        <f t="shared" si="2"/>
        <v>13.440000000000001</v>
      </c>
    </row>
    <row r="112" spans="1:19">
      <c r="A112" s="554" t="s">
        <v>1297</v>
      </c>
      <c r="B112" s="555">
        <v>3.35</v>
      </c>
      <c r="C112" s="555">
        <v>1.1000000000000001</v>
      </c>
      <c r="D112" s="559" t="s">
        <v>2615</v>
      </c>
      <c r="E112" s="554"/>
      <c r="F112" s="557"/>
      <c r="G112" s="557"/>
      <c r="H112" s="557"/>
      <c r="I112" s="557"/>
      <c r="J112" s="551"/>
      <c r="K112" s="551"/>
      <c r="L112" s="551"/>
      <c r="M112" s="547"/>
      <c r="N112" s="548">
        <v>1</v>
      </c>
      <c r="O112" s="549"/>
      <c r="P112" s="550"/>
      <c r="Q112" s="551"/>
      <c r="R112" s="552">
        <f t="shared" si="3"/>
        <v>1</v>
      </c>
      <c r="S112" s="552">
        <f t="shared" si="2"/>
        <v>3.6850000000000005</v>
      </c>
    </row>
    <row r="113" spans="1:19">
      <c r="A113" s="554" t="s">
        <v>1301</v>
      </c>
      <c r="B113" s="555">
        <v>5.6</v>
      </c>
      <c r="C113" s="555">
        <v>1.1000000000000001</v>
      </c>
      <c r="D113" s="559" t="s">
        <v>2616</v>
      </c>
      <c r="E113" s="554"/>
      <c r="F113" s="557"/>
      <c r="G113" s="557"/>
      <c r="H113" s="557"/>
      <c r="I113" s="557"/>
      <c r="J113" s="551"/>
      <c r="K113" s="551"/>
      <c r="L113" s="551"/>
      <c r="M113" s="547"/>
      <c r="N113" s="548">
        <v>1</v>
      </c>
      <c r="O113" s="549"/>
      <c r="P113" s="550"/>
      <c r="Q113" s="551"/>
      <c r="R113" s="552">
        <f t="shared" si="3"/>
        <v>1</v>
      </c>
      <c r="S113" s="552">
        <f t="shared" si="2"/>
        <v>6.16</v>
      </c>
    </row>
    <row r="114" spans="1:19">
      <c r="A114" s="554" t="s">
        <v>1303</v>
      </c>
      <c r="B114" s="555">
        <v>1.6</v>
      </c>
      <c r="C114" s="555">
        <v>0.5</v>
      </c>
      <c r="D114" s="559" t="s">
        <v>2617</v>
      </c>
      <c r="E114" s="554"/>
      <c r="F114" s="557"/>
      <c r="G114" s="557"/>
      <c r="H114" s="557"/>
      <c r="I114" s="557"/>
      <c r="J114" s="551"/>
      <c r="K114" s="551"/>
      <c r="L114" s="551"/>
      <c r="M114" s="547"/>
      <c r="N114" s="548">
        <v>3</v>
      </c>
      <c r="O114" s="549"/>
      <c r="P114" s="550"/>
      <c r="Q114" s="551"/>
      <c r="R114" s="552">
        <f t="shared" si="3"/>
        <v>3</v>
      </c>
      <c r="S114" s="552">
        <f t="shared" si="2"/>
        <v>2.4000000000000004</v>
      </c>
    </row>
    <row r="115" spans="1:19">
      <c r="A115" s="554" t="s">
        <v>1297</v>
      </c>
      <c r="B115" s="555">
        <v>1.5</v>
      </c>
      <c r="C115" s="555">
        <v>1.5</v>
      </c>
      <c r="D115" s="559" t="s">
        <v>2618</v>
      </c>
      <c r="E115" s="554"/>
      <c r="F115" s="557"/>
      <c r="G115" s="557"/>
      <c r="H115" s="557"/>
      <c r="I115" s="557"/>
      <c r="J115" s="551"/>
      <c r="K115" s="551"/>
      <c r="L115" s="551"/>
      <c r="M115" s="547"/>
      <c r="N115" s="548"/>
      <c r="O115" s="549"/>
      <c r="P115" s="550">
        <v>2</v>
      </c>
      <c r="Q115" s="551"/>
      <c r="R115" s="552">
        <f t="shared" si="3"/>
        <v>2</v>
      </c>
      <c r="S115" s="552">
        <f t="shared" si="2"/>
        <v>4.5</v>
      </c>
    </row>
    <row r="116" spans="1:19">
      <c r="A116" s="554" t="s">
        <v>1301</v>
      </c>
      <c r="B116" s="555">
        <v>0.7</v>
      </c>
      <c r="C116" s="555">
        <v>2</v>
      </c>
      <c r="D116" s="559" t="s">
        <v>2619</v>
      </c>
      <c r="E116" s="554"/>
      <c r="F116" s="557"/>
      <c r="G116" s="557"/>
      <c r="H116" s="557"/>
      <c r="I116" s="557"/>
      <c r="J116" s="551"/>
      <c r="K116" s="551"/>
      <c r="L116" s="551"/>
      <c r="M116" s="547"/>
      <c r="N116" s="548"/>
      <c r="O116" s="549"/>
      <c r="P116" s="550">
        <v>3</v>
      </c>
      <c r="Q116" s="551"/>
      <c r="R116" s="552">
        <f t="shared" si="3"/>
        <v>3</v>
      </c>
      <c r="S116" s="552">
        <f t="shared" ref="S116:S130" si="4">+R116*B116*C116</f>
        <v>4.1999999999999993</v>
      </c>
    </row>
    <row r="117" spans="1:19">
      <c r="A117" s="554" t="s">
        <v>1303</v>
      </c>
      <c r="B117" s="555">
        <v>1</v>
      </c>
      <c r="C117" s="555">
        <v>0.5</v>
      </c>
      <c r="D117" s="559" t="s">
        <v>2620</v>
      </c>
      <c r="E117" s="554"/>
      <c r="F117" s="557"/>
      <c r="G117" s="557"/>
      <c r="H117" s="557"/>
      <c r="I117" s="557"/>
      <c r="J117" s="551"/>
      <c r="K117" s="551"/>
      <c r="L117" s="551"/>
      <c r="M117" s="547"/>
      <c r="N117" s="548"/>
      <c r="O117" s="549"/>
      <c r="P117" s="550">
        <v>5</v>
      </c>
      <c r="Q117" s="551"/>
      <c r="R117" s="552">
        <f t="shared" si="3"/>
        <v>5</v>
      </c>
      <c r="S117" s="552">
        <f t="shared" si="4"/>
        <v>2.5</v>
      </c>
    </row>
    <row r="118" spans="1:19">
      <c r="A118" s="554" t="s">
        <v>1305</v>
      </c>
      <c r="B118" s="555">
        <v>0.8</v>
      </c>
      <c r="C118" s="555">
        <v>0.8</v>
      </c>
      <c r="D118" s="559" t="s">
        <v>2620</v>
      </c>
      <c r="E118" s="554"/>
      <c r="F118" s="557"/>
      <c r="G118" s="557"/>
      <c r="H118" s="557"/>
      <c r="I118" s="557"/>
      <c r="J118" s="551"/>
      <c r="K118" s="551"/>
      <c r="L118" s="551"/>
      <c r="M118" s="547"/>
      <c r="N118" s="548"/>
      <c r="O118" s="549"/>
      <c r="P118" s="550">
        <v>1</v>
      </c>
      <c r="Q118" s="551"/>
      <c r="R118" s="552">
        <f t="shared" si="3"/>
        <v>1</v>
      </c>
      <c r="S118" s="552">
        <f t="shared" si="4"/>
        <v>0.64000000000000012</v>
      </c>
    </row>
    <row r="119" spans="1:19">
      <c r="A119" s="554" t="s">
        <v>1307</v>
      </c>
      <c r="B119" s="555">
        <v>0.9</v>
      </c>
      <c r="C119" s="555">
        <v>0.6</v>
      </c>
      <c r="D119" s="559" t="s">
        <v>2620</v>
      </c>
      <c r="E119" s="554"/>
      <c r="F119" s="557"/>
      <c r="G119" s="557"/>
      <c r="H119" s="557"/>
      <c r="I119" s="557"/>
      <c r="J119" s="551"/>
      <c r="K119" s="551"/>
      <c r="L119" s="551"/>
      <c r="M119" s="547"/>
      <c r="N119" s="548"/>
      <c r="O119" s="549"/>
      <c r="P119" s="550">
        <v>4</v>
      </c>
      <c r="Q119" s="551"/>
      <c r="R119" s="552">
        <f t="shared" si="3"/>
        <v>4</v>
      </c>
      <c r="S119" s="552">
        <f t="shared" si="4"/>
        <v>2.16</v>
      </c>
    </row>
    <row r="120" spans="1:19">
      <c r="A120" s="554" t="s">
        <v>1309</v>
      </c>
      <c r="B120" s="555">
        <v>1.2</v>
      </c>
      <c r="C120" s="555">
        <v>1.1000000000000001</v>
      </c>
      <c r="D120" s="559" t="s">
        <v>2618</v>
      </c>
      <c r="E120" s="554"/>
      <c r="F120" s="557"/>
      <c r="G120" s="557"/>
      <c r="H120" s="557"/>
      <c r="I120" s="557"/>
      <c r="J120" s="551"/>
      <c r="K120" s="551"/>
      <c r="L120" s="551"/>
      <c r="M120" s="547"/>
      <c r="N120" s="548"/>
      <c r="O120" s="549"/>
      <c r="P120" s="550">
        <v>2</v>
      </c>
      <c r="Q120" s="551"/>
      <c r="R120" s="552">
        <f t="shared" si="3"/>
        <v>2</v>
      </c>
      <c r="S120" s="552">
        <f t="shared" si="4"/>
        <v>2.64</v>
      </c>
    </row>
    <row r="121" spans="1:19">
      <c r="A121" s="554" t="s">
        <v>1297</v>
      </c>
      <c r="B121" s="555">
        <v>6.4</v>
      </c>
      <c r="C121" s="555">
        <v>1</v>
      </c>
      <c r="D121" s="559" t="s">
        <v>2621</v>
      </c>
      <c r="E121" s="554"/>
      <c r="F121" s="557"/>
      <c r="G121" s="557"/>
      <c r="H121" s="557"/>
      <c r="I121" s="557"/>
      <c r="J121" s="551"/>
      <c r="K121" s="551"/>
      <c r="L121" s="551"/>
      <c r="M121" s="547"/>
      <c r="N121" s="548"/>
      <c r="O121" s="549"/>
      <c r="P121" s="550"/>
      <c r="Q121" s="552">
        <v>1</v>
      </c>
      <c r="R121" s="552">
        <f t="shared" si="3"/>
        <v>1</v>
      </c>
      <c r="S121" s="552">
        <f t="shared" si="4"/>
        <v>6.4</v>
      </c>
    </row>
    <row r="122" spans="1:19">
      <c r="A122" s="554" t="s">
        <v>1301</v>
      </c>
      <c r="B122" s="555">
        <v>3.15</v>
      </c>
      <c r="C122" s="555">
        <v>1</v>
      </c>
      <c r="D122" s="559" t="s">
        <v>2622</v>
      </c>
      <c r="E122" s="554"/>
      <c r="F122" s="557"/>
      <c r="G122" s="557"/>
      <c r="H122" s="557"/>
      <c r="I122" s="557"/>
      <c r="J122" s="551"/>
      <c r="K122" s="551"/>
      <c r="L122" s="551"/>
      <c r="M122" s="547"/>
      <c r="N122" s="548"/>
      <c r="O122" s="549"/>
      <c r="P122" s="550"/>
      <c r="Q122" s="552">
        <v>1</v>
      </c>
      <c r="R122" s="552">
        <f t="shared" si="3"/>
        <v>1</v>
      </c>
      <c r="S122" s="552">
        <f t="shared" si="4"/>
        <v>3.15</v>
      </c>
    </row>
    <row r="123" spans="1:19">
      <c r="A123" s="554" t="s">
        <v>1303</v>
      </c>
      <c r="B123" s="555">
        <v>2.5</v>
      </c>
      <c r="C123" s="555">
        <v>1</v>
      </c>
      <c r="D123" s="559" t="s">
        <v>2622</v>
      </c>
      <c r="E123" s="554"/>
      <c r="F123" s="557"/>
      <c r="G123" s="557"/>
      <c r="H123" s="557"/>
      <c r="I123" s="557"/>
      <c r="J123" s="551"/>
      <c r="K123" s="551"/>
      <c r="L123" s="551"/>
      <c r="M123" s="547"/>
      <c r="N123" s="548"/>
      <c r="O123" s="549"/>
      <c r="P123" s="550"/>
      <c r="Q123" s="552">
        <v>1</v>
      </c>
      <c r="R123" s="552">
        <f t="shared" si="3"/>
        <v>1</v>
      </c>
      <c r="S123" s="552">
        <f t="shared" si="4"/>
        <v>2.5</v>
      </c>
    </row>
    <row r="124" spans="1:19">
      <c r="A124" s="554" t="s">
        <v>1305</v>
      </c>
      <c r="B124" s="555">
        <v>2.2999999999999998</v>
      </c>
      <c r="C124" s="555">
        <v>0.5</v>
      </c>
      <c r="D124" s="559" t="s">
        <v>2623</v>
      </c>
      <c r="E124" s="554"/>
      <c r="F124" s="557"/>
      <c r="G124" s="557"/>
      <c r="H124" s="557"/>
      <c r="I124" s="557"/>
      <c r="J124" s="551"/>
      <c r="K124" s="551"/>
      <c r="L124" s="551"/>
      <c r="M124" s="547"/>
      <c r="N124" s="548"/>
      <c r="O124" s="549"/>
      <c r="P124" s="550"/>
      <c r="Q124" s="552">
        <v>1</v>
      </c>
      <c r="R124" s="552">
        <f t="shared" si="3"/>
        <v>1</v>
      </c>
      <c r="S124" s="552">
        <f t="shared" si="4"/>
        <v>1.1499999999999999</v>
      </c>
    </row>
    <row r="125" spans="1:19">
      <c r="A125" s="554" t="s">
        <v>1307</v>
      </c>
      <c r="B125" s="555">
        <v>1.95</v>
      </c>
      <c r="C125" s="555">
        <v>1</v>
      </c>
      <c r="D125" s="559" t="s">
        <v>2624</v>
      </c>
      <c r="E125" s="554"/>
      <c r="F125" s="557"/>
      <c r="G125" s="557"/>
      <c r="H125" s="557"/>
      <c r="I125" s="557"/>
      <c r="J125" s="551"/>
      <c r="K125" s="551"/>
      <c r="L125" s="551"/>
      <c r="M125" s="547"/>
      <c r="N125" s="548"/>
      <c r="O125" s="549"/>
      <c r="P125" s="550"/>
      <c r="Q125" s="552">
        <v>1</v>
      </c>
      <c r="R125" s="552">
        <f t="shared" si="3"/>
        <v>1</v>
      </c>
      <c r="S125" s="552">
        <f t="shared" si="4"/>
        <v>1.95</v>
      </c>
    </row>
    <row r="126" spans="1:19">
      <c r="A126" s="554" t="s">
        <v>1309</v>
      </c>
      <c r="B126" s="555">
        <v>4</v>
      </c>
      <c r="C126" s="555">
        <v>1</v>
      </c>
      <c r="D126" s="559" t="s">
        <v>2622</v>
      </c>
      <c r="E126" s="554"/>
      <c r="F126" s="557"/>
      <c r="G126" s="557"/>
      <c r="H126" s="557"/>
      <c r="I126" s="557"/>
      <c r="J126" s="551"/>
      <c r="K126" s="551"/>
      <c r="L126" s="551"/>
      <c r="M126" s="547"/>
      <c r="N126" s="548"/>
      <c r="O126" s="549"/>
      <c r="P126" s="550"/>
      <c r="Q126" s="552">
        <v>4</v>
      </c>
      <c r="R126" s="552">
        <f t="shared" si="3"/>
        <v>4</v>
      </c>
      <c r="S126" s="552">
        <f t="shared" si="4"/>
        <v>16</v>
      </c>
    </row>
    <row r="127" spans="1:19">
      <c r="A127" s="554" t="s">
        <v>1357</v>
      </c>
      <c r="B127" s="555">
        <v>2.7</v>
      </c>
      <c r="C127" s="555">
        <v>1.1000000000000001</v>
      </c>
      <c r="D127" s="559" t="s">
        <v>2622</v>
      </c>
      <c r="E127" s="554"/>
      <c r="F127" s="557"/>
      <c r="G127" s="557"/>
      <c r="H127" s="557"/>
      <c r="I127" s="557"/>
      <c r="J127" s="551"/>
      <c r="K127" s="551"/>
      <c r="L127" s="551"/>
      <c r="M127" s="547"/>
      <c r="N127" s="548"/>
      <c r="O127" s="549"/>
      <c r="P127" s="550"/>
      <c r="Q127" s="552">
        <v>1</v>
      </c>
      <c r="R127" s="552">
        <f t="shared" si="3"/>
        <v>1</v>
      </c>
      <c r="S127" s="552">
        <f t="shared" si="4"/>
        <v>2.9700000000000006</v>
      </c>
    </row>
    <row r="128" spans="1:19">
      <c r="A128" s="554" t="s">
        <v>1359</v>
      </c>
      <c r="B128" s="555">
        <v>2.25</v>
      </c>
      <c r="C128" s="555">
        <v>1.1000000000000001</v>
      </c>
      <c r="D128" s="559" t="s">
        <v>2624</v>
      </c>
      <c r="E128" s="554"/>
      <c r="F128" s="557"/>
      <c r="G128" s="557"/>
      <c r="H128" s="557"/>
      <c r="I128" s="557"/>
      <c r="J128" s="551"/>
      <c r="K128" s="551"/>
      <c r="L128" s="551"/>
      <c r="M128" s="547"/>
      <c r="N128" s="548"/>
      <c r="O128" s="549"/>
      <c r="P128" s="550"/>
      <c r="Q128" s="552">
        <v>1</v>
      </c>
      <c r="R128" s="552">
        <f t="shared" si="3"/>
        <v>1</v>
      </c>
      <c r="S128" s="552">
        <f t="shared" si="4"/>
        <v>2.4750000000000001</v>
      </c>
    </row>
    <row r="129" spans="1:19">
      <c r="A129" s="554" t="s">
        <v>1361</v>
      </c>
      <c r="B129" s="555">
        <v>2.25</v>
      </c>
      <c r="C129" s="555">
        <v>0.5</v>
      </c>
      <c r="D129" s="559" t="s">
        <v>2623</v>
      </c>
      <c r="E129" s="554"/>
      <c r="F129" s="557"/>
      <c r="G129" s="557"/>
      <c r="H129" s="557"/>
      <c r="I129" s="557"/>
      <c r="J129" s="551"/>
      <c r="K129" s="551"/>
      <c r="L129" s="551"/>
      <c r="M129" s="547"/>
      <c r="N129" s="548"/>
      <c r="O129" s="549"/>
      <c r="P129" s="550"/>
      <c r="Q129" s="552">
        <v>1</v>
      </c>
      <c r="R129" s="552">
        <f t="shared" si="3"/>
        <v>1</v>
      </c>
      <c r="S129" s="552">
        <f t="shared" si="4"/>
        <v>1.125</v>
      </c>
    </row>
    <row r="130" spans="1:19">
      <c r="A130" s="554" t="s">
        <v>1363</v>
      </c>
      <c r="B130" s="555">
        <v>4.0999999999999996</v>
      </c>
      <c r="C130" s="555">
        <v>1.1000000000000001</v>
      </c>
      <c r="D130" s="559" t="s">
        <v>2622</v>
      </c>
      <c r="E130" s="554"/>
      <c r="F130" s="557"/>
      <c r="G130" s="557"/>
      <c r="H130" s="557"/>
      <c r="I130" s="557"/>
      <c r="J130" s="551"/>
      <c r="K130" s="551"/>
      <c r="L130" s="551"/>
      <c r="M130" s="547"/>
      <c r="N130" s="548"/>
      <c r="O130" s="549"/>
      <c r="P130" s="550"/>
      <c r="Q130" s="552">
        <v>1</v>
      </c>
      <c r="R130" s="552">
        <f t="shared" si="3"/>
        <v>1</v>
      </c>
      <c r="S130" s="552">
        <f t="shared" si="4"/>
        <v>4.51</v>
      </c>
    </row>
    <row r="131" spans="1:19">
      <c r="A131" s="554"/>
      <c r="B131" s="555"/>
      <c r="C131" s="555"/>
      <c r="D131" s="559"/>
      <c r="E131" s="554"/>
      <c r="F131" s="557"/>
      <c r="G131" s="557"/>
      <c r="H131" s="557"/>
      <c r="I131" s="557"/>
      <c r="J131" s="551"/>
      <c r="K131" s="551"/>
      <c r="L131" s="551"/>
      <c r="M131" s="547"/>
      <c r="N131" s="548"/>
      <c r="O131" s="549"/>
      <c r="P131" s="550"/>
      <c r="Q131" s="551"/>
      <c r="R131" s="552">
        <f t="shared" si="3"/>
        <v>0</v>
      </c>
      <c r="S131" s="565"/>
    </row>
    <row r="132" spans="1:19" ht="18">
      <c r="A132" s="566" t="s">
        <v>2625</v>
      </c>
      <c r="B132" s="555"/>
      <c r="C132" s="555"/>
      <c r="D132" s="559"/>
      <c r="E132" s="554"/>
      <c r="F132" s="557"/>
      <c r="G132" s="557"/>
      <c r="H132" s="557"/>
      <c r="I132" s="557"/>
      <c r="J132" s="551"/>
      <c r="K132" s="551"/>
      <c r="L132" s="551"/>
      <c r="M132" s="547"/>
      <c r="N132" s="548"/>
      <c r="O132" s="549"/>
      <c r="P132" s="550"/>
      <c r="Q132" s="551"/>
      <c r="R132" s="552">
        <f t="shared" si="3"/>
        <v>0</v>
      </c>
      <c r="S132" s="553">
        <f>SUM(S133)</f>
        <v>150.864</v>
      </c>
    </row>
    <row r="133" spans="1:19" ht="41.4">
      <c r="A133" s="567" t="s">
        <v>2626</v>
      </c>
      <c r="B133" s="555">
        <v>17.96</v>
      </c>
      <c r="C133" s="555">
        <v>1.2</v>
      </c>
      <c r="D133" s="559" t="s">
        <v>2580</v>
      </c>
      <c r="E133" s="554"/>
      <c r="F133" s="557"/>
      <c r="G133" s="557">
        <v>1</v>
      </c>
      <c r="H133" s="557">
        <v>1</v>
      </c>
      <c r="I133" s="557">
        <v>1</v>
      </c>
      <c r="J133" s="551">
        <f>1*3</f>
        <v>3</v>
      </c>
      <c r="K133" s="551">
        <v>1</v>
      </c>
      <c r="L133" s="551"/>
      <c r="M133" s="547"/>
      <c r="N133" s="548"/>
      <c r="O133" s="549"/>
      <c r="P133" s="550"/>
      <c r="Q133" s="551"/>
      <c r="R133" s="552">
        <f t="shared" si="3"/>
        <v>7</v>
      </c>
      <c r="S133" s="552">
        <f>+R133*B133*C133</f>
        <v>150.864</v>
      </c>
    </row>
    <row r="134" spans="1:19">
      <c r="A134" s="567"/>
      <c r="B134" s="555"/>
      <c r="C134" s="555"/>
      <c r="D134" s="559"/>
      <c r="E134" s="554"/>
      <c r="F134" s="557"/>
      <c r="G134" s="557"/>
      <c r="H134" s="557"/>
      <c r="I134" s="557"/>
      <c r="J134" s="551"/>
      <c r="K134" s="551"/>
      <c r="L134" s="551"/>
      <c r="M134" s="547"/>
      <c r="N134" s="548"/>
      <c r="O134" s="549"/>
      <c r="P134" s="550"/>
      <c r="Q134" s="551"/>
      <c r="R134" s="552"/>
      <c r="S134" s="552"/>
    </row>
    <row r="135" spans="1:19" ht="18">
      <c r="A135" s="566" t="s">
        <v>2627</v>
      </c>
      <c r="B135" s="555"/>
      <c r="C135" s="555"/>
      <c r="D135" s="559"/>
      <c r="E135" s="554"/>
      <c r="F135" s="557"/>
      <c r="G135" s="557"/>
      <c r="H135" s="557"/>
      <c r="I135" s="557"/>
      <c r="J135" s="551"/>
      <c r="K135" s="551"/>
      <c r="L135" s="551"/>
      <c r="M135" s="547"/>
      <c r="N135" s="548"/>
      <c r="O135" s="549"/>
      <c r="P135" s="550"/>
      <c r="Q135" s="551"/>
      <c r="R135" s="552">
        <f t="shared" si="3"/>
        <v>0</v>
      </c>
      <c r="S135" s="553">
        <f>SUM(S136:S140)</f>
        <v>49.8185</v>
      </c>
    </row>
    <row r="136" spans="1:19">
      <c r="A136" s="554" t="s">
        <v>2628</v>
      </c>
      <c r="B136" s="555">
        <v>1.2</v>
      </c>
      <c r="C136" s="555">
        <v>1.1000000000000001</v>
      </c>
      <c r="D136" s="559" t="s">
        <v>2629</v>
      </c>
      <c r="E136" s="554">
        <v>1</v>
      </c>
      <c r="F136" s="557"/>
      <c r="G136" s="557"/>
      <c r="H136" s="557"/>
      <c r="I136" s="557"/>
      <c r="J136" s="551"/>
      <c r="K136" s="551"/>
      <c r="L136" s="551"/>
      <c r="M136" s="547"/>
      <c r="N136" s="548"/>
      <c r="O136" s="549"/>
      <c r="P136" s="550"/>
      <c r="Q136" s="551"/>
      <c r="R136" s="552">
        <f t="shared" si="3"/>
        <v>1</v>
      </c>
      <c r="S136" s="552">
        <f>+R136*B136*C136</f>
        <v>1.32</v>
      </c>
    </row>
    <row r="137" spans="1:19">
      <c r="A137" s="554" t="s">
        <v>2628</v>
      </c>
      <c r="B137" s="555">
        <v>2</v>
      </c>
      <c r="C137" s="555">
        <v>1.1000000000000001</v>
      </c>
      <c r="D137" s="559" t="s">
        <v>2629</v>
      </c>
      <c r="E137" s="554">
        <v>4</v>
      </c>
      <c r="F137" s="557"/>
      <c r="G137" s="557">
        <v>1</v>
      </c>
      <c r="H137" s="557">
        <v>1</v>
      </c>
      <c r="I137" s="557"/>
      <c r="J137" s="551"/>
      <c r="K137" s="551"/>
      <c r="L137" s="551"/>
      <c r="M137" s="547"/>
      <c r="N137" s="548"/>
      <c r="O137" s="549"/>
      <c r="P137" s="550"/>
      <c r="Q137" s="551"/>
      <c r="R137" s="552">
        <f t="shared" si="3"/>
        <v>6</v>
      </c>
      <c r="S137" s="552">
        <f>+R137*B137*C137</f>
        <v>13.200000000000001</v>
      </c>
    </row>
    <row r="138" spans="1:19">
      <c r="A138" s="554" t="s">
        <v>2628</v>
      </c>
      <c r="B138" s="555">
        <v>1.52</v>
      </c>
      <c r="C138" s="555">
        <v>1.1000000000000001</v>
      </c>
      <c r="D138" s="559" t="s">
        <v>2629</v>
      </c>
      <c r="E138" s="554">
        <v>1</v>
      </c>
      <c r="F138" s="557"/>
      <c r="G138" s="557"/>
      <c r="H138" s="557"/>
      <c r="I138" s="557"/>
      <c r="J138" s="551"/>
      <c r="K138" s="551">
        <v>1</v>
      </c>
      <c r="L138" s="551"/>
      <c r="M138" s="547"/>
      <c r="N138" s="548"/>
      <c r="O138" s="549"/>
      <c r="P138" s="550"/>
      <c r="Q138" s="551"/>
      <c r="R138" s="552">
        <f t="shared" si="3"/>
        <v>2</v>
      </c>
      <c r="S138" s="552">
        <f>+R138*B138*C138</f>
        <v>3.3440000000000003</v>
      </c>
    </row>
    <row r="139" spans="1:19">
      <c r="A139" s="554" t="s">
        <v>2630</v>
      </c>
      <c r="B139" s="555">
        <v>4.17</v>
      </c>
      <c r="C139" s="555">
        <v>1.35</v>
      </c>
      <c r="D139" s="559" t="s">
        <v>2631</v>
      </c>
      <c r="E139" s="554"/>
      <c r="F139" s="557"/>
      <c r="G139" s="557"/>
      <c r="H139" s="557">
        <v>1</v>
      </c>
      <c r="I139" s="557"/>
      <c r="J139" s="551"/>
      <c r="K139" s="551"/>
      <c r="L139" s="551"/>
      <c r="M139" s="547"/>
      <c r="N139" s="548"/>
      <c r="O139" s="549"/>
      <c r="P139" s="550"/>
      <c r="Q139" s="551"/>
      <c r="R139" s="552">
        <f t="shared" si="3"/>
        <v>1</v>
      </c>
      <c r="S139" s="552">
        <f>+R139*B139*C139</f>
        <v>5.6295000000000002</v>
      </c>
    </row>
    <row r="140" spans="1:19">
      <c r="A140" s="554" t="s">
        <v>2630</v>
      </c>
      <c r="B140" s="555">
        <v>6.5</v>
      </c>
      <c r="C140" s="555">
        <v>1.35</v>
      </c>
      <c r="D140" s="559" t="s">
        <v>2631</v>
      </c>
      <c r="E140" s="554"/>
      <c r="F140" s="557"/>
      <c r="G140" s="557"/>
      <c r="H140" s="557"/>
      <c r="I140" s="557"/>
      <c r="J140" s="551">
        <f>1*3</f>
        <v>3</v>
      </c>
      <c r="K140" s="551"/>
      <c r="L140" s="551"/>
      <c r="M140" s="547"/>
      <c r="N140" s="548"/>
      <c r="O140" s="549"/>
      <c r="P140" s="550"/>
      <c r="Q140" s="551"/>
      <c r="R140" s="552">
        <f t="shared" si="3"/>
        <v>3</v>
      </c>
      <c r="S140" s="552">
        <f>+R140*B140*C140</f>
        <v>26.325000000000003</v>
      </c>
    </row>
    <row r="141" spans="1:19">
      <c r="A141" s="554"/>
      <c r="B141" s="555"/>
      <c r="C141" s="555"/>
      <c r="D141" s="559"/>
      <c r="E141" s="554"/>
      <c r="F141" s="557"/>
      <c r="G141" s="557"/>
      <c r="H141" s="557"/>
      <c r="I141" s="557"/>
      <c r="J141" s="551"/>
      <c r="K141" s="551"/>
      <c r="L141" s="551"/>
      <c r="M141" s="547"/>
      <c r="N141" s="548"/>
      <c r="O141" s="549"/>
      <c r="P141" s="550"/>
      <c r="Q141" s="551"/>
      <c r="R141" s="552"/>
      <c r="S141" s="552"/>
    </row>
    <row r="142" spans="1:19" ht="18">
      <c r="A142" s="566" t="s">
        <v>2632</v>
      </c>
      <c r="B142" s="555"/>
      <c r="C142" s="555"/>
      <c r="D142" s="559"/>
      <c r="E142" s="554"/>
      <c r="F142" s="557"/>
      <c r="G142" s="557"/>
      <c r="H142" s="557"/>
      <c r="I142" s="557"/>
      <c r="J142" s="551"/>
      <c r="K142" s="551"/>
      <c r="L142" s="551"/>
      <c r="M142" s="547"/>
      <c r="N142" s="548"/>
      <c r="O142" s="549"/>
      <c r="P142" s="550"/>
      <c r="Q142" s="551"/>
      <c r="R142" s="552">
        <f t="shared" si="3"/>
        <v>0</v>
      </c>
      <c r="S142" s="553">
        <f>SUM(S143:S144)</f>
        <v>637.29599999999994</v>
      </c>
    </row>
    <row r="143" spans="1:19" ht="29.25" customHeight="1">
      <c r="A143" s="554" t="s">
        <v>2633</v>
      </c>
      <c r="B143" s="555">
        <v>7.45</v>
      </c>
      <c r="C143" s="555">
        <v>34.08</v>
      </c>
      <c r="D143" s="559" t="s">
        <v>2634</v>
      </c>
      <c r="E143" s="554"/>
      <c r="F143" s="557">
        <v>1</v>
      </c>
      <c r="G143" s="557"/>
      <c r="H143" s="557"/>
      <c r="I143" s="557"/>
      <c r="J143" s="551"/>
      <c r="K143" s="551"/>
      <c r="L143" s="551"/>
      <c r="M143" s="547"/>
      <c r="N143" s="548"/>
      <c r="O143" s="549"/>
      <c r="P143" s="550"/>
      <c r="Q143" s="551"/>
      <c r="R143" s="552">
        <f t="shared" si="3"/>
        <v>1</v>
      </c>
      <c r="S143" s="552">
        <f>+R143*B143*C143</f>
        <v>253.89599999999999</v>
      </c>
    </row>
    <row r="144" spans="1:19" ht="27" customHeight="1">
      <c r="A144" s="554" t="s">
        <v>2633</v>
      </c>
      <c r="B144" s="555">
        <v>11.25</v>
      </c>
      <c r="C144" s="555">
        <v>34.08</v>
      </c>
      <c r="D144" s="559" t="s">
        <v>2634</v>
      </c>
      <c r="E144" s="554"/>
      <c r="F144" s="557">
        <v>1</v>
      </c>
      <c r="G144" s="557"/>
      <c r="H144" s="557"/>
      <c r="I144" s="557"/>
      <c r="J144" s="551"/>
      <c r="K144" s="551"/>
      <c r="L144" s="551"/>
      <c r="M144" s="547"/>
      <c r="N144" s="548"/>
      <c r="O144" s="549"/>
      <c r="P144" s="550"/>
      <c r="Q144" s="551"/>
      <c r="R144" s="552">
        <f t="shared" si="3"/>
        <v>1</v>
      </c>
      <c r="S144" s="552">
        <f>+R144*B144*C144</f>
        <v>383.4</v>
      </c>
    </row>
    <row r="145" spans="1:19">
      <c r="A145" s="554"/>
      <c r="B145" s="555"/>
      <c r="C145" s="555"/>
      <c r="D145" s="559"/>
      <c r="E145" s="554"/>
      <c r="F145" s="557"/>
      <c r="G145" s="557"/>
      <c r="H145" s="557"/>
      <c r="I145" s="557"/>
      <c r="J145" s="551"/>
      <c r="K145" s="551"/>
      <c r="L145" s="551"/>
      <c r="M145" s="547"/>
      <c r="N145" s="548"/>
      <c r="O145" s="549"/>
      <c r="P145" s="550"/>
      <c r="Q145" s="551"/>
      <c r="R145" s="552"/>
      <c r="S145" s="552"/>
    </row>
    <row r="146" spans="1:19" ht="27" customHeight="1">
      <c r="A146" s="566" t="s">
        <v>2635</v>
      </c>
      <c r="B146" s="555"/>
      <c r="C146" s="555"/>
      <c r="D146" s="559"/>
      <c r="E146" s="554"/>
      <c r="F146" s="557"/>
      <c r="G146" s="557"/>
      <c r="H146" s="557"/>
      <c r="I146" s="557"/>
      <c r="J146" s="551"/>
      <c r="K146" s="551"/>
      <c r="L146" s="551"/>
      <c r="M146" s="547"/>
      <c r="N146" s="548"/>
      <c r="O146" s="549"/>
      <c r="P146" s="550"/>
      <c r="Q146" s="551"/>
      <c r="R146" s="552">
        <f t="shared" si="3"/>
        <v>0</v>
      </c>
      <c r="S146" s="553">
        <f>SUM(S147)</f>
        <v>470.214</v>
      </c>
    </row>
    <row r="147" spans="1:19">
      <c r="A147" s="554" t="s">
        <v>1256</v>
      </c>
      <c r="B147" s="555">
        <v>15.1</v>
      </c>
      <c r="C147" s="555">
        <v>3.46</v>
      </c>
      <c r="D147" s="559" t="s">
        <v>2636</v>
      </c>
      <c r="E147" s="554"/>
      <c r="F147" s="557">
        <v>1</v>
      </c>
      <c r="G147" s="557">
        <v>1</v>
      </c>
      <c r="H147" s="557">
        <v>1</v>
      </c>
      <c r="I147" s="557">
        <v>1</v>
      </c>
      <c r="J147" s="551">
        <f>1*3</f>
        <v>3</v>
      </c>
      <c r="K147" s="551">
        <v>1</v>
      </c>
      <c r="L147" s="551">
        <v>1</v>
      </c>
      <c r="M147" s="547"/>
      <c r="N147" s="548"/>
      <c r="O147" s="549"/>
      <c r="P147" s="550"/>
      <c r="Q147" s="551"/>
      <c r="R147" s="552">
        <f t="shared" si="3"/>
        <v>9</v>
      </c>
      <c r="S147" s="552">
        <f>+R147*B147*C147</f>
        <v>470.214</v>
      </c>
    </row>
    <row r="148" spans="1:19">
      <c r="A148" s="554"/>
      <c r="B148" s="555"/>
      <c r="C148" s="555"/>
      <c r="D148" s="559"/>
      <c r="E148" s="554"/>
      <c r="F148" s="557"/>
      <c r="G148" s="557"/>
      <c r="H148" s="557"/>
      <c r="I148" s="557"/>
      <c r="J148" s="551"/>
      <c r="K148" s="551"/>
      <c r="L148" s="551"/>
      <c r="M148" s="547"/>
      <c r="N148" s="548"/>
      <c r="O148" s="549"/>
      <c r="P148" s="550"/>
      <c r="Q148" s="551"/>
      <c r="R148" s="552">
        <f t="shared" ref="R148:R167" si="5">SUM(E148:Q148)</f>
        <v>0</v>
      </c>
      <c r="S148" s="551"/>
    </row>
    <row r="149" spans="1:19" ht="20.399999999999999">
      <c r="A149" s="568" t="s">
        <v>2647</v>
      </c>
      <c r="B149" s="555"/>
      <c r="C149" s="555"/>
      <c r="D149" s="559"/>
      <c r="E149" s="554"/>
      <c r="F149" s="557"/>
      <c r="G149" s="557"/>
      <c r="H149" s="557"/>
      <c r="I149" s="557"/>
      <c r="J149" s="551"/>
      <c r="K149" s="551"/>
      <c r="L149" s="551"/>
      <c r="M149" s="547"/>
      <c r="N149" s="548"/>
      <c r="O149" s="549"/>
      <c r="P149" s="550"/>
      <c r="Q149" s="551"/>
      <c r="R149" s="552">
        <f t="shared" si="5"/>
        <v>0</v>
      </c>
      <c r="S149" s="553">
        <f>SUM(S150:S155)</f>
        <v>51.11</v>
      </c>
    </row>
    <row r="150" spans="1:19">
      <c r="A150" s="554" t="s">
        <v>1277</v>
      </c>
      <c r="B150" s="555">
        <v>1.6</v>
      </c>
      <c r="C150" s="555">
        <v>2.5</v>
      </c>
      <c r="D150" s="559" t="s">
        <v>2637</v>
      </c>
      <c r="E150" s="554"/>
      <c r="F150" s="557"/>
      <c r="G150" s="557"/>
      <c r="H150" s="557"/>
      <c r="I150" s="557"/>
      <c r="J150" s="551"/>
      <c r="K150" s="551"/>
      <c r="L150" s="551"/>
      <c r="M150" s="547"/>
      <c r="N150" s="548">
        <v>1</v>
      </c>
      <c r="O150" s="549"/>
      <c r="P150" s="550">
        <v>1</v>
      </c>
      <c r="Q150" s="551">
        <v>3</v>
      </c>
      <c r="R150" s="552">
        <f t="shared" si="5"/>
        <v>5</v>
      </c>
      <c r="S150" s="552">
        <f>+R150*B150*C150</f>
        <v>20</v>
      </c>
    </row>
    <row r="151" spans="1:19">
      <c r="A151" s="554" t="s">
        <v>1277</v>
      </c>
      <c r="B151" s="555">
        <v>0.9</v>
      </c>
      <c r="C151" s="555">
        <v>2.5</v>
      </c>
      <c r="D151" s="559" t="s">
        <v>2638</v>
      </c>
      <c r="E151" s="554"/>
      <c r="F151" s="557"/>
      <c r="G151" s="557"/>
      <c r="H151" s="557"/>
      <c r="I151" s="557"/>
      <c r="J151" s="551"/>
      <c r="K151" s="551"/>
      <c r="L151" s="551"/>
      <c r="M151" s="547"/>
      <c r="N151" s="548"/>
      <c r="O151" s="549">
        <v>3</v>
      </c>
      <c r="P151" s="550"/>
      <c r="Q151" s="551"/>
      <c r="R151" s="552">
        <f t="shared" si="5"/>
        <v>3</v>
      </c>
      <c r="S151" s="552">
        <f>+R151*B151*C151</f>
        <v>6.75</v>
      </c>
    </row>
    <row r="152" spans="1:19">
      <c r="A152" s="554" t="s">
        <v>1288</v>
      </c>
      <c r="B152" s="555">
        <v>2</v>
      </c>
      <c r="C152" s="555">
        <v>2.1</v>
      </c>
      <c r="D152" s="559" t="s">
        <v>2639</v>
      </c>
      <c r="E152" s="554"/>
      <c r="F152" s="557"/>
      <c r="G152" s="557"/>
      <c r="H152" s="557"/>
      <c r="I152" s="557"/>
      <c r="J152" s="551"/>
      <c r="K152" s="551"/>
      <c r="L152" s="551"/>
      <c r="M152" s="547"/>
      <c r="N152" s="548"/>
      <c r="O152" s="549"/>
      <c r="P152" s="550">
        <v>5</v>
      </c>
      <c r="Q152" s="551"/>
      <c r="R152" s="552">
        <f t="shared" si="5"/>
        <v>5</v>
      </c>
      <c r="S152" s="552">
        <f>+R152*B152*C152</f>
        <v>21</v>
      </c>
    </row>
    <row r="153" spans="1:19">
      <c r="A153" s="554"/>
      <c r="B153" s="555"/>
      <c r="C153" s="555"/>
      <c r="D153" s="559"/>
      <c r="E153" s="554"/>
      <c r="F153" s="557"/>
      <c r="G153" s="557"/>
      <c r="H153" s="557"/>
      <c r="I153" s="557"/>
      <c r="J153" s="551"/>
      <c r="K153" s="551"/>
      <c r="L153" s="551"/>
      <c r="M153" s="547"/>
      <c r="N153" s="548"/>
      <c r="O153" s="549"/>
      <c r="P153" s="550"/>
      <c r="Q153" s="551"/>
      <c r="R153" s="552"/>
      <c r="S153" s="552"/>
    </row>
    <row r="154" spans="1:19" ht="20.399999999999999">
      <c r="A154" s="568" t="s">
        <v>2648</v>
      </c>
      <c r="B154" s="555"/>
      <c r="C154" s="555"/>
      <c r="D154" s="559"/>
      <c r="E154" s="554"/>
      <c r="F154" s="557"/>
      <c r="G154" s="557"/>
      <c r="H154" s="557"/>
      <c r="I154" s="557"/>
      <c r="J154" s="551"/>
      <c r="K154" s="551"/>
      <c r="L154" s="551"/>
      <c r="M154" s="547"/>
      <c r="N154" s="548"/>
      <c r="O154" s="549"/>
      <c r="P154" s="550"/>
      <c r="Q154" s="551"/>
      <c r="R154" s="552"/>
      <c r="S154" s="553">
        <f>SUM(S155)</f>
        <v>1.6800000000000002</v>
      </c>
    </row>
    <row r="155" spans="1:19">
      <c r="A155" s="554" t="s">
        <v>1296</v>
      </c>
      <c r="B155" s="555">
        <v>0.8</v>
      </c>
      <c r="C155" s="555">
        <v>2.1</v>
      </c>
      <c r="D155" s="559" t="s">
        <v>2640</v>
      </c>
      <c r="E155" s="554"/>
      <c r="F155" s="557"/>
      <c r="G155" s="557"/>
      <c r="H155" s="557"/>
      <c r="I155" s="557"/>
      <c r="J155" s="551"/>
      <c r="K155" s="551"/>
      <c r="L155" s="551"/>
      <c r="M155" s="547"/>
      <c r="N155" s="548"/>
      <c r="O155" s="549"/>
      <c r="P155" s="550">
        <v>1</v>
      </c>
      <c r="Q155" s="551"/>
      <c r="R155" s="552">
        <f t="shared" si="5"/>
        <v>1</v>
      </c>
      <c r="S155" s="552">
        <f>+R155*B155*C155</f>
        <v>1.6800000000000002</v>
      </c>
    </row>
    <row r="156" spans="1:19">
      <c r="A156" s="554"/>
      <c r="B156" s="555"/>
      <c r="C156" s="555"/>
      <c r="D156" s="559"/>
      <c r="E156" s="554"/>
      <c r="F156" s="557"/>
      <c r="G156" s="557"/>
      <c r="H156" s="557"/>
      <c r="I156" s="557"/>
      <c r="J156" s="551"/>
      <c r="K156" s="551"/>
      <c r="L156" s="551"/>
      <c r="M156" s="547"/>
      <c r="N156" s="548"/>
      <c r="O156" s="549"/>
      <c r="P156" s="550"/>
      <c r="Q156" s="551"/>
      <c r="R156" s="552">
        <f t="shared" si="5"/>
        <v>0</v>
      </c>
      <c r="S156" s="565"/>
    </row>
    <row r="157" spans="1:19" ht="20.399999999999999">
      <c r="A157" s="568" t="s">
        <v>2641</v>
      </c>
      <c r="B157" s="555"/>
      <c r="C157" s="555"/>
      <c r="D157" s="559"/>
      <c r="E157" s="554"/>
      <c r="F157" s="557"/>
      <c r="G157" s="557"/>
      <c r="H157" s="557"/>
      <c r="I157" s="557"/>
      <c r="J157" s="551"/>
      <c r="K157" s="551"/>
      <c r="L157" s="551"/>
      <c r="M157" s="547"/>
      <c r="N157" s="548"/>
      <c r="O157" s="549"/>
      <c r="P157" s="550"/>
      <c r="Q157" s="551"/>
      <c r="R157" s="552">
        <f t="shared" si="5"/>
        <v>0</v>
      </c>
      <c r="S157" s="553">
        <f>SUM(S158:S158)</f>
        <v>1.8900000000000001</v>
      </c>
    </row>
    <row r="158" spans="1:19">
      <c r="A158" s="554" t="s">
        <v>1290</v>
      </c>
      <c r="B158" s="555">
        <v>0.9</v>
      </c>
      <c r="C158" s="555">
        <v>2.1</v>
      </c>
      <c r="D158" s="559" t="s">
        <v>2642</v>
      </c>
      <c r="E158" s="554"/>
      <c r="F158" s="557"/>
      <c r="G158" s="557"/>
      <c r="H158" s="557"/>
      <c r="I158" s="557"/>
      <c r="J158" s="551"/>
      <c r="K158" s="551"/>
      <c r="L158" s="551"/>
      <c r="M158" s="547"/>
      <c r="N158" s="548">
        <v>1</v>
      </c>
      <c r="O158" s="549"/>
      <c r="P158" s="550"/>
      <c r="Q158" s="551"/>
      <c r="R158" s="552">
        <f t="shared" si="5"/>
        <v>1</v>
      </c>
      <c r="S158" s="552">
        <f>+R158*B158*C158</f>
        <v>1.8900000000000001</v>
      </c>
    </row>
    <row r="159" spans="1:19">
      <c r="A159" s="554"/>
      <c r="B159" s="555"/>
      <c r="C159" s="555"/>
      <c r="D159" s="559"/>
      <c r="E159" s="554"/>
      <c r="F159" s="557"/>
      <c r="G159" s="557"/>
      <c r="H159" s="557"/>
      <c r="I159" s="557"/>
      <c r="J159" s="551"/>
      <c r="K159" s="551"/>
      <c r="L159" s="551"/>
      <c r="M159" s="547"/>
      <c r="N159" s="548"/>
      <c r="O159" s="549"/>
      <c r="P159" s="550"/>
      <c r="Q159" s="551"/>
      <c r="R159" s="552">
        <f t="shared" si="5"/>
        <v>0</v>
      </c>
      <c r="S159" s="565"/>
    </row>
    <row r="160" spans="1:19" ht="20.399999999999999">
      <c r="A160" s="568" t="s">
        <v>2643</v>
      </c>
      <c r="B160" s="555"/>
      <c r="C160" s="555"/>
      <c r="D160" s="559"/>
      <c r="E160" s="554"/>
      <c r="F160" s="557"/>
      <c r="G160" s="557"/>
      <c r="H160" s="557"/>
      <c r="I160" s="557"/>
      <c r="J160" s="551"/>
      <c r="K160" s="551"/>
      <c r="L160" s="551"/>
      <c r="M160" s="547"/>
      <c r="N160" s="548"/>
      <c r="O160" s="549"/>
      <c r="P160" s="550"/>
      <c r="Q160" s="551"/>
      <c r="R160" s="552">
        <f t="shared" si="5"/>
        <v>0</v>
      </c>
      <c r="S160" s="553">
        <f>SUM(S161:S166)</f>
        <v>114</v>
      </c>
    </row>
    <row r="161" spans="1:19">
      <c r="A161" s="554" t="s">
        <v>1281</v>
      </c>
      <c r="B161" s="555">
        <v>2</v>
      </c>
      <c r="C161" s="555">
        <v>2.5</v>
      </c>
      <c r="D161" s="559" t="s">
        <v>2644</v>
      </c>
      <c r="E161" s="554"/>
      <c r="F161" s="557"/>
      <c r="G161" s="557"/>
      <c r="H161" s="557"/>
      <c r="I161" s="557"/>
      <c r="J161" s="551"/>
      <c r="K161" s="551"/>
      <c r="L161" s="551"/>
      <c r="M161" s="547"/>
      <c r="N161" s="548"/>
      <c r="O161" s="549">
        <v>2</v>
      </c>
      <c r="P161" s="550"/>
      <c r="Q161" s="551"/>
      <c r="R161" s="552">
        <f t="shared" si="5"/>
        <v>2</v>
      </c>
      <c r="S161" s="552">
        <f t="shared" ref="S161:S166" si="6">+R161*B161*C161</f>
        <v>10</v>
      </c>
    </row>
    <row r="162" spans="1:19">
      <c r="A162" s="554" t="s">
        <v>1285</v>
      </c>
      <c r="B162" s="555">
        <v>1.3</v>
      </c>
      <c r="C162" s="555">
        <v>2.5</v>
      </c>
      <c r="D162" s="559" t="s">
        <v>2644</v>
      </c>
      <c r="E162" s="554"/>
      <c r="F162" s="557"/>
      <c r="G162" s="557"/>
      <c r="H162" s="557"/>
      <c r="I162" s="557"/>
      <c r="J162" s="551"/>
      <c r="K162" s="551"/>
      <c r="L162" s="551"/>
      <c r="M162" s="547"/>
      <c r="N162" s="548"/>
      <c r="O162" s="549">
        <v>1</v>
      </c>
      <c r="P162" s="550"/>
      <c r="Q162" s="551"/>
      <c r="R162" s="552">
        <f t="shared" si="5"/>
        <v>1</v>
      </c>
      <c r="S162" s="552">
        <f t="shared" si="6"/>
        <v>3.25</v>
      </c>
    </row>
    <row r="163" spans="1:19">
      <c r="A163" s="554" t="s">
        <v>1334</v>
      </c>
      <c r="B163" s="555">
        <v>1.9</v>
      </c>
      <c r="C163" s="555">
        <v>2.5</v>
      </c>
      <c r="D163" s="559" t="s">
        <v>2645</v>
      </c>
      <c r="E163" s="554"/>
      <c r="F163" s="557"/>
      <c r="G163" s="557"/>
      <c r="H163" s="557"/>
      <c r="I163" s="557"/>
      <c r="J163" s="551"/>
      <c r="K163" s="551"/>
      <c r="L163" s="551"/>
      <c r="M163" s="547"/>
      <c r="N163" s="548"/>
      <c r="O163" s="549">
        <v>4</v>
      </c>
      <c r="P163" s="550"/>
      <c r="Q163" s="551"/>
      <c r="R163" s="552">
        <f t="shared" si="5"/>
        <v>4</v>
      </c>
      <c r="S163" s="552">
        <f t="shared" si="6"/>
        <v>19</v>
      </c>
    </row>
    <row r="164" spans="1:19">
      <c r="A164" s="554" t="s">
        <v>1337</v>
      </c>
      <c r="B164" s="555">
        <v>3</v>
      </c>
      <c r="C164" s="555">
        <v>2.5</v>
      </c>
      <c r="D164" s="559" t="s">
        <v>2645</v>
      </c>
      <c r="E164" s="554"/>
      <c r="F164" s="557"/>
      <c r="G164" s="557"/>
      <c r="H164" s="557"/>
      <c r="I164" s="557"/>
      <c r="J164" s="551"/>
      <c r="K164" s="551"/>
      <c r="L164" s="551"/>
      <c r="M164" s="547"/>
      <c r="N164" s="548"/>
      <c r="O164" s="549">
        <v>6</v>
      </c>
      <c r="P164" s="550"/>
      <c r="Q164" s="551"/>
      <c r="R164" s="552">
        <f t="shared" si="5"/>
        <v>6</v>
      </c>
      <c r="S164" s="552">
        <f t="shared" si="6"/>
        <v>45</v>
      </c>
    </row>
    <row r="165" spans="1:19">
      <c r="A165" s="554" t="s">
        <v>1339</v>
      </c>
      <c r="B165" s="555">
        <v>4.5</v>
      </c>
      <c r="C165" s="555">
        <v>2.5</v>
      </c>
      <c r="D165" s="559" t="s">
        <v>2645</v>
      </c>
      <c r="E165" s="554"/>
      <c r="F165" s="557"/>
      <c r="G165" s="557"/>
      <c r="H165" s="557"/>
      <c r="I165" s="557"/>
      <c r="J165" s="551"/>
      <c r="K165" s="551"/>
      <c r="L165" s="551"/>
      <c r="M165" s="547"/>
      <c r="N165" s="548"/>
      <c r="O165" s="549">
        <v>2</v>
      </c>
      <c r="P165" s="550"/>
      <c r="Q165" s="551"/>
      <c r="R165" s="552">
        <f t="shared" si="5"/>
        <v>2</v>
      </c>
      <c r="S165" s="552">
        <f t="shared" si="6"/>
        <v>22.5</v>
      </c>
    </row>
    <row r="166" spans="1:19">
      <c r="A166" s="554" t="s">
        <v>1341</v>
      </c>
      <c r="B166" s="555">
        <v>5.7</v>
      </c>
      <c r="C166" s="555">
        <v>2.5</v>
      </c>
      <c r="D166" s="559" t="s">
        <v>2645</v>
      </c>
      <c r="E166" s="554"/>
      <c r="F166" s="557"/>
      <c r="G166" s="557"/>
      <c r="H166" s="557"/>
      <c r="I166" s="557"/>
      <c r="J166" s="551"/>
      <c r="K166" s="551"/>
      <c r="L166" s="551"/>
      <c r="M166" s="547"/>
      <c r="N166" s="548"/>
      <c r="O166" s="549">
        <v>1</v>
      </c>
      <c r="P166" s="550"/>
      <c r="Q166" s="551"/>
      <c r="R166" s="552">
        <f t="shared" si="5"/>
        <v>1</v>
      </c>
      <c r="S166" s="552">
        <f t="shared" si="6"/>
        <v>14.25</v>
      </c>
    </row>
    <row r="167" spans="1:19">
      <c r="A167" s="554"/>
      <c r="B167" s="555"/>
      <c r="C167" s="555"/>
      <c r="D167" s="559"/>
      <c r="E167" s="554"/>
      <c r="F167" s="557"/>
      <c r="G167" s="557"/>
      <c r="H167" s="557"/>
      <c r="I167" s="557"/>
      <c r="J167" s="551"/>
      <c r="K167" s="551"/>
      <c r="L167" s="551"/>
      <c r="M167" s="547"/>
      <c r="N167" s="548"/>
      <c r="O167" s="549"/>
      <c r="P167" s="550"/>
      <c r="Q167" s="551"/>
      <c r="R167" s="552">
        <f t="shared" si="5"/>
        <v>0</v>
      </c>
      <c r="S167" s="565"/>
    </row>
    <row r="168" spans="1:19">
      <c r="D168" s="571"/>
    </row>
    <row r="169" spans="1:19">
      <c r="D169" s="571"/>
    </row>
    <row r="170" spans="1:19">
      <c r="D170" s="571"/>
    </row>
    <row r="171" spans="1:19">
      <c r="D171" s="571"/>
    </row>
    <row r="172" spans="1:19">
      <c r="D172" s="571"/>
    </row>
    <row r="173" spans="1:19">
      <c r="D173" s="571"/>
    </row>
    <row r="174" spans="1:19">
      <c r="D174" s="571"/>
    </row>
    <row r="175" spans="1:19">
      <c r="D175" s="571"/>
    </row>
    <row r="176" spans="1:19">
      <c r="D176" s="571"/>
    </row>
    <row r="177" spans="4:4">
      <c r="D177" s="571"/>
    </row>
    <row r="178" spans="4:4">
      <c r="D178" s="571"/>
    </row>
    <row r="179" spans="4:4">
      <c r="D179" s="571"/>
    </row>
    <row r="180" spans="4:4">
      <c r="D180" s="571"/>
    </row>
    <row r="181" spans="4:4">
      <c r="D181" s="571"/>
    </row>
    <row r="182" spans="4:4">
      <c r="D182" s="571"/>
    </row>
    <row r="183" spans="4:4">
      <c r="D183" s="571"/>
    </row>
    <row r="184" spans="4:4">
      <c r="D184" s="571"/>
    </row>
    <row r="185" spans="4:4">
      <c r="D185" s="571"/>
    </row>
    <row r="186" spans="4:4">
      <c r="D186" s="571"/>
    </row>
    <row r="187" spans="4:4">
      <c r="D187" s="571"/>
    </row>
    <row r="188" spans="4:4">
      <c r="D188" s="571"/>
    </row>
    <row r="189" spans="4:4">
      <c r="D189" s="571"/>
    </row>
    <row r="190" spans="4:4">
      <c r="D190" s="571"/>
    </row>
    <row r="191" spans="4:4">
      <c r="D191" s="571"/>
    </row>
    <row r="192" spans="4:4">
      <c r="D192" s="571"/>
    </row>
    <row r="193" spans="4:4">
      <c r="D193" s="571"/>
    </row>
    <row r="194" spans="4:4">
      <c r="D194" s="571"/>
    </row>
    <row r="195" spans="4:4">
      <c r="D195" s="571"/>
    </row>
    <row r="196" spans="4:4">
      <c r="D196" s="571"/>
    </row>
    <row r="197" spans="4:4">
      <c r="D197" s="571"/>
    </row>
    <row r="198" spans="4:4">
      <c r="D198" s="571"/>
    </row>
    <row r="199" spans="4:4">
      <c r="D199" s="571"/>
    </row>
    <row r="200" spans="4:4">
      <c r="D200" s="571"/>
    </row>
    <row r="201" spans="4:4">
      <c r="D201" s="571"/>
    </row>
    <row r="202" spans="4:4">
      <c r="D202" s="571"/>
    </row>
    <row r="203" spans="4:4">
      <c r="D203" s="571"/>
    </row>
    <row r="204" spans="4:4">
      <c r="D204" s="571"/>
    </row>
    <row r="205" spans="4:4">
      <c r="D205" s="571"/>
    </row>
    <row r="206" spans="4:4">
      <c r="D206" s="571"/>
    </row>
    <row r="207" spans="4:4">
      <c r="D207" s="571"/>
    </row>
    <row r="208" spans="4:4">
      <c r="D208" s="571"/>
    </row>
    <row r="209" spans="4:4">
      <c r="D209" s="571"/>
    </row>
    <row r="210" spans="4:4">
      <c r="D210" s="571"/>
    </row>
    <row r="211" spans="4:4">
      <c r="D211" s="571"/>
    </row>
    <row r="212" spans="4:4">
      <c r="D212" s="571"/>
    </row>
    <row r="213" spans="4:4">
      <c r="D213" s="571"/>
    </row>
    <row r="214" spans="4:4">
      <c r="D214" s="571"/>
    </row>
    <row r="215" spans="4:4">
      <c r="D215" s="571"/>
    </row>
    <row r="216" spans="4:4">
      <c r="D216" s="571"/>
    </row>
    <row r="217" spans="4:4">
      <c r="D217" s="571"/>
    </row>
    <row r="218" spans="4:4">
      <c r="D218" s="571"/>
    </row>
    <row r="219" spans="4:4">
      <c r="D219" s="571"/>
    </row>
    <row r="220" spans="4:4">
      <c r="D220" s="571"/>
    </row>
    <row r="221" spans="4:4">
      <c r="D221" s="571"/>
    </row>
    <row r="222" spans="4:4">
      <c r="D222" s="571"/>
    </row>
    <row r="223" spans="4:4">
      <c r="D223" s="571"/>
    </row>
    <row r="224" spans="4:4">
      <c r="D224" s="571"/>
    </row>
    <row r="225" spans="4:4">
      <c r="D225" s="571"/>
    </row>
    <row r="226" spans="4:4">
      <c r="D226" s="571"/>
    </row>
    <row r="227" spans="4:4">
      <c r="D227" s="571"/>
    </row>
    <row r="228" spans="4:4">
      <c r="D228" s="571"/>
    </row>
    <row r="229" spans="4:4">
      <c r="D229" s="571"/>
    </row>
    <row r="230" spans="4:4">
      <c r="D230" s="571"/>
    </row>
    <row r="231" spans="4:4">
      <c r="D231" s="571"/>
    </row>
    <row r="232" spans="4:4">
      <c r="D232" s="571"/>
    </row>
    <row r="233" spans="4:4">
      <c r="D233" s="571"/>
    </row>
    <row r="234" spans="4:4">
      <c r="D234" s="571"/>
    </row>
    <row r="235" spans="4:4">
      <c r="D235" s="571"/>
    </row>
    <row r="236" spans="4:4">
      <c r="D236" s="571"/>
    </row>
    <row r="237" spans="4:4">
      <c r="D237" s="571"/>
    </row>
    <row r="238" spans="4:4">
      <c r="D238" s="571"/>
    </row>
    <row r="239" spans="4:4">
      <c r="D239" s="571"/>
    </row>
    <row r="240" spans="4:4">
      <c r="D240" s="571"/>
    </row>
    <row r="241" spans="4:4">
      <c r="D241" s="571"/>
    </row>
    <row r="242" spans="4:4">
      <c r="D242" s="571"/>
    </row>
    <row r="243" spans="4:4">
      <c r="D243" s="571"/>
    </row>
    <row r="244" spans="4:4">
      <c r="D244" s="571"/>
    </row>
    <row r="245" spans="4:4">
      <c r="D245" s="571"/>
    </row>
    <row r="246" spans="4:4">
      <c r="D246" s="571"/>
    </row>
  </sheetData>
  <mergeCells count="19">
    <mergeCell ref="A2:S2"/>
    <mergeCell ref="A3:S3"/>
    <mergeCell ref="A4:S4"/>
    <mergeCell ref="A5:S5"/>
    <mergeCell ref="A6:A7"/>
    <mergeCell ref="D6:D7"/>
    <mergeCell ref="R6:S6"/>
    <mergeCell ref="E7:L7"/>
    <mergeCell ref="A8:L8"/>
    <mergeCell ref="A11:L11"/>
    <mergeCell ref="A14:L14"/>
    <mergeCell ref="A18:L18"/>
    <mergeCell ref="A24:L24"/>
    <mergeCell ref="A44:L44"/>
    <mergeCell ref="A48:L48"/>
    <mergeCell ref="A51:L51"/>
    <mergeCell ref="A35:L35"/>
    <mergeCell ref="A32:L32"/>
    <mergeCell ref="A40:L40"/>
  </mergeCells>
  <pageMargins left="0.51181102362204722" right="0.51181102362204722" top="0.78740157480314965" bottom="0.78740157480314965" header="0.31496062992125984" footer="0.31496062992125984"/>
  <pageSetup paperSize="9" scale="78" orientation="landscape" r:id="rId1"/>
</worksheet>
</file>

<file path=xl/worksheets/sheet6.xml><?xml version="1.0" encoding="utf-8"?>
<worksheet xmlns="http://schemas.openxmlformats.org/spreadsheetml/2006/main" xmlns:r="http://schemas.openxmlformats.org/officeDocument/2006/relationships">
  <sheetPr>
    <pageSetUpPr fitToPage="1"/>
  </sheetPr>
  <dimension ref="A1:O750"/>
  <sheetViews>
    <sheetView topLeftCell="A694" workbookViewId="0">
      <selection activeCell="G675" sqref="G675"/>
    </sheetView>
  </sheetViews>
  <sheetFormatPr defaultColWidth="9" defaultRowHeight="15.6"/>
  <cols>
    <col min="1" max="1" width="3.3984375" style="1" customWidth="1"/>
    <col min="2" max="2" width="9" style="1"/>
    <col min="3" max="3" width="45.69921875" style="1" customWidth="1"/>
    <col min="4" max="9" width="12.59765625" style="1" customWidth="1"/>
    <col min="10" max="11" width="13.59765625" style="1" customWidth="1"/>
    <col min="12" max="12" width="5.69921875" style="1" customWidth="1"/>
    <col min="13" max="13" width="9" style="1"/>
    <col min="14" max="14" width="3.59765625" style="1" customWidth="1"/>
    <col min="15" max="15" width="7.8984375" style="1" customWidth="1"/>
    <col min="16" max="16384" width="9" style="1"/>
  </cols>
  <sheetData>
    <row r="1" spans="1:12" ht="16.2" thickBot="1">
      <c r="A1" s="2" t="s">
        <v>0</v>
      </c>
      <c r="B1" s="3"/>
      <c r="C1" s="2"/>
      <c r="D1" s="2"/>
      <c r="E1" s="2"/>
      <c r="F1" s="2"/>
      <c r="G1" s="2"/>
      <c r="H1" s="2"/>
      <c r="I1" s="2"/>
      <c r="J1" s="2"/>
      <c r="K1" s="2"/>
      <c r="L1" s="2"/>
    </row>
    <row r="2" spans="1:12">
      <c r="A2" s="2"/>
      <c r="B2" s="37"/>
      <c r="C2" s="38"/>
      <c r="D2" s="38"/>
      <c r="E2" s="38"/>
      <c r="F2" s="38"/>
      <c r="G2" s="38"/>
      <c r="H2" s="38"/>
      <c r="I2" s="38"/>
      <c r="J2" s="38"/>
      <c r="K2" s="39"/>
      <c r="L2" s="2"/>
    </row>
    <row r="3" spans="1:12" ht="17.399999999999999">
      <c r="A3" s="2"/>
      <c r="B3" s="1006" t="s">
        <v>1156</v>
      </c>
      <c r="C3" s="1007"/>
      <c r="D3" s="1007"/>
      <c r="E3" s="1007"/>
      <c r="F3" s="1007"/>
      <c r="G3" s="1007"/>
      <c r="H3" s="1007"/>
      <c r="I3" s="1007"/>
      <c r="J3" s="1007"/>
      <c r="K3" s="1008"/>
      <c r="L3" s="2"/>
    </row>
    <row r="4" spans="1:12" ht="17.399999999999999">
      <c r="A4" s="2"/>
      <c r="B4" s="128"/>
      <c r="C4" s="129"/>
      <c r="D4" s="129"/>
      <c r="E4" s="129"/>
      <c r="F4" s="129"/>
      <c r="G4" s="129"/>
      <c r="H4" s="129"/>
      <c r="I4" s="129"/>
      <c r="J4" s="129"/>
      <c r="K4" s="130"/>
      <c r="L4" s="2"/>
    </row>
    <row r="5" spans="1:12" ht="17.399999999999999">
      <c r="A5" s="2"/>
      <c r="B5" s="128"/>
      <c r="C5" s="85" t="s">
        <v>2470</v>
      </c>
      <c r="D5" s="44" t="s">
        <v>213</v>
      </c>
      <c r="E5" s="45"/>
      <c r="F5" s="45"/>
      <c r="G5" s="45"/>
      <c r="H5" s="45"/>
      <c r="I5" s="46">
        <f>SUM(J29:J59)-I9</f>
        <v>8502.5938999999998</v>
      </c>
      <c r="J5" s="86" t="s">
        <v>212</v>
      </c>
      <c r="K5" s="47" t="s">
        <v>0</v>
      </c>
      <c r="L5" s="2"/>
    </row>
    <row r="6" spans="1:12" ht="17.399999999999999">
      <c r="A6" s="2"/>
      <c r="B6" s="128"/>
      <c r="C6" s="85" t="s">
        <v>2471</v>
      </c>
      <c r="D6" s="44" t="s">
        <v>213</v>
      </c>
      <c r="E6" s="45"/>
      <c r="F6" s="45"/>
      <c r="G6" s="45"/>
      <c r="H6" s="45"/>
      <c r="I6" s="46">
        <f>SUM(K28:K59)</f>
        <v>40502.254999999997</v>
      </c>
      <c r="J6" s="86" t="s">
        <v>212</v>
      </c>
      <c r="K6" s="47" t="s">
        <v>0</v>
      </c>
      <c r="L6" s="2"/>
    </row>
    <row r="7" spans="1:12" ht="17.399999999999999">
      <c r="A7" s="2"/>
      <c r="B7" s="128"/>
      <c r="C7" s="85" t="s">
        <v>2472</v>
      </c>
      <c r="D7" s="44" t="s">
        <v>213</v>
      </c>
      <c r="E7" s="45"/>
      <c r="F7" s="45"/>
      <c r="G7" s="45"/>
      <c r="H7" s="45"/>
      <c r="I7" s="46">
        <f>I5+I6</f>
        <v>49004.848899999997</v>
      </c>
      <c r="J7" s="86" t="s">
        <v>212</v>
      </c>
      <c r="K7" s="47" t="s">
        <v>0</v>
      </c>
      <c r="L7" s="2"/>
    </row>
    <row r="8" spans="1:12" ht="17.399999999999999">
      <c r="A8" s="2"/>
      <c r="B8" s="128"/>
      <c r="C8" s="85" t="s">
        <v>2473</v>
      </c>
      <c r="D8" s="44" t="s">
        <v>213</v>
      </c>
      <c r="E8" s="45"/>
      <c r="F8" s="45"/>
      <c r="G8" s="45"/>
      <c r="H8" s="45"/>
      <c r="I8" s="46">
        <f>I5</f>
        <v>8502.5938999999998</v>
      </c>
      <c r="J8" s="86" t="s">
        <v>212</v>
      </c>
      <c r="K8" s="47" t="s">
        <v>0</v>
      </c>
      <c r="L8" s="2"/>
    </row>
    <row r="9" spans="1:12" ht="17.399999999999999">
      <c r="A9" s="2"/>
      <c r="B9" s="516"/>
      <c r="C9" s="85" t="s">
        <v>2474</v>
      </c>
      <c r="D9" s="44" t="s">
        <v>213</v>
      </c>
      <c r="E9" s="45"/>
      <c r="F9" s="45"/>
      <c r="G9" s="45"/>
      <c r="H9" s="45"/>
      <c r="I9" s="46">
        <f>+I12+I13+I14</f>
        <v>7362.9400000000005</v>
      </c>
      <c r="J9" s="86"/>
      <c r="K9" s="47"/>
      <c r="L9" s="2"/>
    </row>
    <row r="10" spans="1:12" ht="17.399999999999999">
      <c r="A10" s="2"/>
      <c r="B10" s="516"/>
      <c r="C10" s="85" t="s">
        <v>2475</v>
      </c>
      <c r="D10" s="44" t="s">
        <v>213</v>
      </c>
      <c r="E10" s="45"/>
      <c r="F10" s="45"/>
      <c r="G10" s="45"/>
      <c r="H10" s="45"/>
      <c r="I10" s="46">
        <v>0</v>
      </c>
      <c r="J10" s="86"/>
      <c r="K10" s="47"/>
      <c r="L10" s="2"/>
    </row>
    <row r="11" spans="1:12" ht="17.399999999999999">
      <c r="A11" s="2"/>
      <c r="B11" s="516"/>
      <c r="C11" s="85" t="s">
        <v>2476</v>
      </c>
      <c r="D11" s="44" t="s">
        <v>213</v>
      </c>
      <c r="E11" s="45"/>
      <c r="F11" s="45"/>
      <c r="G11" s="45"/>
      <c r="H11" s="45"/>
      <c r="I11" s="46">
        <f>+I10+I9</f>
        <v>7362.9400000000005</v>
      </c>
      <c r="J11" s="86"/>
      <c r="K11" s="47"/>
      <c r="L11" s="2"/>
    </row>
    <row r="12" spans="1:12" ht="17.399999999999999">
      <c r="A12" s="2"/>
      <c r="B12" s="516"/>
      <c r="C12" s="85" t="s">
        <v>2477</v>
      </c>
      <c r="D12" s="44" t="s">
        <v>213</v>
      </c>
      <c r="E12" s="45"/>
      <c r="F12" s="45"/>
      <c r="G12" s="45"/>
      <c r="H12" s="45"/>
      <c r="I12" s="46">
        <f>'REVEST FACHADAS'!I18</f>
        <v>2129.63</v>
      </c>
      <c r="J12" s="86"/>
      <c r="K12" s="47"/>
      <c r="L12" s="2"/>
    </row>
    <row r="13" spans="1:12" ht="17.399999999999999">
      <c r="A13" s="2"/>
      <c r="B13" s="516"/>
      <c r="C13" s="85" t="s">
        <v>2478</v>
      </c>
      <c r="D13" s="44" t="s">
        <v>213</v>
      </c>
      <c r="E13" s="45"/>
      <c r="F13" s="45"/>
      <c r="G13" s="45"/>
      <c r="H13" s="45"/>
      <c r="I13" s="46">
        <f>'REVEST FACHADAS'!M18</f>
        <v>2147.79</v>
      </c>
      <c r="J13" s="86"/>
      <c r="K13" s="47"/>
      <c r="L13" s="2"/>
    </row>
    <row r="14" spans="1:12" ht="17.399999999999999">
      <c r="A14" s="2"/>
      <c r="B14" s="516"/>
      <c r="C14" s="85" t="s">
        <v>2479</v>
      </c>
      <c r="D14" s="44" t="s">
        <v>213</v>
      </c>
      <c r="E14" s="45"/>
      <c r="F14" s="45"/>
      <c r="G14" s="45"/>
      <c r="H14" s="45"/>
      <c r="I14" s="46">
        <f>'REVEST FACHADAS'!K18</f>
        <v>3085.52</v>
      </c>
      <c r="J14" s="86"/>
      <c r="K14" s="47"/>
      <c r="L14" s="2"/>
    </row>
    <row r="15" spans="1:12" ht="17.399999999999999">
      <c r="A15" s="2"/>
      <c r="B15" s="516"/>
      <c r="C15" s="85"/>
      <c r="D15" s="44"/>
      <c r="E15" s="45"/>
      <c r="F15" s="45"/>
      <c r="G15" s="45"/>
      <c r="H15" s="45"/>
      <c r="I15" s="46"/>
      <c r="J15" s="86"/>
      <c r="K15" s="47"/>
      <c r="L15" s="2"/>
    </row>
    <row r="16" spans="1:12" ht="17.399999999999999">
      <c r="A16" s="2"/>
      <c r="B16" s="128"/>
      <c r="C16" s="85" t="s">
        <v>1157</v>
      </c>
      <c r="D16" s="44" t="s">
        <v>213</v>
      </c>
      <c r="E16" s="45"/>
      <c r="F16" s="45"/>
      <c r="G16" s="45"/>
      <c r="H16" s="45"/>
      <c r="I16" s="46">
        <f>I6-I19</f>
        <v>37580.53</v>
      </c>
      <c r="J16" s="86" t="s">
        <v>212</v>
      </c>
      <c r="K16" s="47" t="s">
        <v>0</v>
      </c>
      <c r="L16" s="2"/>
    </row>
    <row r="17" spans="1:15" ht="17.399999999999999">
      <c r="A17" s="2"/>
      <c r="B17" s="128"/>
      <c r="C17" s="85" t="s">
        <v>1158</v>
      </c>
      <c r="D17" s="44" t="s">
        <v>213</v>
      </c>
      <c r="E17" s="45"/>
      <c r="F17" s="45"/>
      <c r="G17" s="45"/>
      <c r="H17" s="45"/>
      <c r="I17" s="46">
        <f>I6-I20</f>
        <v>28777.893999999997</v>
      </c>
      <c r="J17" s="86" t="s">
        <v>212</v>
      </c>
      <c r="K17" s="47" t="s">
        <v>0</v>
      </c>
      <c r="L17" s="2"/>
    </row>
    <row r="18" spans="1:15" ht="17.399999999999999">
      <c r="A18" s="2"/>
      <c r="B18" s="128"/>
      <c r="C18" s="85" t="s">
        <v>1218</v>
      </c>
      <c r="D18" s="44" t="s">
        <v>213</v>
      </c>
      <c r="E18" s="45"/>
      <c r="F18" s="45"/>
      <c r="G18" s="45"/>
      <c r="H18" s="45"/>
      <c r="I18" s="46">
        <f>I17</f>
        <v>28777.893999999997</v>
      </c>
      <c r="J18" s="86" t="s">
        <v>212</v>
      </c>
      <c r="K18" s="47" t="s">
        <v>0</v>
      </c>
      <c r="L18" s="2"/>
    </row>
    <row r="19" spans="1:15" ht="17.399999999999999">
      <c r="A19" s="2"/>
      <c r="B19" s="128"/>
      <c r="C19" s="85" t="s">
        <v>1219</v>
      </c>
      <c r="D19" s="44" t="s">
        <v>213</v>
      </c>
      <c r="E19" s="45"/>
      <c r="F19" s="45"/>
      <c r="G19" s="45"/>
      <c r="H19" s="45"/>
      <c r="I19" s="46">
        <f>SUM(O28:O59)</f>
        <v>2921.7249999999999</v>
      </c>
      <c r="J19" s="86" t="s">
        <v>212</v>
      </c>
      <c r="K19" s="47"/>
      <c r="L19" s="2"/>
    </row>
    <row r="20" spans="1:15" ht="17.399999999999999">
      <c r="A20" s="2"/>
      <c r="B20" s="394"/>
      <c r="C20" s="85" t="s">
        <v>1770</v>
      </c>
      <c r="D20" s="44"/>
      <c r="E20" s="45"/>
      <c r="F20" s="45"/>
      <c r="G20" s="45"/>
      <c r="H20" s="45"/>
      <c r="I20" s="46">
        <f>SUM(M28:M59)</f>
        <v>11724.361000000001</v>
      </c>
      <c r="J20" s="86" t="s">
        <v>212</v>
      </c>
      <c r="K20" s="47"/>
      <c r="L20" s="2"/>
    </row>
    <row r="21" spans="1:15" ht="18" thickBot="1">
      <c r="A21" s="2"/>
      <c r="B21" s="128"/>
      <c r="C21" s="48"/>
      <c r="D21" s="44"/>
      <c r="E21" s="129"/>
      <c r="F21" s="129"/>
      <c r="G21" s="129"/>
      <c r="H21" s="129"/>
      <c r="I21" s="49"/>
      <c r="J21" s="49"/>
      <c r="K21" s="50"/>
      <c r="L21" s="2"/>
    </row>
    <row r="22" spans="1:15" ht="17.399999999999999">
      <c r="A22" s="2"/>
      <c r="B22" s="128"/>
      <c r="C22" s="48"/>
      <c r="D22" s="51" t="s">
        <v>581</v>
      </c>
      <c r="E22" s="52"/>
      <c r="F22" s="52"/>
      <c r="G22" s="52"/>
      <c r="H22" s="52"/>
      <c r="I22" s="58">
        <v>3.5</v>
      </c>
      <c r="J22" s="51" t="s">
        <v>217</v>
      </c>
      <c r="K22" s="54" t="s">
        <v>0</v>
      </c>
      <c r="L22" s="2"/>
    </row>
    <row r="23" spans="1:15" ht="3.9" customHeight="1" thickBot="1">
      <c r="A23" s="2"/>
      <c r="B23" s="128"/>
      <c r="C23" s="48"/>
      <c r="D23" s="51"/>
      <c r="E23" s="52"/>
      <c r="F23" s="52"/>
      <c r="G23" s="52"/>
      <c r="H23" s="52"/>
      <c r="I23" s="52"/>
      <c r="J23" s="52"/>
      <c r="K23" s="54"/>
      <c r="L23" s="2"/>
    </row>
    <row r="24" spans="1:15" ht="17.399999999999999">
      <c r="A24" s="2"/>
      <c r="B24" s="128"/>
      <c r="C24" s="48"/>
      <c r="D24" s="51" t="s">
        <v>582</v>
      </c>
      <c r="E24" s="52"/>
      <c r="F24" s="52"/>
      <c r="G24" s="52"/>
      <c r="H24" s="52"/>
      <c r="I24" s="58">
        <v>3</v>
      </c>
      <c r="J24" s="51" t="s">
        <v>217</v>
      </c>
      <c r="K24" s="54" t="s">
        <v>0</v>
      </c>
      <c r="L24" s="2"/>
    </row>
    <row r="25" spans="1:15" ht="16.2" thickBot="1">
      <c r="A25" s="2"/>
      <c r="B25" s="55"/>
      <c r="C25" s="56"/>
      <c r="D25" s="56"/>
      <c r="E25" s="56"/>
      <c r="F25" s="56"/>
      <c r="G25" s="56"/>
      <c r="H25" s="56"/>
      <c r="I25" s="56"/>
      <c r="J25" s="56"/>
      <c r="K25" s="57"/>
      <c r="L25" s="2"/>
    </row>
    <row r="26" spans="1:15">
      <c r="A26" s="2"/>
      <c r="B26" s="35"/>
      <c r="C26" s="36"/>
      <c r="D26" s="36"/>
      <c r="E26" s="36"/>
      <c r="F26" s="36"/>
      <c r="G26" s="36"/>
      <c r="H26" s="36"/>
      <c r="I26" s="36"/>
      <c r="J26" s="36"/>
      <c r="K26" s="36"/>
      <c r="L26" s="2"/>
    </row>
    <row r="27" spans="1:15" ht="29.4" customHeight="1">
      <c r="A27" s="420"/>
      <c r="B27" s="1036" t="s">
        <v>175</v>
      </c>
      <c r="C27" s="1037"/>
      <c r="D27" s="1037"/>
      <c r="E27" s="1037"/>
      <c r="F27" s="1037"/>
      <c r="G27" s="1037"/>
      <c r="H27" s="1037"/>
      <c r="I27" s="1038"/>
      <c r="J27" s="581" t="s">
        <v>2654</v>
      </c>
      <c r="K27" s="581" t="s">
        <v>2653</v>
      </c>
      <c r="L27" s="1033" t="s">
        <v>1769</v>
      </c>
      <c r="M27" s="1035"/>
      <c r="N27" s="1033" t="s">
        <v>1219</v>
      </c>
      <c r="O27" s="1034"/>
    </row>
    <row r="28" spans="1:15">
      <c r="A28" s="2"/>
      <c r="B28" s="2"/>
      <c r="C28" s="2"/>
      <c r="D28" s="2"/>
      <c r="E28" s="2"/>
      <c r="F28" s="2"/>
      <c r="G28" s="2"/>
      <c r="H28" s="2"/>
      <c r="I28" s="2"/>
      <c r="J28" s="21"/>
      <c r="K28" s="21"/>
      <c r="L28" s="2"/>
    </row>
    <row r="29" spans="1:15">
      <c r="A29" s="2"/>
      <c r="B29" s="14" t="s">
        <v>86</v>
      </c>
      <c r="C29" s="78" t="str">
        <f>VLOOKUP(B29,$B$64:$K$698,2,FALSE)</f>
        <v>SUBSOLO - MATERNIDADE</v>
      </c>
      <c r="D29" s="71"/>
      <c r="E29" s="71"/>
      <c r="F29" s="71"/>
      <c r="G29" s="79"/>
      <c r="H29" s="73"/>
      <c r="I29" s="71"/>
      <c r="J29" s="87">
        <f>VLOOKUP(B29,$B$64:$K$698,9,FALSE)</f>
        <v>1845.402</v>
      </c>
      <c r="K29" s="81">
        <f>VLOOKUP(B29,$B$64:$K$698,10,FALSE)</f>
        <v>4375.8119999999999</v>
      </c>
      <c r="L29" s="2"/>
      <c r="M29" s="81">
        <f>VLOOKUP(B29,$B$64:$O$698,12,FALSE)</f>
        <v>1989.4230000000002</v>
      </c>
      <c r="O29" s="81">
        <f>VLOOKUP(B29,$B$64:$O$698,14,FALSE)</f>
        <v>42.900000000000006</v>
      </c>
    </row>
    <row r="30" spans="1:15">
      <c r="A30" s="2"/>
      <c r="B30" s="30"/>
      <c r="C30" s="31"/>
      <c r="D30" s="32"/>
      <c r="E30" s="32"/>
      <c r="F30" s="32"/>
      <c r="G30" s="13"/>
      <c r="H30" s="33"/>
      <c r="I30" s="32"/>
      <c r="J30" s="32"/>
      <c r="K30" s="34"/>
      <c r="L30" s="2"/>
      <c r="M30" s="81"/>
      <c r="O30" s="81"/>
    </row>
    <row r="31" spans="1:15">
      <c r="A31" s="2"/>
      <c r="B31" s="14" t="s">
        <v>87</v>
      </c>
      <c r="C31" s="78" t="str">
        <f>VLOOKUP(B31,$B$64:$K$698,2,FALSE)</f>
        <v>PAVIMENTO TÉRREO - ANEXO I - CAPELA</v>
      </c>
      <c r="D31" s="71"/>
      <c r="E31" s="71"/>
      <c r="F31" s="71"/>
      <c r="G31" s="79"/>
      <c r="H31" s="73"/>
      <c r="I31" s="71"/>
      <c r="J31" s="87">
        <f>VLOOKUP(B31,$B$64:$K$698,9,FALSE)</f>
        <v>248.56140000000005</v>
      </c>
      <c r="K31" s="81">
        <f>VLOOKUP(B31,$B$64:$K$698,10,FALSE)</f>
        <v>185.81</v>
      </c>
      <c r="L31" s="2"/>
      <c r="M31" s="81">
        <f>VLOOKUP(B31,$B$64:$O$698,12,FALSE)</f>
        <v>0</v>
      </c>
      <c r="O31" s="81">
        <f>VLOOKUP(B31,$B$64:$O$698,14,FALSE)</f>
        <v>0</v>
      </c>
    </row>
    <row r="32" spans="1:15">
      <c r="A32" s="2"/>
      <c r="B32" s="30"/>
      <c r="C32" s="31"/>
      <c r="D32" s="32"/>
      <c r="E32" s="32"/>
      <c r="F32" s="32"/>
      <c r="G32" s="13"/>
      <c r="H32" s="33"/>
      <c r="I32" s="32"/>
      <c r="J32" s="32"/>
      <c r="K32" s="34"/>
      <c r="L32" s="2"/>
      <c r="M32" s="81"/>
      <c r="O32" s="81"/>
    </row>
    <row r="33" spans="1:15">
      <c r="A33" s="2"/>
      <c r="B33" s="14" t="s">
        <v>98</v>
      </c>
      <c r="C33" s="78" t="str">
        <f>VLOOKUP(B33,$B$64:$K$698,2,FALSE)</f>
        <v>PAVIMENTO TÉRREO - ANEXO II - VELÓRIO</v>
      </c>
      <c r="D33" s="71"/>
      <c r="E33" s="71"/>
      <c r="F33" s="71"/>
      <c r="G33" s="79"/>
      <c r="H33" s="73"/>
      <c r="I33" s="71"/>
      <c r="J33" s="87">
        <f>VLOOKUP(B33,$B$64:$K$698,9,FALSE)</f>
        <v>323.80999999999995</v>
      </c>
      <c r="K33" s="81">
        <f>VLOOKUP(B33,$B$64:$K$698,10,FALSE)</f>
        <v>230.64500000000004</v>
      </c>
      <c r="L33" s="2"/>
      <c r="M33" s="81">
        <f>VLOOKUP(B33,$B$64:$O$698,12,FALSE)</f>
        <v>71.36</v>
      </c>
      <c r="O33" s="81">
        <f>VLOOKUP(B33,$B$64:$O$698,14,FALSE)</f>
        <v>0</v>
      </c>
    </row>
    <row r="34" spans="1:15">
      <c r="A34" s="2"/>
      <c r="B34" s="30"/>
      <c r="C34" s="31"/>
      <c r="D34" s="32"/>
      <c r="E34" s="32"/>
      <c r="F34" s="32"/>
      <c r="G34" s="13"/>
      <c r="H34" s="33"/>
      <c r="I34" s="32"/>
      <c r="J34" s="32"/>
      <c r="K34" s="34"/>
      <c r="L34" s="2"/>
      <c r="M34" s="81"/>
      <c r="O34" s="81"/>
    </row>
    <row r="35" spans="1:15">
      <c r="A35" s="2"/>
      <c r="B35" s="77" t="s">
        <v>104</v>
      </c>
      <c r="C35" s="78" t="str">
        <f>VLOOKUP(B35,$B$64:$K$698,2,FALSE)</f>
        <v>PAVIMENTO TÉRREO - ANEXO III - SUBESTAÇÃO</v>
      </c>
      <c r="D35" s="82"/>
      <c r="E35" s="82"/>
      <c r="F35" s="82"/>
      <c r="G35" s="83"/>
      <c r="H35" s="84"/>
      <c r="I35" s="82"/>
      <c r="J35" s="87">
        <f>VLOOKUP(B35,$B$64:$K$698,9,FALSE)</f>
        <v>318.41500000000002</v>
      </c>
      <c r="K35" s="81">
        <f>VLOOKUP(B35,$B$64:$K$698,10,FALSE)</f>
        <v>797.19499999999994</v>
      </c>
      <c r="L35" s="2"/>
      <c r="M35" s="81">
        <f>VLOOKUP(B35,$B$64:$O$698,12,FALSE)</f>
        <v>130.72</v>
      </c>
      <c r="O35" s="81">
        <f>VLOOKUP(B35,$B$64:$O$698,14,FALSE)</f>
        <v>541.625</v>
      </c>
    </row>
    <row r="36" spans="1:15">
      <c r="A36" s="2"/>
      <c r="B36" s="30"/>
      <c r="C36" s="31"/>
      <c r="D36" s="32"/>
      <c r="E36" s="32"/>
      <c r="F36" s="32"/>
      <c r="G36" s="13"/>
      <c r="H36" s="33"/>
      <c r="I36" s="32"/>
      <c r="J36" s="32"/>
      <c r="K36" s="34"/>
      <c r="L36" s="2"/>
      <c r="M36" s="81"/>
      <c r="O36" s="81"/>
    </row>
    <row r="37" spans="1:15">
      <c r="A37" s="2"/>
      <c r="B37" s="77" t="s">
        <v>118</v>
      </c>
      <c r="C37" s="78" t="str">
        <f>VLOOKUP(B37,$B$64:$K$698,2,FALSE)</f>
        <v>PAVIMENTO TÉRREO - ANEXO IV - CPN</v>
      </c>
      <c r="D37" s="82"/>
      <c r="E37" s="82"/>
      <c r="F37" s="82"/>
      <c r="G37" s="83"/>
      <c r="H37" s="84"/>
      <c r="I37" s="82"/>
      <c r="J37" s="87">
        <f>VLOOKUP(B37,$B$64:$K$698,9,FALSE)</f>
        <v>962.38</v>
      </c>
      <c r="K37" s="81">
        <f>VLOOKUP(B37,$B$64:$K$698,10,FALSE)</f>
        <v>1027.0450000000001</v>
      </c>
      <c r="L37" s="2"/>
      <c r="M37" s="81">
        <f>VLOOKUP(B37,$B$64:$O$698,12,FALSE)</f>
        <v>335.80000000000007</v>
      </c>
      <c r="O37" s="81">
        <f>VLOOKUP(B37,$B$64:$O$698,14,FALSE)</f>
        <v>0</v>
      </c>
    </row>
    <row r="38" spans="1:15">
      <c r="A38" s="2"/>
      <c r="B38" s="30"/>
      <c r="C38" s="31"/>
      <c r="D38" s="32"/>
      <c r="E38" s="32"/>
      <c r="F38" s="32"/>
      <c r="G38" s="13"/>
      <c r="H38" s="33"/>
      <c r="I38" s="32"/>
      <c r="J38" s="32"/>
      <c r="K38" s="34"/>
      <c r="L38" s="2"/>
      <c r="M38" s="81"/>
      <c r="O38" s="81"/>
    </row>
    <row r="39" spans="1:15">
      <c r="A39" s="2"/>
      <c r="B39" s="77" t="s">
        <v>127</v>
      </c>
      <c r="C39" s="78" t="str">
        <f>VLOOKUP(B39,$B$64:$K$698,2,FALSE)</f>
        <v>PAVIMENTO TÉRREO - ANEXO V - BANCO DE LEITE E ALMOXARIFADO</v>
      </c>
      <c r="D39" s="82"/>
      <c r="E39" s="82"/>
      <c r="F39" s="82"/>
      <c r="G39" s="83"/>
      <c r="H39" s="84"/>
      <c r="I39" s="82"/>
      <c r="J39" s="87">
        <f>VLOOKUP(B39,$B$64:$K$698,9,FALSE)</f>
        <v>911.95</v>
      </c>
      <c r="K39" s="81">
        <f>VLOOKUP(B39,$B$64:$K$698,10,FALSE)</f>
        <v>954.82500000000005</v>
      </c>
      <c r="L39" s="2"/>
      <c r="M39" s="81">
        <f>VLOOKUP(B39,$B$64:$O$698,12,FALSE)</f>
        <v>220</v>
      </c>
      <c r="O39" s="81">
        <f>VLOOKUP(B39,$B$64:$O$698,14,FALSE)</f>
        <v>49.49</v>
      </c>
    </row>
    <row r="40" spans="1:15">
      <c r="A40" s="2"/>
      <c r="B40" s="30"/>
      <c r="C40" s="31"/>
      <c r="D40" s="32"/>
      <c r="E40" s="32"/>
      <c r="F40" s="32"/>
      <c r="G40" s="13"/>
      <c r="H40" s="33"/>
      <c r="I40" s="32"/>
      <c r="J40" s="32"/>
      <c r="K40" s="34"/>
      <c r="L40" s="2"/>
      <c r="M40" s="81"/>
      <c r="O40" s="81"/>
    </row>
    <row r="41" spans="1:15">
      <c r="A41" s="2"/>
      <c r="B41" s="77" t="s">
        <v>129</v>
      </c>
      <c r="C41" s="78" t="str">
        <f>VLOOKUP(B41,$B$64:$K$698,2,FALSE)</f>
        <v>PAVIMENTO TÉRREO - ANEXO VI - LIXEIRA</v>
      </c>
      <c r="D41" s="82"/>
      <c r="E41" s="82"/>
      <c r="F41" s="82"/>
      <c r="G41" s="83"/>
      <c r="H41" s="84"/>
      <c r="I41" s="82"/>
      <c r="J41" s="87">
        <f>VLOOKUP(B41,$B$64:$K$698,9,FALSE)</f>
        <v>538.90500000000009</v>
      </c>
      <c r="K41" s="81">
        <f>VLOOKUP(B41,$B$64:$K$698,10,FALSE)</f>
        <v>155.31</v>
      </c>
      <c r="L41" s="2"/>
      <c r="M41" s="81">
        <f>VLOOKUP(B41,$B$64:$O$698,12,FALSE)</f>
        <v>95.600000000000009</v>
      </c>
      <c r="O41" s="81">
        <f>VLOOKUP(B41,$B$64:$O$698,14,FALSE)</f>
        <v>0</v>
      </c>
    </row>
    <row r="42" spans="1:15">
      <c r="A42" s="2"/>
      <c r="B42" s="30"/>
      <c r="C42" s="31"/>
      <c r="D42" s="32"/>
      <c r="E42" s="32"/>
      <c r="F42" s="32"/>
      <c r="G42" s="13"/>
      <c r="H42" s="33"/>
      <c r="I42" s="32"/>
      <c r="J42" s="32"/>
      <c r="K42" s="34"/>
      <c r="L42" s="2"/>
      <c r="M42" s="81"/>
      <c r="O42" s="81"/>
    </row>
    <row r="43" spans="1:15">
      <c r="A43" s="2"/>
      <c r="B43" s="14" t="s">
        <v>149</v>
      </c>
      <c r="C43" s="78" t="str">
        <f>VLOOKUP(B43,$B$64:$K$698,2,FALSE)</f>
        <v>PAVIMENTO TÉRREO - MATERNIDADE</v>
      </c>
      <c r="D43" s="71"/>
      <c r="E43" s="71"/>
      <c r="F43" s="71"/>
      <c r="G43" s="79"/>
      <c r="H43" s="73"/>
      <c r="I43" s="71"/>
      <c r="J43" s="87">
        <f>VLOOKUP(B43,$B$64:$K$698,9,FALSE)</f>
        <v>1276.5749999999998</v>
      </c>
      <c r="K43" s="81">
        <f>VLOOKUP(B43,$B$64:$K$698,10,FALSE)</f>
        <v>4130.8149999999996</v>
      </c>
      <c r="L43" s="2"/>
      <c r="M43" s="81">
        <f>VLOOKUP(B43,$B$64:$O$698,12,FALSE)</f>
        <v>1130.0250000000001</v>
      </c>
      <c r="O43" s="81">
        <f>VLOOKUP(B43,$B$64:$O$698,14,FALSE)</f>
        <v>80.550000000000011</v>
      </c>
    </row>
    <row r="44" spans="1:15">
      <c r="A44" s="2"/>
      <c r="B44" s="30"/>
      <c r="C44" s="31"/>
      <c r="D44" s="32"/>
      <c r="E44" s="32"/>
      <c r="F44" s="32"/>
      <c r="G44" s="13"/>
      <c r="H44" s="33"/>
      <c r="I44" s="32"/>
      <c r="J44" s="32"/>
      <c r="K44" s="34"/>
      <c r="L44" s="2"/>
      <c r="M44" s="81"/>
      <c r="O44" s="81"/>
    </row>
    <row r="45" spans="1:15">
      <c r="A45" s="2"/>
      <c r="B45" s="14" t="s">
        <v>152</v>
      </c>
      <c r="C45" s="78" t="str">
        <f>VLOOKUP(B45,$B$64:$K$698,2,FALSE)</f>
        <v>2º PAVIMENTO - MATERNIDADE</v>
      </c>
      <c r="D45" s="71"/>
      <c r="E45" s="71"/>
      <c r="F45" s="71"/>
      <c r="G45" s="79"/>
      <c r="H45" s="73"/>
      <c r="I45" s="71"/>
      <c r="J45" s="87">
        <f>VLOOKUP(B45,$B$64:$K$698,9,FALSE)</f>
        <v>1232.8825000000002</v>
      </c>
      <c r="K45" s="81">
        <f>VLOOKUP(B45,$B$64:$K$698,10,FALSE)</f>
        <v>4065.4050000000002</v>
      </c>
      <c r="L45" s="2"/>
      <c r="M45" s="81">
        <f>VLOOKUP(B45,$B$64:$O$698,12,FALSE)</f>
        <v>968.92500000000007</v>
      </c>
      <c r="O45" s="81">
        <f>VLOOKUP(B45,$B$64:$O$698,14,FALSE)</f>
        <v>774.0300000000002</v>
      </c>
    </row>
    <row r="46" spans="1:15">
      <c r="A46" s="2"/>
      <c r="B46" s="30"/>
      <c r="C46" s="31"/>
      <c r="D46" s="32"/>
      <c r="E46" s="32"/>
      <c r="F46" s="32"/>
      <c r="G46" s="13"/>
      <c r="H46" s="33"/>
      <c r="I46" s="32"/>
      <c r="J46" s="32"/>
      <c r="K46" s="34"/>
      <c r="L46" s="2"/>
      <c r="M46" s="81"/>
      <c r="O46" s="81"/>
    </row>
    <row r="47" spans="1:15">
      <c r="A47" s="2"/>
      <c r="B47" s="14" t="s">
        <v>154</v>
      </c>
      <c r="C47" s="78" t="str">
        <f>VLOOKUP(B47,$B$64:$K$698,2,FALSE)</f>
        <v>3º PAVIMENTO - MATERNIDADE</v>
      </c>
      <c r="D47" s="71"/>
      <c r="E47" s="71"/>
      <c r="F47" s="71"/>
      <c r="G47" s="79"/>
      <c r="H47" s="73"/>
      <c r="I47" s="71"/>
      <c r="J47" s="87">
        <f>VLOOKUP(B47,$B$64:$K$698,9,FALSE)</f>
        <v>1097.9725000000001</v>
      </c>
      <c r="K47" s="81">
        <f>VLOOKUP(B47,$B$64:$K$698,10,FALSE)</f>
        <v>3631.7849999999999</v>
      </c>
      <c r="L47" s="2"/>
      <c r="M47" s="81">
        <f>VLOOKUP(B47,$B$64:$O$698,12,FALSE)</f>
        <v>1011.825</v>
      </c>
      <c r="O47" s="81">
        <f>VLOOKUP(B47,$B$64:$O$698,14,FALSE)</f>
        <v>1006.2</v>
      </c>
    </row>
    <row r="48" spans="1:15">
      <c r="A48" s="2"/>
      <c r="B48" s="30"/>
      <c r="C48" s="31"/>
      <c r="D48" s="32"/>
      <c r="E48" s="32"/>
      <c r="F48" s="32"/>
      <c r="G48" s="13"/>
      <c r="H48" s="33"/>
      <c r="I48" s="32"/>
      <c r="J48" s="32"/>
      <c r="K48" s="34"/>
      <c r="L48" s="2"/>
      <c r="M48" s="81"/>
      <c r="O48" s="81"/>
    </row>
    <row r="49" spans="1:15">
      <c r="A49" s="2"/>
      <c r="B49" s="14" t="s">
        <v>156</v>
      </c>
      <c r="C49" s="78" t="str">
        <f>VLOOKUP(B49,$B$64:$K$698,2,FALSE)</f>
        <v>4º PAVIMENTO - MATERNIDADE</v>
      </c>
      <c r="D49" s="71"/>
      <c r="E49" s="71"/>
      <c r="F49" s="71"/>
      <c r="G49" s="79"/>
      <c r="H49" s="73"/>
      <c r="I49" s="71"/>
      <c r="J49" s="87">
        <f>VLOOKUP(B49,$B$64:$K$698,9,FALSE)</f>
        <v>1315.5324999999998</v>
      </c>
      <c r="K49" s="81">
        <f>VLOOKUP(B49,$B$64:$K$698,10,FALSE)</f>
        <v>3844.4609999999998</v>
      </c>
      <c r="L49" s="2"/>
      <c r="M49" s="81">
        <f>VLOOKUP(B49,$B$64:$O$698,12,FALSE)</f>
        <v>1011.825</v>
      </c>
      <c r="O49" s="81">
        <f>VLOOKUP(B49,$B$64:$O$698,14,FALSE)</f>
        <v>426.92999999999995</v>
      </c>
    </row>
    <row r="50" spans="1:15">
      <c r="A50" s="2"/>
      <c r="B50" s="30"/>
      <c r="C50" s="31"/>
      <c r="D50" s="32"/>
      <c r="E50" s="32"/>
      <c r="F50" s="32"/>
      <c r="G50" s="13"/>
      <c r="H50" s="33"/>
      <c r="I50" s="32"/>
      <c r="J50" s="32"/>
      <c r="K50" s="34"/>
      <c r="L50" s="2"/>
      <c r="M50" s="81"/>
      <c r="O50" s="81"/>
    </row>
    <row r="51" spans="1:15">
      <c r="A51" s="2"/>
      <c r="B51" s="14" t="s">
        <v>158</v>
      </c>
      <c r="C51" s="78" t="str">
        <f>VLOOKUP(B51,$B$64:$K$698,2,FALSE)</f>
        <v>5º PAVIMENTO - MATERNIDADE</v>
      </c>
      <c r="D51" s="71"/>
      <c r="E51" s="71"/>
      <c r="F51" s="71"/>
      <c r="G51" s="79"/>
      <c r="H51" s="73"/>
      <c r="I51" s="71"/>
      <c r="J51" s="87">
        <f>VLOOKUP(B51,$B$64:$K$698,9,FALSE)</f>
        <v>1468.2865000000002</v>
      </c>
      <c r="K51" s="81">
        <f>VLOOKUP(B51,$B$64:$K$698,10,FALSE)</f>
        <v>3933.1259999999997</v>
      </c>
      <c r="L51" s="2"/>
      <c r="M51" s="81">
        <f>VLOOKUP(B51,$B$64:$O$698,12,FALSE)</f>
        <v>1011.825</v>
      </c>
      <c r="O51" s="81">
        <f>VLOOKUP(B51,$B$64:$O$698,14,FALSE)</f>
        <v>0</v>
      </c>
    </row>
    <row r="52" spans="1:15">
      <c r="A52" s="2"/>
      <c r="B52" s="30"/>
      <c r="C52" s="31"/>
      <c r="D52" s="32"/>
      <c r="E52" s="32"/>
      <c r="F52" s="32"/>
      <c r="G52" s="13"/>
      <c r="H52" s="33"/>
      <c r="I52" s="32"/>
      <c r="J52" s="32"/>
      <c r="K52" s="34"/>
      <c r="L52" s="2"/>
      <c r="M52" s="81"/>
      <c r="O52" s="81"/>
    </row>
    <row r="53" spans="1:15">
      <c r="A53" s="2"/>
      <c r="B53" s="14" t="s">
        <v>160</v>
      </c>
      <c r="C53" s="78" t="str">
        <f>VLOOKUP(B53,$B$64:$K$698,2,FALSE)</f>
        <v>6º PAVIMENTO - MATERNIDADE</v>
      </c>
      <c r="D53" s="71"/>
      <c r="E53" s="71"/>
      <c r="F53" s="71"/>
      <c r="G53" s="79"/>
      <c r="H53" s="73"/>
      <c r="I53" s="71"/>
      <c r="J53" s="87">
        <f>VLOOKUP(B53,$B$64:$K$698,9,FALSE)</f>
        <v>1468.2865000000002</v>
      </c>
      <c r="K53" s="81">
        <f>VLOOKUP(B53,$B$64:$K$698,10,FALSE)</f>
        <v>3933.1259999999997</v>
      </c>
      <c r="L53" s="2"/>
      <c r="M53" s="81">
        <f>VLOOKUP(B53,$B$64:$O$698,12,FALSE)</f>
        <v>1011.825</v>
      </c>
      <c r="O53" s="81">
        <f>VLOOKUP(B53,$B$64:$O$698,14,FALSE)</f>
        <v>0</v>
      </c>
    </row>
    <row r="54" spans="1:15">
      <c r="A54" s="2"/>
      <c r="B54" s="30"/>
      <c r="C54" s="31"/>
      <c r="D54" s="32"/>
      <c r="E54" s="32"/>
      <c r="F54" s="32"/>
      <c r="G54" s="13"/>
      <c r="H54" s="33"/>
      <c r="I54" s="32"/>
      <c r="J54" s="32"/>
      <c r="K54" s="34"/>
      <c r="L54" s="2"/>
      <c r="M54" s="81"/>
      <c r="O54" s="81"/>
    </row>
    <row r="55" spans="1:15">
      <c r="A55" s="2"/>
      <c r="B55" s="14" t="s">
        <v>162</v>
      </c>
      <c r="C55" s="78" t="str">
        <f>VLOOKUP(B55,$B$64:$K$698,2,FALSE)</f>
        <v>7º PAVIMENTO - MATERNIDADE</v>
      </c>
      <c r="D55" s="71"/>
      <c r="E55" s="71"/>
      <c r="F55" s="71"/>
      <c r="G55" s="79"/>
      <c r="H55" s="73"/>
      <c r="I55" s="71"/>
      <c r="J55" s="87">
        <f>VLOOKUP(B55,$B$64:$K$698,9,FALSE)</f>
        <v>1468.2865000000002</v>
      </c>
      <c r="K55" s="81">
        <f>VLOOKUP(B55,$B$64:$K$698,10,FALSE)</f>
        <v>3933.1259999999997</v>
      </c>
      <c r="L55" s="2"/>
      <c r="M55" s="81">
        <f>VLOOKUP(B55,$B$64:$O$698,12,FALSE)</f>
        <v>1011.825</v>
      </c>
      <c r="O55" s="81">
        <f>VLOOKUP(B55,$B$64:$O$698,14,FALSE)</f>
        <v>0</v>
      </c>
    </row>
    <row r="56" spans="1:15">
      <c r="A56" s="2"/>
      <c r="B56" s="30"/>
      <c r="C56" s="31"/>
      <c r="D56" s="32"/>
      <c r="E56" s="32"/>
      <c r="F56" s="32"/>
      <c r="G56" s="13"/>
      <c r="H56" s="33"/>
      <c r="I56" s="32"/>
      <c r="J56" s="32"/>
      <c r="K56" s="34"/>
      <c r="L56" s="2"/>
      <c r="M56" s="81"/>
      <c r="O56" s="81"/>
    </row>
    <row r="57" spans="1:15">
      <c r="A57" s="2"/>
      <c r="B57" s="14" t="s">
        <v>164</v>
      </c>
      <c r="C57" s="78" t="str">
        <f>VLOOKUP(B57,$B$64:$K$698,2,FALSE)</f>
        <v>8º PAVIMENTO - MATERNIDADE</v>
      </c>
      <c r="D57" s="71"/>
      <c r="E57" s="71"/>
      <c r="F57" s="71"/>
      <c r="G57" s="79"/>
      <c r="H57" s="73"/>
      <c r="I57" s="71"/>
      <c r="J57" s="87">
        <f>VLOOKUP(B57,$B$64:$K$698,9,FALSE)</f>
        <v>988.38249999999994</v>
      </c>
      <c r="K57" s="81">
        <f>VLOOKUP(B57,$B$64:$K$698,10,FALSE)</f>
        <v>3630.8069999999998</v>
      </c>
      <c r="L57" s="2"/>
      <c r="M57" s="81">
        <f>VLOOKUP(B57,$B$64:$O$698,12,FALSE)</f>
        <v>1011.825</v>
      </c>
      <c r="O57" s="81">
        <f>VLOOKUP(B57,$B$64:$O$698,14,FALSE)</f>
        <v>0</v>
      </c>
    </row>
    <row r="58" spans="1:15">
      <c r="A58" s="2"/>
      <c r="B58" s="30"/>
      <c r="C58" s="31"/>
      <c r="D58" s="32"/>
      <c r="E58" s="32"/>
      <c r="F58" s="32"/>
      <c r="G58" s="13"/>
      <c r="H58" s="33"/>
      <c r="I58" s="32"/>
      <c r="J58" s="32"/>
      <c r="K58" s="34"/>
      <c r="L58" s="2"/>
      <c r="M58" s="81"/>
      <c r="O58" s="81"/>
    </row>
    <row r="59" spans="1:15">
      <c r="A59" s="2"/>
      <c r="B59" s="14" t="s">
        <v>166</v>
      </c>
      <c r="C59" s="78" t="str">
        <f>VLOOKUP(B59,$B$64:$K$698,2,FALSE)</f>
        <v>9º PAVIMENTO - HELIPORTO DA MATERNIDADE</v>
      </c>
      <c r="D59" s="71"/>
      <c r="E59" s="71"/>
      <c r="F59" s="71"/>
      <c r="G59" s="79"/>
      <c r="H59" s="73"/>
      <c r="I59" s="71"/>
      <c r="J59" s="87">
        <f>VLOOKUP(B59,$B$64:$K$698,9,FALSE)</f>
        <v>399.90600000000006</v>
      </c>
      <c r="K59" s="81">
        <f>VLOOKUP(B59,$B$64:$K$698,10,FALSE)</f>
        <v>1672.962</v>
      </c>
      <c r="L59" s="2"/>
      <c r="M59" s="81">
        <f>VLOOKUP(B59,$B$64:$O$698,12,FALSE)</f>
        <v>711.55799999999999</v>
      </c>
      <c r="O59" s="81">
        <f>VLOOKUP(B59,$B$64:$O$698,14,FALSE)</f>
        <v>0</v>
      </c>
    </row>
    <row r="60" spans="1:15">
      <c r="A60" s="2"/>
      <c r="B60" s="30"/>
      <c r="C60" s="31"/>
      <c r="D60" s="32"/>
      <c r="E60" s="32"/>
      <c r="F60" s="32"/>
      <c r="G60" s="13"/>
      <c r="H60" s="33"/>
      <c r="I60" s="32"/>
      <c r="J60" s="32"/>
      <c r="K60" s="34"/>
      <c r="L60" s="2"/>
    </row>
    <row r="61" spans="1:15">
      <c r="A61" s="2"/>
      <c r="B61" s="30"/>
      <c r="C61" s="31"/>
      <c r="D61" s="32"/>
      <c r="E61" s="32"/>
      <c r="F61" s="32"/>
      <c r="G61" s="13"/>
      <c r="H61" s="33"/>
      <c r="I61" s="32"/>
      <c r="J61" s="32"/>
      <c r="K61" s="34"/>
      <c r="L61" s="2"/>
    </row>
    <row r="62" spans="1:15" ht="28.8">
      <c r="A62" s="2"/>
      <c r="B62" s="10" t="s">
        <v>1</v>
      </c>
      <c r="C62" s="10" t="s">
        <v>2</v>
      </c>
      <c r="D62" s="10" t="s">
        <v>287</v>
      </c>
      <c r="E62" s="10" t="s">
        <v>286</v>
      </c>
      <c r="F62" s="10" t="s">
        <v>5</v>
      </c>
      <c r="G62" s="10" t="s">
        <v>6</v>
      </c>
      <c r="H62" s="68" t="s">
        <v>7</v>
      </c>
      <c r="I62" s="72" t="s">
        <v>8</v>
      </c>
      <c r="J62" s="488" t="s">
        <v>2655</v>
      </c>
      <c r="K62" s="488" t="s">
        <v>2080</v>
      </c>
      <c r="L62" s="1033" t="s">
        <v>1769</v>
      </c>
      <c r="M62" s="1035"/>
      <c r="N62" s="1033" t="s">
        <v>1219</v>
      </c>
      <c r="O62" s="1034"/>
    </row>
    <row r="63" spans="1:15">
      <c r="A63" s="2"/>
      <c r="B63" s="21"/>
      <c r="C63" s="21"/>
      <c r="D63" s="21"/>
      <c r="E63" s="21"/>
      <c r="F63" s="21"/>
      <c r="G63" s="21"/>
      <c r="H63" s="74"/>
      <c r="I63" s="21"/>
      <c r="J63" s="21"/>
      <c r="K63" s="21"/>
      <c r="L63" s="2"/>
      <c r="N63" s="2"/>
    </row>
    <row r="64" spans="1:15">
      <c r="A64" s="2"/>
      <c r="B64" s="14" t="s">
        <v>86</v>
      </c>
      <c r="C64" s="1004" t="s">
        <v>103</v>
      </c>
      <c r="D64" s="1004"/>
      <c r="E64" s="1004"/>
      <c r="F64" s="1004"/>
      <c r="G64" s="1004"/>
      <c r="H64" s="1004"/>
      <c r="I64" s="1004"/>
      <c r="J64" s="75">
        <f>SUM(J65:J133)</f>
        <v>1845.402</v>
      </c>
      <c r="K64" s="399">
        <f>SUM(K65:K133)</f>
        <v>4375.8119999999999</v>
      </c>
      <c r="L64" s="401"/>
      <c r="M64" s="399">
        <f>SUM(M65:M133)</f>
        <v>1989.4230000000002</v>
      </c>
      <c r="N64" s="401"/>
      <c r="O64" s="399">
        <f>SUM(O65:O133)</f>
        <v>42.900000000000006</v>
      </c>
    </row>
    <row r="65" spans="1:15">
      <c r="A65" s="16"/>
      <c r="B65" s="14"/>
      <c r="C65" s="17" t="s">
        <v>288</v>
      </c>
      <c r="D65" s="70" t="s">
        <v>347</v>
      </c>
      <c r="E65" s="18">
        <v>13.654</v>
      </c>
      <c r="F65" s="18">
        <f>$I$24</f>
        <v>3</v>
      </c>
      <c r="G65" s="19">
        <f>PRODUCT(E65,F65)</f>
        <v>40.962000000000003</v>
      </c>
      <c r="H65" s="69">
        <v>0</v>
      </c>
      <c r="I65" s="18">
        <v>1</v>
      </c>
      <c r="J65" s="71">
        <f>IF(D65="Emboço",G65," ")</f>
        <v>40.962000000000003</v>
      </c>
      <c r="K65" s="73" t="str">
        <f>IF(D65="Reboco",G65," ")</f>
        <v xml:space="preserve"> </v>
      </c>
      <c r="L65" s="402"/>
      <c r="M65" s="403" t="str">
        <f t="shared" ref="M65:M96" si="0">IF(L65="x",G65,"")</f>
        <v/>
      </c>
      <c r="N65" s="402"/>
      <c r="O65" s="403" t="str">
        <f t="shared" ref="O65:O96" si="1">IF(N65="x",G65,"")</f>
        <v/>
      </c>
    </row>
    <row r="66" spans="1:15">
      <c r="A66" s="16"/>
      <c r="B66" s="14"/>
      <c r="C66" s="17" t="s">
        <v>289</v>
      </c>
      <c r="D66" s="70" t="s">
        <v>347</v>
      </c>
      <c r="E66" s="18">
        <v>13.654</v>
      </c>
      <c r="F66" s="18">
        <f>$F$65</f>
        <v>3</v>
      </c>
      <c r="G66" s="19">
        <f t="shared" ref="G66:G133" si="2">PRODUCT(E66,F66)</f>
        <v>40.962000000000003</v>
      </c>
      <c r="H66" s="69">
        <v>0</v>
      </c>
      <c r="I66" s="18">
        <v>1</v>
      </c>
      <c r="J66" s="71">
        <f t="shared" ref="J66:J129" si="3">IF(D66="Emboço",G66," ")</f>
        <v>40.962000000000003</v>
      </c>
      <c r="K66" s="73" t="str">
        <f t="shared" ref="K66:K129" si="4">IF(D66="Reboco",G66," ")</f>
        <v xml:space="preserve"> </v>
      </c>
      <c r="L66" s="402"/>
      <c r="M66" s="403" t="str">
        <f t="shared" si="0"/>
        <v/>
      </c>
      <c r="N66" s="402"/>
      <c r="O66" s="403" t="str">
        <f t="shared" si="1"/>
        <v/>
      </c>
    </row>
    <row r="67" spans="1:15">
      <c r="A67" s="16"/>
      <c r="B67" s="14"/>
      <c r="C67" s="17" t="s">
        <v>290</v>
      </c>
      <c r="D67" s="70" t="s">
        <v>347</v>
      </c>
      <c r="E67" s="18">
        <v>23.753999999999998</v>
      </c>
      <c r="F67" s="18">
        <f t="shared" ref="F67:F131" si="5">$F$65</f>
        <v>3</v>
      </c>
      <c r="G67" s="19">
        <f t="shared" si="2"/>
        <v>71.262</v>
      </c>
      <c r="H67" s="69">
        <v>0</v>
      </c>
      <c r="I67" s="18">
        <v>1</v>
      </c>
      <c r="J67" s="71">
        <f t="shared" si="3"/>
        <v>71.262</v>
      </c>
      <c r="K67" s="73" t="str">
        <f t="shared" si="4"/>
        <v xml:space="preserve"> </v>
      </c>
      <c r="L67" s="402"/>
      <c r="M67" s="403" t="str">
        <f t="shared" si="0"/>
        <v/>
      </c>
      <c r="N67" s="402"/>
      <c r="O67" s="403" t="str">
        <f t="shared" si="1"/>
        <v/>
      </c>
    </row>
    <row r="68" spans="1:15">
      <c r="A68" s="16"/>
      <c r="B68" s="14"/>
      <c r="C68" s="17" t="s">
        <v>291</v>
      </c>
      <c r="D68" s="70" t="s">
        <v>347</v>
      </c>
      <c r="E68" s="18">
        <v>23.753999999999998</v>
      </c>
      <c r="F68" s="18">
        <f t="shared" si="5"/>
        <v>3</v>
      </c>
      <c r="G68" s="19">
        <f t="shared" si="2"/>
        <v>71.262</v>
      </c>
      <c r="H68" s="69">
        <v>0</v>
      </c>
      <c r="I68" s="18">
        <v>1</v>
      </c>
      <c r="J68" s="71">
        <f t="shared" si="3"/>
        <v>71.262</v>
      </c>
      <c r="K68" s="73" t="str">
        <f t="shared" si="4"/>
        <v xml:space="preserve"> </v>
      </c>
      <c r="L68" s="402"/>
      <c r="M68" s="403" t="str">
        <f t="shared" si="0"/>
        <v/>
      </c>
      <c r="N68" s="402"/>
      <c r="O68" s="403" t="str">
        <f t="shared" si="1"/>
        <v/>
      </c>
    </row>
    <row r="69" spans="1:15">
      <c r="A69" s="16"/>
      <c r="B69" s="14"/>
      <c r="C69" s="17" t="s">
        <v>292</v>
      </c>
      <c r="D69" s="70" t="s">
        <v>347</v>
      </c>
      <c r="E69" s="18">
        <v>14.302</v>
      </c>
      <c r="F69" s="18">
        <f t="shared" si="5"/>
        <v>3</v>
      </c>
      <c r="G69" s="19">
        <f t="shared" si="2"/>
        <v>42.905999999999999</v>
      </c>
      <c r="H69" s="69">
        <v>0</v>
      </c>
      <c r="I69" s="18">
        <v>1</v>
      </c>
      <c r="J69" s="71">
        <f t="shared" si="3"/>
        <v>42.905999999999999</v>
      </c>
      <c r="K69" s="73" t="str">
        <f t="shared" si="4"/>
        <v xml:space="preserve"> </v>
      </c>
      <c r="L69" s="402"/>
      <c r="M69" s="403" t="str">
        <f t="shared" si="0"/>
        <v/>
      </c>
      <c r="N69" s="402"/>
      <c r="O69" s="403" t="str">
        <f t="shared" si="1"/>
        <v/>
      </c>
    </row>
    <row r="70" spans="1:15">
      <c r="A70" s="16"/>
      <c r="B70" s="14"/>
      <c r="C70" s="17" t="s">
        <v>293</v>
      </c>
      <c r="D70" s="70" t="s">
        <v>347</v>
      </c>
      <c r="E70" s="18">
        <v>11.202</v>
      </c>
      <c r="F70" s="18">
        <f t="shared" si="5"/>
        <v>3</v>
      </c>
      <c r="G70" s="19">
        <f t="shared" si="2"/>
        <v>33.606000000000002</v>
      </c>
      <c r="H70" s="69">
        <v>0</v>
      </c>
      <c r="I70" s="18">
        <v>1</v>
      </c>
      <c r="J70" s="71">
        <f t="shared" si="3"/>
        <v>33.606000000000002</v>
      </c>
      <c r="K70" s="73" t="str">
        <f t="shared" si="4"/>
        <v xml:space="preserve"> </v>
      </c>
      <c r="L70" s="402"/>
      <c r="M70" s="403" t="str">
        <f t="shared" si="0"/>
        <v/>
      </c>
      <c r="N70" s="402"/>
      <c r="O70" s="403" t="str">
        <f t="shared" si="1"/>
        <v/>
      </c>
    </row>
    <row r="71" spans="1:15">
      <c r="A71" s="16"/>
      <c r="B71" s="14"/>
      <c r="C71" s="17" t="s">
        <v>293</v>
      </c>
      <c r="D71" s="70" t="s">
        <v>347</v>
      </c>
      <c r="E71" s="18">
        <v>11.202</v>
      </c>
      <c r="F71" s="18">
        <f t="shared" si="5"/>
        <v>3</v>
      </c>
      <c r="G71" s="19">
        <f t="shared" si="2"/>
        <v>33.606000000000002</v>
      </c>
      <c r="H71" s="69">
        <v>0</v>
      </c>
      <c r="I71" s="18">
        <v>1</v>
      </c>
      <c r="J71" s="71">
        <f t="shared" si="3"/>
        <v>33.606000000000002</v>
      </c>
      <c r="K71" s="73" t="str">
        <f t="shared" si="4"/>
        <v xml:space="preserve"> </v>
      </c>
      <c r="L71" s="402"/>
      <c r="M71" s="403" t="str">
        <f t="shared" si="0"/>
        <v/>
      </c>
      <c r="N71" s="402"/>
      <c r="O71" s="403" t="str">
        <f t="shared" si="1"/>
        <v/>
      </c>
    </row>
    <row r="72" spans="1:15">
      <c r="A72" s="16"/>
      <c r="B72" s="14"/>
      <c r="C72" s="17" t="s">
        <v>294</v>
      </c>
      <c r="D72" s="70" t="s">
        <v>347</v>
      </c>
      <c r="E72" s="18">
        <v>14.302</v>
      </c>
      <c r="F72" s="18">
        <f t="shared" si="5"/>
        <v>3</v>
      </c>
      <c r="G72" s="19">
        <f t="shared" si="2"/>
        <v>42.905999999999999</v>
      </c>
      <c r="H72" s="69">
        <v>0</v>
      </c>
      <c r="I72" s="18">
        <v>1</v>
      </c>
      <c r="J72" s="71">
        <f t="shared" si="3"/>
        <v>42.905999999999999</v>
      </c>
      <c r="K72" s="73" t="str">
        <f t="shared" si="4"/>
        <v xml:space="preserve"> </v>
      </c>
      <c r="L72" s="402"/>
      <c r="M72" s="403" t="str">
        <f t="shared" si="0"/>
        <v/>
      </c>
      <c r="N72" s="402"/>
      <c r="O72" s="403" t="str">
        <f t="shared" si="1"/>
        <v/>
      </c>
    </row>
    <row r="73" spans="1:15">
      <c r="A73" s="16"/>
      <c r="B73" s="14"/>
      <c r="C73" s="17" t="s">
        <v>295</v>
      </c>
      <c r="D73" s="70" t="s">
        <v>348</v>
      </c>
      <c r="E73" s="18">
        <f>77.75+68.75</f>
        <v>146.5</v>
      </c>
      <c r="F73" s="18">
        <f t="shared" si="5"/>
        <v>3</v>
      </c>
      <c r="G73" s="19">
        <f t="shared" si="2"/>
        <v>439.5</v>
      </c>
      <c r="H73" s="69">
        <v>0</v>
      </c>
      <c r="I73" s="18">
        <v>1</v>
      </c>
      <c r="J73" s="71" t="str">
        <f t="shared" si="3"/>
        <v xml:space="preserve"> </v>
      </c>
      <c r="K73" s="73">
        <f t="shared" si="4"/>
        <v>439.5</v>
      </c>
      <c r="L73" s="402" t="s">
        <v>952</v>
      </c>
      <c r="M73" s="403">
        <f t="shared" si="0"/>
        <v>439.5</v>
      </c>
      <c r="N73" s="402"/>
      <c r="O73" s="403" t="str">
        <f t="shared" si="1"/>
        <v/>
      </c>
    </row>
    <row r="74" spans="1:15">
      <c r="A74" s="16"/>
      <c r="B74" s="14"/>
      <c r="C74" s="17" t="s">
        <v>296</v>
      </c>
      <c r="D74" s="70" t="s">
        <v>348</v>
      </c>
      <c r="E74" s="18">
        <v>102.08</v>
      </c>
      <c r="F74" s="18">
        <f t="shared" si="5"/>
        <v>3</v>
      </c>
      <c r="G74" s="19">
        <f t="shared" si="2"/>
        <v>306.24</v>
      </c>
      <c r="H74" s="69">
        <v>0</v>
      </c>
      <c r="I74" s="18">
        <v>1</v>
      </c>
      <c r="J74" s="71" t="str">
        <f t="shared" si="3"/>
        <v xml:space="preserve"> </v>
      </c>
      <c r="K74" s="73">
        <f t="shared" si="4"/>
        <v>306.24</v>
      </c>
      <c r="L74" s="402"/>
      <c r="M74" s="403" t="str">
        <f t="shared" si="0"/>
        <v/>
      </c>
      <c r="N74" s="402"/>
      <c r="O74" s="403" t="str">
        <f t="shared" si="1"/>
        <v/>
      </c>
    </row>
    <row r="75" spans="1:15">
      <c r="A75" s="16"/>
      <c r="B75" s="14"/>
      <c r="C75" s="17" t="s">
        <v>297</v>
      </c>
      <c r="D75" s="70" t="s">
        <v>348</v>
      </c>
      <c r="E75" s="18">
        <v>14.3</v>
      </c>
      <c r="F75" s="18">
        <f t="shared" si="5"/>
        <v>3</v>
      </c>
      <c r="G75" s="19">
        <f t="shared" si="2"/>
        <v>42.900000000000006</v>
      </c>
      <c r="H75" s="69">
        <v>0</v>
      </c>
      <c r="I75" s="18">
        <v>1</v>
      </c>
      <c r="J75" s="71" t="str">
        <f t="shared" si="3"/>
        <v xml:space="preserve"> </v>
      </c>
      <c r="K75" s="73">
        <f t="shared" si="4"/>
        <v>42.900000000000006</v>
      </c>
      <c r="L75" s="402"/>
      <c r="M75" s="403" t="str">
        <f t="shared" si="0"/>
        <v/>
      </c>
      <c r="N75" s="402" t="s">
        <v>952</v>
      </c>
      <c r="O75" s="403">
        <f t="shared" si="1"/>
        <v>42.900000000000006</v>
      </c>
    </row>
    <row r="76" spans="1:15">
      <c r="A76" s="16"/>
      <c r="B76" s="14"/>
      <c r="C76" s="17" t="s">
        <v>298</v>
      </c>
      <c r="D76" s="70" t="s">
        <v>347</v>
      </c>
      <c r="E76" s="18">
        <v>18.904</v>
      </c>
      <c r="F76" s="18">
        <f t="shared" si="5"/>
        <v>3</v>
      </c>
      <c r="G76" s="19">
        <f t="shared" si="2"/>
        <v>56.712000000000003</v>
      </c>
      <c r="H76" s="69">
        <v>0</v>
      </c>
      <c r="I76" s="18">
        <v>1</v>
      </c>
      <c r="J76" s="71">
        <f t="shared" si="3"/>
        <v>56.712000000000003</v>
      </c>
      <c r="K76" s="73" t="str">
        <f t="shared" si="4"/>
        <v xml:space="preserve"> </v>
      </c>
      <c r="L76" s="402"/>
      <c r="M76" s="403" t="str">
        <f t="shared" si="0"/>
        <v/>
      </c>
      <c r="N76" s="402"/>
      <c r="O76" s="403" t="str">
        <f t="shared" si="1"/>
        <v/>
      </c>
    </row>
    <row r="77" spans="1:15">
      <c r="A77" s="16"/>
      <c r="B77" s="14"/>
      <c r="C77" s="17" t="s">
        <v>299</v>
      </c>
      <c r="D77" s="70" t="s">
        <v>348</v>
      </c>
      <c r="E77" s="18">
        <v>15.100000000000001</v>
      </c>
      <c r="F77" s="18">
        <f t="shared" si="5"/>
        <v>3</v>
      </c>
      <c r="G77" s="19">
        <f t="shared" si="2"/>
        <v>45.300000000000004</v>
      </c>
      <c r="H77" s="69">
        <v>0</v>
      </c>
      <c r="I77" s="18">
        <v>1</v>
      </c>
      <c r="J77" s="71" t="str">
        <f t="shared" si="3"/>
        <v xml:space="preserve"> </v>
      </c>
      <c r="K77" s="73">
        <f t="shared" si="4"/>
        <v>45.300000000000004</v>
      </c>
      <c r="L77" s="402"/>
      <c r="M77" s="403" t="str">
        <f t="shared" si="0"/>
        <v/>
      </c>
      <c r="N77" s="402"/>
      <c r="O77" s="403" t="str">
        <f t="shared" si="1"/>
        <v/>
      </c>
    </row>
    <row r="78" spans="1:15">
      <c r="A78" s="16"/>
      <c r="B78" s="14"/>
      <c r="C78" s="17" t="s">
        <v>300</v>
      </c>
      <c r="D78" s="70" t="s">
        <v>347</v>
      </c>
      <c r="E78" s="18">
        <v>12.295999999999999</v>
      </c>
      <c r="F78" s="18">
        <f t="shared" si="5"/>
        <v>3</v>
      </c>
      <c r="G78" s="19">
        <f t="shared" si="2"/>
        <v>36.887999999999998</v>
      </c>
      <c r="H78" s="69">
        <v>0</v>
      </c>
      <c r="I78" s="18">
        <v>1</v>
      </c>
      <c r="J78" s="71">
        <f t="shared" si="3"/>
        <v>36.887999999999998</v>
      </c>
      <c r="K78" s="73" t="str">
        <f t="shared" si="4"/>
        <v xml:space="preserve"> </v>
      </c>
      <c r="L78" s="402"/>
      <c r="M78" s="403" t="str">
        <f t="shared" si="0"/>
        <v/>
      </c>
      <c r="N78" s="402"/>
      <c r="O78" s="403" t="str">
        <f t="shared" si="1"/>
        <v/>
      </c>
    </row>
    <row r="79" spans="1:15">
      <c r="A79" s="16"/>
      <c r="B79" s="14"/>
      <c r="C79" s="17" t="s">
        <v>301</v>
      </c>
      <c r="D79" s="70" t="s">
        <v>347</v>
      </c>
      <c r="E79" s="18">
        <v>9.3960000000000008</v>
      </c>
      <c r="F79" s="18">
        <f t="shared" si="5"/>
        <v>3</v>
      </c>
      <c r="G79" s="19">
        <f t="shared" si="2"/>
        <v>28.188000000000002</v>
      </c>
      <c r="H79" s="69">
        <v>0</v>
      </c>
      <c r="I79" s="18">
        <v>1</v>
      </c>
      <c r="J79" s="71">
        <f t="shared" si="3"/>
        <v>28.188000000000002</v>
      </c>
      <c r="K79" s="73" t="str">
        <f t="shared" si="4"/>
        <v xml:space="preserve"> </v>
      </c>
      <c r="L79" s="402"/>
      <c r="M79" s="403" t="str">
        <f t="shared" si="0"/>
        <v/>
      </c>
      <c r="N79" s="402"/>
      <c r="O79" s="403" t="str">
        <f t="shared" si="1"/>
        <v/>
      </c>
    </row>
    <row r="80" spans="1:15">
      <c r="A80" s="16"/>
      <c r="B80" s="14"/>
      <c r="C80" s="17" t="s">
        <v>302</v>
      </c>
      <c r="D80" s="70" t="s">
        <v>348</v>
      </c>
      <c r="E80" s="18">
        <v>12.295999999999999</v>
      </c>
      <c r="F80" s="18">
        <f t="shared" si="5"/>
        <v>3</v>
      </c>
      <c r="G80" s="19">
        <f t="shared" si="2"/>
        <v>36.887999999999998</v>
      </c>
      <c r="H80" s="69">
        <v>0</v>
      </c>
      <c r="I80" s="18">
        <v>1</v>
      </c>
      <c r="J80" s="71" t="str">
        <f t="shared" si="3"/>
        <v xml:space="preserve"> </v>
      </c>
      <c r="K80" s="73">
        <f t="shared" si="4"/>
        <v>36.887999999999998</v>
      </c>
      <c r="L80" s="402"/>
      <c r="M80" s="403" t="str">
        <f t="shared" si="0"/>
        <v/>
      </c>
      <c r="N80" s="402"/>
      <c r="O80" s="403" t="str">
        <f t="shared" si="1"/>
        <v/>
      </c>
    </row>
    <row r="81" spans="1:15">
      <c r="A81" s="16"/>
      <c r="B81" s="14"/>
      <c r="C81" s="17" t="s">
        <v>303</v>
      </c>
      <c r="D81" s="70" t="s">
        <v>348</v>
      </c>
      <c r="E81" s="18">
        <v>27</v>
      </c>
      <c r="F81" s="18">
        <f t="shared" si="5"/>
        <v>3</v>
      </c>
      <c r="G81" s="19">
        <f t="shared" si="2"/>
        <v>81</v>
      </c>
      <c r="H81" s="69">
        <v>0</v>
      </c>
      <c r="I81" s="18">
        <v>1</v>
      </c>
      <c r="J81" s="71" t="str">
        <f t="shared" si="3"/>
        <v xml:space="preserve"> </v>
      </c>
      <c r="K81" s="73">
        <f t="shared" si="4"/>
        <v>81</v>
      </c>
      <c r="L81" s="402"/>
      <c r="M81" s="403" t="str">
        <f t="shared" si="0"/>
        <v/>
      </c>
      <c r="N81" s="402"/>
      <c r="O81" s="403" t="str">
        <f t="shared" si="1"/>
        <v/>
      </c>
    </row>
    <row r="82" spans="1:15">
      <c r="A82" s="16"/>
      <c r="B82" s="14"/>
      <c r="C82" s="17" t="s">
        <v>304</v>
      </c>
      <c r="D82" s="70" t="s">
        <v>347</v>
      </c>
      <c r="E82" s="18">
        <v>32.795999999999999</v>
      </c>
      <c r="F82" s="18">
        <f t="shared" si="5"/>
        <v>3</v>
      </c>
      <c r="G82" s="19">
        <f t="shared" si="2"/>
        <v>98.388000000000005</v>
      </c>
      <c r="H82" s="69">
        <v>0</v>
      </c>
      <c r="I82" s="18">
        <v>1</v>
      </c>
      <c r="J82" s="71">
        <f t="shared" si="3"/>
        <v>98.388000000000005</v>
      </c>
      <c r="K82" s="73" t="str">
        <f t="shared" si="4"/>
        <v xml:space="preserve"> </v>
      </c>
      <c r="L82" s="402"/>
      <c r="M82" s="403" t="str">
        <f t="shared" si="0"/>
        <v/>
      </c>
      <c r="N82" s="402"/>
      <c r="O82" s="403" t="str">
        <f t="shared" si="1"/>
        <v/>
      </c>
    </row>
    <row r="83" spans="1:15">
      <c r="A83" s="16"/>
      <c r="B83" s="14"/>
      <c r="C83" s="17" t="s">
        <v>305</v>
      </c>
      <c r="D83" s="70" t="s">
        <v>347</v>
      </c>
      <c r="E83" s="18">
        <v>24.695999999999998</v>
      </c>
      <c r="F83" s="18">
        <f t="shared" si="5"/>
        <v>3</v>
      </c>
      <c r="G83" s="19">
        <f t="shared" si="2"/>
        <v>74.087999999999994</v>
      </c>
      <c r="H83" s="69">
        <v>0</v>
      </c>
      <c r="I83" s="18">
        <v>1</v>
      </c>
      <c r="J83" s="71">
        <f t="shared" si="3"/>
        <v>74.087999999999994</v>
      </c>
      <c r="K83" s="73" t="str">
        <f t="shared" si="4"/>
        <v xml:space="preserve"> </v>
      </c>
      <c r="L83" s="402"/>
      <c r="M83" s="403" t="str">
        <f t="shared" si="0"/>
        <v/>
      </c>
      <c r="N83" s="402"/>
      <c r="O83" s="403" t="str">
        <f t="shared" si="1"/>
        <v/>
      </c>
    </row>
    <row r="84" spans="1:15">
      <c r="A84" s="16"/>
      <c r="B84" s="14"/>
      <c r="C84" s="17" t="s">
        <v>306</v>
      </c>
      <c r="D84" s="70" t="s">
        <v>348</v>
      </c>
      <c r="E84" s="18">
        <v>37.5</v>
      </c>
      <c r="F84" s="18">
        <f t="shared" si="5"/>
        <v>3</v>
      </c>
      <c r="G84" s="19">
        <f t="shared" si="2"/>
        <v>112.5</v>
      </c>
      <c r="H84" s="69">
        <v>0</v>
      </c>
      <c r="I84" s="18">
        <v>1</v>
      </c>
      <c r="J84" s="71" t="str">
        <f t="shared" si="3"/>
        <v xml:space="preserve"> </v>
      </c>
      <c r="K84" s="73">
        <f t="shared" si="4"/>
        <v>112.5</v>
      </c>
      <c r="L84" s="402" t="s">
        <v>952</v>
      </c>
      <c r="M84" s="403">
        <f t="shared" si="0"/>
        <v>112.5</v>
      </c>
      <c r="N84" s="402"/>
      <c r="O84" s="403" t="str">
        <f t="shared" si="1"/>
        <v/>
      </c>
    </row>
    <row r="85" spans="1:15">
      <c r="A85" s="16"/>
      <c r="B85" s="14"/>
      <c r="C85" s="17" t="s">
        <v>307</v>
      </c>
      <c r="D85" s="70" t="s">
        <v>348</v>
      </c>
      <c r="E85" s="18">
        <v>11.8</v>
      </c>
      <c r="F85" s="18">
        <f t="shared" si="5"/>
        <v>3</v>
      </c>
      <c r="G85" s="19">
        <f t="shared" si="2"/>
        <v>35.400000000000006</v>
      </c>
      <c r="H85" s="69">
        <v>0</v>
      </c>
      <c r="I85" s="18">
        <v>1</v>
      </c>
      <c r="J85" s="71" t="str">
        <f t="shared" si="3"/>
        <v xml:space="preserve"> </v>
      </c>
      <c r="K85" s="73">
        <f t="shared" si="4"/>
        <v>35.400000000000006</v>
      </c>
      <c r="L85" s="402"/>
      <c r="M85" s="403" t="str">
        <f t="shared" si="0"/>
        <v/>
      </c>
      <c r="N85" s="402"/>
      <c r="O85" s="403" t="str">
        <f t="shared" si="1"/>
        <v/>
      </c>
    </row>
    <row r="86" spans="1:15">
      <c r="A86" s="16"/>
      <c r="B86" s="14"/>
      <c r="C86" s="17" t="s">
        <v>308</v>
      </c>
      <c r="D86" s="70" t="s">
        <v>348</v>
      </c>
      <c r="E86" s="18">
        <v>7.5</v>
      </c>
      <c r="F86" s="18">
        <f t="shared" si="5"/>
        <v>3</v>
      </c>
      <c r="G86" s="19">
        <f t="shared" si="2"/>
        <v>22.5</v>
      </c>
      <c r="H86" s="69">
        <v>0</v>
      </c>
      <c r="I86" s="18">
        <v>1</v>
      </c>
      <c r="J86" s="71" t="str">
        <f t="shared" si="3"/>
        <v xml:space="preserve"> </v>
      </c>
      <c r="K86" s="73">
        <f t="shared" si="4"/>
        <v>22.5</v>
      </c>
      <c r="L86" s="402"/>
      <c r="M86" s="403" t="str">
        <f t="shared" si="0"/>
        <v/>
      </c>
      <c r="N86" s="402"/>
      <c r="O86" s="403" t="str">
        <f t="shared" si="1"/>
        <v/>
      </c>
    </row>
    <row r="87" spans="1:15">
      <c r="A87" s="16"/>
      <c r="B87" s="14"/>
      <c r="C87" s="17" t="s">
        <v>309</v>
      </c>
      <c r="D87" s="70" t="s">
        <v>348</v>
      </c>
      <c r="E87" s="18">
        <v>103.89</v>
      </c>
      <c r="F87" s="18">
        <f t="shared" si="5"/>
        <v>3</v>
      </c>
      <c r="G87" s="19">
        <f t="shared" si="2"/>
        <v>311.67</v>
      </c>
      <c r="H87" s="69">
        <v>0</v>
      </c>
      <c r="I87" s="18">
        <v>1</v>
      </c>
      <c r="J87" s="71" t="str">
        <f t="shared" si="3"/>
        <v xml:space="preserve"> </v>
      </c>
      <c r="K87" s="73">
        <f t="shared" si="4"/>
        <v>311.67</v>
      </c>
      <c r="L87" s="402"/>
      <c r="M87" s="403" t="str">
        <f t="shared" si="0"/>
        <v/>
      </c>
      <c r="N87" s="402"/>
      <c r="O87" s="403" t="str">
        <f t="shared" si="1"/>
        <v/>
      </c>
    </row>
    <row r="88" spans="1:15">
      <c r="A88" s="16"/>
      <c r="B88" s="14"/>
      <c r="C88" s="17" t="s">
        <v>310</v>
      </c>
      <c r="D88" s="70" t="s">
        <v>347</v>
      </c>
      <c r="E88" s="18">
        <v>26.15</v>
      </c>
      <c r="F88" s="18">
        <f t="shared" si="5"/>
        <v>3</v>
      </c>
      <c r="G88" s="19">
        <f t="shared" si="2"/>
        <v>78.449999999999989</v>
      </c>
      <c r="H88" s="69">
        <v>0</v>
      </c>
      <c r="I88" s="18">
        <v>1</v>
      </c>
      <c r="J88" s="71">
        <f t="shared" si="3"/>
        <v>78.449999999999989</v>
      </c>
      <c r="K88" s="73" t="str">
        <f t="shared" si="4"/>
        <v xml:space="preserve"> </v>
      </c>
      <c r="L88" s="402"/>
      <c r="M88" s="403" t="str">
        <f t="shared" si="0"/>
        <v/>
      </c>
      <c r="N88" s="402"/>
      <c r="O88" s="403" t="str">
        <f t="shared" si="1"/>
        <v/>
      </c>
    </row>
    <row r="89" spans="1:15">
      <c r="A89" s="16"/>
      <c r="B89" s="14"/>
      <c r="C89" s="17" t="s">
        <v>299</v>
      </c>
      <c r="D89" s="70" t="s">
        <v>348</v>
      </c>
      <c r="E89" s="18">
        <v>39.415999999999997</v>
      </c>
      <c r="F89" s="18">
        <f t="shared" si="5"/>
        <v>3</v>
      </c>
      <c r="G89" s="19">
        <f t="shared" si="2"/>
        <v>118.24799999999999</v>
      </c>
      <c r="H89" s="69">
        <v>0</v>
      </c>
      <c r="I89" s="18">
        <v>1</v>
      </c>
      <c r="J89" s="71" t="str">
        <f t="shared" si="3"/>
        <v xml:space="preserve"> </v>
      </c>
      <c r="K89" s="73">
        <f t="shared" si="4"/>
        <v>118.24799999999999</v>
      </c>
      <c r="L89" s="402" t="s">
        <v>952</v>
      </c>
      <c r="M89" s="403">
        <f t="shared" si="0"/>
        <v>118.24799999999999</v>
      </c>
      <c r="N89" s="402"/>
      <c r="O89" s="403" t="str">
        <f t="shared" si="1"/>
        <v/>
      </c>
    </row>
    <row r="90" spans="1:15">
      <c r="A90" s="16"/>
      <c r="B90" s="14"/>
      <c r="C90" s="17" t="s">
        <v>311</v>
      </c>
      <c r="D90" s="70" t="s">
        <v>348</v>
      </c>
      <c r="E90" s="18">
        <v>24.038</v>
      </c>
      <c r="F90" s="18">
        <f t="shared" si="5"/>
        <v>3</v>
      </c>
      <c r="G90" s="19">
        <f t="shared" si="2"/>
        <v>72.114000000000004</v>
      </c>
      <c r="H90" s="69">
        <v>0</v>
      </c>
      <c r="I90" s="18">
        <v>1</v>
      </c>
      <c r="J90" s="71" t="str">
        <f t="shared" si="3"/>
        <v xml:space="preserve"> </v>
      </c>
      <c r="K90" s="73">
        <f t="shared" si="4"/>
        <v>72.114000000000004</v>
      </c>
      <c r="L90" s="402"/>
      <c r="M90" s="403" t="str">
        <f t="shared" si="0"/>
        <v/>
      </c>
      <c r="N90" s="402"/>
      <c r="O90" s="403" t="str">
        <f t="shared" si="1"/>
        <v/>
      </c>
    </row>
    <row r="91" spans="1:15">
      <c r="A91" s="16"/>
      <c r="B91" s="14"/>
      <c r="C91" s="17" t="s">
        <v>312</v>
      </c>
      <c r="D91" s="70" t="s">
        <v>348</v>
      </c>
      <c r="E91" s="18">
        <v>26.25</v>
      </c>
      <c r="F91" s="18">
        <f t="shared" si="5"/>
        <v>3</v>
      </c>
      <c r="G91" s="19">
        <f t="shared" si="2"/>
        <v>78.75</v>
      </c>
      <c r="H91" s="69">
        <v>0</v>
      </c>
      <c r="I91" s="18">
        <v>1</v>
      </c>
      <c r="J91" s="71" t="str">
        <f t="shared" si="3"/>
        <v xml:space="preserve"> </v>
      </c>
      <c r="K91" s="73">
        <f t="shared" si="4"/>
        <v>78.75</v>
      </c>
      <c r="L91" s="402"/>
      <c r="M91" s="403" t="str">
        <f t="shared" si="0"/>
        <v/>
      </c>
      <c r="N91" s="402"/>
      <c r="O91" s="403" t="str">
        <f t="shared" si="1"/>
        <v/>
      </c>
    </row>
    <row r="92" spans="1:15">
      <c r="A92" s="16"/>
      <c r="B92" s="14"/>
      <c r="C92" s="17" t="s">
        <v>313</v>
      </c>
      <c r="D92" s="70" t="s">
        <v>347</v>
      </c>
      <c r="E92" s="18">
        <v>8.1</v>
      </c>
      <c r="F92" s="18">
        <f t="shared" si="5"/>
        <v>3</v>
      </c>
      <c r="G92" s="19">
        <f t="shared" si="2"/>
        <v>24.299999999999997</v>
      </c>
      <c r="H92" s="69">
        <v>0</v>
      </c>
      <c r="I92" s="18">
        <v>1</v>
      </c>
      <c r="J92" s="71">
        <f t="shared" si="3"/>
        <v>24.299999999999997</v>
      </c>
      <c r="K92" s="73" t="str">
        <f t="shared" si="4"/>
        <v xml:space="preserve"> </v>
      </c>
      <c r="L92" s="402"/>
      <c r="M92" s="403" t="str">
        <f t="shared" si="0"/>
        <v/>
      </c>
      <c r="N92" s="402"/>
      <c r="O92" s="403" t="str">
        <f t="shared" si="1"/>
        <v/>
      </c>
    </row>
    <row r="93" spans="1:15">
      <c r="A93" s="16"/>
      <c r="B93" s="14"/>
      <c r="C93" s="17" t="s">
        <v>314</v>
      </c>
      <c r="D93" s="70" t="s">
        <v>347</v>
      </c>
      <c r="E93" s="18">
        <v>8.1</v>
      </c>
      <c r="F93" s="18">
        <f t="shared" si="5"/>
        <v>3</v>
      </c>
      <c r="G93" s="19">
        <f t="shared" si="2"/>
        <v>24.299999999999997</v>
      </c>
      <c r="H93" s="69">
        <v>0</v>
      </c>
      <c r="I93" s="18">
        <v>1</v>
      </c>
      <c r="J93" s="71">
        <f t="shared" si="3"/>
        <v>24.299999999999997</v>
      </c>
      <c r="K93" s="73" t="str">
        <f t="shared" si="4"/>
        <v xml:space="preserve"> </v>
      </c>
      <c r="L93" s="402"/>
      <c r="M93" s="403" t="str">
        <f t="shared" si="0"/>
        <v/>
      </c>
      <c r="N93" s="402"/>
      <c r="O93" s="403" t="str">
        <f t="shared" si="1"/>
        <v/>
      </c>
    </row>
    <row r="94" spans="1:15">
      <c r="A94" s="16"/>
      <c r="B94" s="14"/>
      <c r="C94" s="17" t="s">
        <v>315</v>
      </c>
      <c r="D94" s="70" t="s">
        <v>348</v>
      </c>
      <c r="E94" s="18">
        <v>23.01</v>
      </c>
      <c r="F94" s="18">
        <f t="shared" si="5"/>
        <v>3</v>
      </c>
      <c r="G94" s="19">
        <f t="shared" si="2"/>
        <v>69.03</v>
      </c>
      <c r="H94" s="69">
        <v>0</v>
      </c>
      <c r="I94" s="18">
        <v>1</v>
      </c>
      <c r="J94" s="71" t="str">
        <f t="shared" si="3"/>
        <v xml:space="preserve"> </v>
      </c>
      <c r="K94" s="73">
        <f t="shared" si="4"/>
        <v>69.03</v>
      </c>
      <c r="L94" s="402"/>
      <c r="M94" s="403" t="str">
        <f t="shared" si="0"/>
        <v/>
      </c>
      <c r="N94" s="402"/>
      <c r="O94" s="403" t="str">
        <f t="shared" si="1"/>
        <v/>
      </c>
    </row>
    <row r="95" spans="1:15">
      <c r="A95" s="16"/>
      <c r="B95" s="14"/>
      <c r="C95" s="17" t="s">
        <v>315</v>
      </c>
      <c r="D95" s="70" t="s">
        <v>348</v>
      </c>
      <c r="E95" s="18">
        <v>15.04</v>
      </c>
      <c r="F95" s="18">
        <f t="shared" si="5"/>
        <v>3</v>
      </c>
      <c r="G95" s="19">
        <f t="shared" si="2"/>
        <v>45.12</v>
      </c>
      <c r="H95" s="69">
        <v>0</v>
      </c>
      <c r="I95" s="18">
        <v>1</v>
      </c>
      <c r="J95" s="71" t="str">
        <f t="shared" si="3"/>
        <v xml:space="preserve"> </v>
      </c>
      <c r="K95" s="73">
        <f t="shared" si="4"/>
        <v>45.12</v>
      </c>
      <c r="L95" s="402"/>
      <c r="M95" s="403" t="str">
        <f t="shared" si="0"/>
        <v/>
      </c>
      <c r="N95" s="402"/>
      <c r="O95" s="403" t="str">
        <f t="shared" si="1"/>
        <v/>
      </c>
    </row>
    <row r="96" spans="1:15">
      <c r="A96" s="16"/>
      <c r="B96" s="14"/>
      <c r="C96" s="17" t="s">
        <v>316</v>
      </c>
      <c r="D96" s="70" t="s">
        <v>347</v>
      </c>
      <c r="E96" s="18">
        <v>10.4</v>
      </c>
      <c r="F96" s="18">
        <f t="shared" si="5"/>
        <v>3</v>
      </c>
      <c r="G96" s="19">
        <f t="shared" si="2"/>
        <v>31.200000000000003</v>
      </c>
      <c r="H96" s="69">
        <v>0</v>
      </c>
      <c r="I96" s="18">
        <v>1</v>
      </c>
      <c r="J96" s="71">
        <f t="shared" si="3"/>
        <v>31.200000000000003</v>
      </c>
      <c r="K96" s="73" t="str">
        <f t="shared" si="4"/>
        <v xml:space="preserve"> </v>
      </c>
      <c r="L96" s="402"/>
      <c r="M96" s="403" t="str">
        <f t="shared" si="0"/>
        <v/>
      </c>
      <c r="N96" s="402"/>
      <c r="O96" s="403" t="str">
        <f t="shared" si="1"/>
        <v/>
      </c>
    </row>
    <row r="97" spans="1:15">
      <c r="A97" s="16"/>
      <c r="B97" s="14"/>
      <c r="C97" s="17" t="s">
        <v>317</v>
      </c>
      <c r="D97" s="70" t="s">
        <v>347</v>
      </c>
      <c r="E97" s="18">
        <v>13.739999999999998</v>
      </c>
      <c r="F97" s="18">
        <f t="shared" si="5"/>
        <v>3</v>
      </c>
      <c r="G97" s="19">
        <f t="shared" si="2"/>
        <v>41.22</v>
      </c>
      <c r="H97" s="69">
        <v>0</v>
      </c>
      <c r="I97" s="18">
        <v>1</v>
      </c>
      <c r="J97" s="71">
        <f t="shared" si="3"/>
        <v>41.22</v>
      </c>
      <c r="K97" s="73" t="str">
        <f t="shared" si="4"/>
        <v xml:space="preserve"> </v>
      </c>
      <c r="L97" s="402"/>
      <c r="M97" s="403" t="str">
        <f t="shared" ref="M97:M128" si="6">IF(L97="x",G97,"")</f>
        <v/>
      </c>
      <c r="N97" s="402"/>
      <c r="O97" s="403" t="str">
        <f t="shared" ref="O97:O128" si="7">IF(N97="x",G97,"")</f>
        <v/>
      </c>
    </row>
    <row r="98" spans="1:15">
      <c r="A98" s="16"/>
      <c r="B98" s="14"/>
      <c r="C98" s="17" t="s">
        <v>318</v>
      </c>
      <c r="D98" s="70" t="s">
        <v>348</v>
      </c>
      <c r="E98" s="18">
        <v>17.690000000000001</v>
      </c>
      <c r="F98" s="18">
        <f t="shared" si="5"/>
        <v>3</v>
      </c>
      <c r="G98" s="19">
        <f t="shared" si="2"/>
        <v>53.070000000000007</v>
      </c>
      <c r="H98" s="69">
        <v>0</v>
      </c>
      <c r="I98" s="18">
        <v>1</v>
      </c>
      <c r="J98" s="71" t="str">
        <f t="shared" si="3"/>
        <v xml:space="preserve"> </v>
      </c>
      <c r="K98" s="73">
        <f t="shared" si="4"/>
        <v>53.070000000000007</v>
      </c>
      <c r="L98" s="402"/>
      <c r="M98" s="403" t="str">
        <f t="shared" si="6"/>
        <v/>
      </c>
      <c r="N98" s="402"/>
      <c r="O98" s="403" t="str">
        <f t="shared" si="7"/>
        <v/>
      </c>
    </row>
    <row r="99" spans="1:15">
      <c r="A99" s="16"/>
      <c r="B99" s="14"/>
      <c r="C99" s="17" t="s">
        <v>319</v>
      </c>
      <c r="D99" s="70" t="s">
        <v>348</v>
      </c>
      <c r="E99" s="18">
        <v>12.086</v>
      </c>
      <c r="F99" s="18">
        <f t="shared" si="5"/>
        <v>3</v>
      </c>
      <c r="G99" s="19">
        <f t="shared" si="2"/>
        <v>36.258000000000003</v>
      </c>
      <c r="H99" s="69">
        <v>0</v>
      </c>
      <c r="I99" s="18">
        <v>1</v>
      </c>
      <c r="J99" s="71" t="str">
        <f t="shared" si="3"/>
        <v xml:space="preserve"> </v>
      </c>
      <c r="K99" s="73">
        <f t="shared" si="4"/>
        <v>36.258000000000003</v>
      </c>
      <c r="L99" s="402"/>
      <c r="M99" s="403" t="str">
        <f t="shared" si="6"/>
        <v/>
      </c>
      <c r="N99" s="402"/>
      <c r="O99" s="403" t="str">
        <f t="shared" si="7"/>
        <v/>
      </c>
    </row>
    <row r="100" spans="1:15">
      <c r="A100" s="16"/>
      <c r="B100" s="14"/>
      <c r="C100" s="17" t="s">
        <v>319</v>
      </c>
      <c r="D100" s="70" t="s">
        <v>348</v>
      </c>
      <c r="E100" s="18">
        <v>12.086</v>
      </c>
      <c r="F100" s="18">
        <f t="shared" si="5"/>
        <v>3</v>
      </c>
      <c r="G100" s="19">
        <f t="shared" si="2"/>
        <v>36.258000000000003</v>
      </c>
      <c r="H100" s="69">
        <v>0</v>
      </c>
      <c r="I100" s="18">
        <v>1</v>
      </c>
      <c r="J100" s="71" t="str">
        <f t="shared" si="3"/>
        <v xml:space="preserve"> </v>
      </c>
      <c r="K100" s="73">
        <f t="shared" si="4"/>
        <v>36.258000000000003</v>
      </c>
      <c r="L100" s="402"/>
      <c r="M100" s="403" t="str">
        <f t="shared" si="6"/>
        <v/>
      </c>
      <c r="N100" s="402"/>
      <c r="O100" s="403" t="str">
        <f t="shared" si="7"/>
        <v/>
      </c>
    </row>
    <row r="101" spans="1:15">
      <c r="A101" s="16"/>
      <c r="B101" s="14"/>
      <c r="C101" s="17" t="s">
        <v>320</v>
      </c>
      <c r="D101" s="70" t="s">
        <v>348</v>
      </c>
      <c r="E101" s="18">
        <v>17.175000000000001</v>
      </c>
      <c r="F101" s="18">
        <f t="shared" si="5"/>
        <v>3</v>
      </c>
      <c r="G101" s="19">
        <f t="shared" si="2"/>
        <v>51.525000000000006</v>
      </c>
      <c r="H101" s="69">
        <v>0</v>
      </c>
      <c r="I101" s="18">
        <v>1</v>
      </c>
      <c r="J101" s="71" t="str">
        <f t="shared" si="3"/>
        <v xml:space="preserve"> </v>
      </c>
      <c r="K101" s="73">
        <f t="shared" si="4"/>
        <v>51.525000000000006</v>
      </c>
      <c r="L101" s="402"/>
      <c r="M101" s="403" t="str">
        <f t="shared" si="6"/>
        <v/>
      </c>
      <c r="N101" s="402"/>
      <c r="O101" s="403" t="str">
        <f t="shared" si="7"/>
        <v/>
      </c>
    </row>
    <row r="102" spans="1:15">
      <c r="A102" s="16"/>
      <c r="B102" s="14"/>
      <c r="C102" s="17" t="s">
        <v>302</v>
      </c>
      <c r="D102" s="70" t="s">
        <v>348</v>
      </c>
      <c r="E102" s="18">
        <v>11.83</v>
      </c>
      <c r="F102" s="18">
        <f t="shared" si="5"/>
        <v>3</v>
      </c>
      <c r="G102" s="19">
        <f t="shared" si="2"/>
        <v>35.49</v>
      </c>
      <c r="H102" s="69">
        <v>0</v>
      </c>
      <c r="I102" s="18">
        <v>1</v>
      </c>
      <c r="J102" s="71" t="str">
        <f t="shared" si="3"/>
        <v xml:space="preserve"> </v>
      </c>
      <c r="K102" s="73">
        <f t="shared" si="4"/>
        <v>35.49</v>
      </c>
      <c r="L102" s="402"/>
      <c r="M102" s="403" t="str">
        <f t="shared" si="6"/>
        <v/>
      </c>
      <c r="N102" s="402"/>
      <c r="O102" s="403" t="str">
        <f t="shared" si="7"/>
        <v/>
      </c>
    </row>
    <row r="103" spans="1:15">
      <c r="A103" s="16"/>
      <c r="B103" s="14"/>
      <c r="C103" s="17" t="s">
        <v>321</v>
      </c>
      <c r="D103" s="70" t="s">
        <v>347</v>
      </c>
      <c r="E103" s="18">
        <v>12.530000000000001</v>
      </c>
      <c r="F103" s="18">
        <f t="shared" si="5"/>
        <v>3</v>
      </c>
      <c r="G103" s="19">
        <f t="shared" si="2"/>
        <v>37.590000000000003</v>
      </c>
      <c r="H103" s="69">
        <v>0</v>
      </c>
      <c r="I103" s="18">
        <v>1</v>
      </c>
      <c r="J103" s="71">
        <f t="shared" si="3"/>
        <v>37.590000000000003</v>
      </c>
      <c r="K103" s="73" t="str">
        <f t="shared" si="4"/>
        <v xml:space="preserve"> </v>
      </c>
      <c r="L103" s="402"/>
      <c r="M103" s="403" t="str">
        <f t="shared" si="6"/>
        <v/>
      </c>
      <c r="N103" s="402"/>
      <c r="O103" s="403" t="str">
        <f t="shared" si="7"/>
        <v/>
      </c>
    </row>
    <row r="104" spans="1:15">
      <c r="A104" s="16"/>
      <c r="B104" s="14"/>
      <c r="C104" s="17" t="s">
        <v>322</v>
      </c>
      <c r="D104" s="70" t="s">
        <v>347</v>
      </c>
      <c r="E104" s="18">
        <v>18.745999999999999</v>
      </c>
      <c r="F104" s="18">
        <f t="shared" si="5"/>
        <v>3</v>
      </c>
      <c r="G104" s="19">
        <f t="shared" si="2"/>
        <v>56.238</v>
      </c>
      <c r="H104" s="69">
        <v>0</v>
      </c>
      <c r="I104" s="18">
        <v>1</v>
      </c>
      <c r="J104" s="71">
        <f t="shared" si="3"/>
        <v>56.238</v>
      </c>
      <c r="K104" s="73" t="str">
        <f t="shared" si="4"/>
        <v xml:space="preserve"> </v>
      </c>
      <c r="L104" s="402"/>
      <c r="M104" s="403" t="str">
        <f t="shared" si="6"/>
        <v/>
      </c>
      <c r="N104" s="402"/>
      <c r="O104" s="403" t="str">
        <f t="shared" si="7"/>
        <v/>
      </c>
    </row>
    <row r="105" spans="1:15">
      <c r="A105" s="16"/>
      <c r="B105" s="14"/>
      <c r="C105" s="17" t="s">
        <v>323</v>
      </c>
      <c r="D105" s="70" t="s">
        <v>347</v>
      </c>
      <c r="E105" s="18">
        <v>20.698</v>
      </c>
      <c r="F105" s="18">
        <f t="shared" si="5"/>
        <v>3</v>
      </c>
      <c r="G105" s="19">
        <f t="shared" si="2"/>
        <v>62.094000000000001</v>
      </c>
      <c r="H105" s="69">
        <v>0</v>
      </c>
      <c r="I105" s="18">
        <v>1</v>
      </c>
      <c r="J105" s="71">
        <f t="shared" si="3"/>
        <v>62.094000000000001</v>
      </c>
      <c r="K105" s="73" t="str">
        <f t="shared" si="4"/>
        <v xml:space="preserve"> </v>
      </c>
      <c r="L105" s="402"/>
      <c r="M105" s="403" t="str">
        <f t="shared" si="6"/>
        <v/>
      </c>
      <c r="N105" s="402"/>
      <c r="O105" s="403" t="str">
        <f t="shared" si="7"/>
        <v/>
      </c>
    </row>
    <row r="106" spans="1:15">
      <c r="A106" s="16"/>
      <c r="B106" s="14"/>
      <c r="C106" s="17" t="s">
        <v>308</v>
      </c>
      <c r="D106" s="70" t="s">
        <v>347</v>
      </c>
      <c r="E106" s="18">
        <v>10.85</v>
      </c>
      <c r="F106" s="18">
        <f t="shared" si="5"/>
        <v>3</v>
      </c>
      <c r="G106" s="19">
        <f t="shared" si="2"/>
        <v>32.549999999999997</v>
      </c>
      <c r="H106" s="69">
        <v>0</v>
      </c>
      <c r="I106" s="18">
        <v>1</v>
      </c>
      <c r="J106" s="71">
        <f t="shared" si="3"/>
        <v>32.549999999999997</v>
      </c>
      <c r="K106" s="73" t="str">
        <f t="shared" si="4"/>
        <v xml:space="preserve"> </v>
      </c>
      <c r="L106" s="402"/>
      <c r="M106" s="403" t="str">
        <f t="shared" si="6"/>
        <v/>
      </c>
      <c r="N106" s="402"/>
      <c r="O106" s="403" t="str">
        <f t="shared" si="7"/>
        <v/>
      </c>
    </row>
    <row r="107" spans="1:15">
      <c r="A107" s="16"/>
      <c r="B107" s="14"/>
      <c r="C107" s="17" t="s">
        <v>308</v>
      </c>
      <c r="D107" s="70" t="s">
        <v>347</v>
      </c>
      <c r="E107" s="18">
        <v>10.85</v>
      </c>
      <c r="F107" s="18">
        <f t="shared" si="5"/>
        <v>3</v>
      </c>
      <c r="G107" s="19">
        <f t="shared" si="2"/>
        <v>32.549999999999997</v>
      </c>
      <c r="H107" s="69">
        <v>0</v>
      </c>
      <c r="I107" s="18">
        <v>1</v>
      </c>
      <c r="J107" s="71">
        <f t="shared" si="3"/>
        <v>32.549999999999997</v>
      </c>
      <c r="K107" s="73" t="str">
        <f t="shared" si="4"/>
        <v xml:space="preserve"> </v>
      </c>
      <c r="L107" s="402"/>
      <c r="M107" s="403" t="str">
        <f t="shared" si="6"/>
        <v/>
      </c>
      <c r="N107" s="402"/>
      <c r="O107" s="403" t="str">
        <f t="shared" si="7"/>
        <v/>
      </c>
    </row>
    <row r="108" spans="1:15">
      <c r="A108" s="16"/>
      <c r="B108" s="14"/>
      <c r="C108" s="17" t="s">
        <v>324</v>
      </c>
      <c r="D108" s="70" t="s">
        <v>348</v>
      </c>
      <c r="E108" s="18">
        <v>23.700000000000003</v>
      </c>
      <c r="F108" s="18">
        <f t="shared" si="5"/>
        <v>3</v>
      </c>
      <c r="G108" s="19">
        <f t="shared" si="2"/>
        <v>71.100000000000009</v>
      </c>
      <c r="H108" s="69">
        <v>0</v>
      </c>
      <c r="I108" s="18">
        <v>1</v>
      </c>
      <c r="J108" s="71" t="str">
        <f t="shared" si="3"/>
        <v xml:space="preserve"> </v>
      </c>
      <c r="K108" s="73">
        <f t="shared" si="4"/>
        <v>71.100000000000009</v>
      </c>
      <c r="L108" s="402"/>
      <c r="M108" s="403" t="str">
        <f t="shared" si="6"/>
        <v/>
      </c>
      <c r="N108" s="402"/>
      <c r="O108" s="403" t="str">
        <f t="shared" si="7"/>
        <v/>
      </c>
    </row>
    <row r="109" spans="1:15">
      <c r="A109" s="16"/>
      <c r="B109" s="14"/>
      <c r="C109" s="17" t="s">
        <v>325</v>
      </c>
      <c r="D109" s="70" t="s">
        <v>348</v>
      </c>
      <c r="E109" s="18">
        <v>32.700000000000003</v>
      </c>
      <c r="F109" s="18">
        <f t="shared" si="5"/>
        <v>3</v>
      </c>
      <c r="G109" s="19">
        <f t="shared" si="2"/>
        <v>98.100000000000009</v>
      </c>
      <c r="H109" s="69">
        <v>0</v>
      </c>
      <c r="I109" s="18">
        <v>1</v>
      </c>
      <c r="J109" s="71" t="str">
        <f t="shared" si="3"/>
        <v xml:space="preserve"> </v>
      </c>
      <c r="K109" s="73">
        <f t="shared" si="4"/>
        <v>98.100000000000009</v>
      </c>
      <c r="L109" s="402"/>
      <c r="M109" s="403" t="str">
        <f t="shared" si="6"/>
        <v/>
      </c>
      <c r="N109" s="402"/>
      <c r="O109" s="403" t="str">
        <f t="shared" si="7"/>
        <v/>
      </c>
    </row>
    <row r="110" spans="1:15">
      <c r="A110" s="16"/>
      <c r="B110" s="14"/>
      <c r="C110" s="17" t="s">
        <v>326</v>
      </c>
      <c r="D110" s="70" t="s">
        <v>348</v>
      </c>
      <c r="E110" s="18">
        <v>13</v>
      </c>
      <c r="F110" s="18">
        <f t="shared" si="5"/>
        <v>3</v>
      </c>
      <c r="G110" s="19">
        <f t="shared" si="2"/>
        <v>39</v>
      </c>
      <c r="H110" s="69">
        <v>0</v>
      </c>
      <c r="I110" s="18">
        <v>1</v>
      </c>
      <c r="J110" s="71" t="str">
        <f t="shared" si="3"/>
        <v xml:space="preserve"> </v>
      </c>
      <c r="K110" s="73">
        <f t="shared" si="4"/>
        <v>39</v>
      </c>
      <c r="L110" s="402"/>
      <c r="M110" s="403" t="str">
        <f t="shared" si="6"/>
        <v/>
      </c>
      <c r="N110" s="402"/>
      <c r="O110" s="403" t="str">
        <f t="shared" si="7"/>
        <v/>
      </c>
    </row>
    <row r="111" spans="1:15">
      <c r="A111" s="16"/>
      <c r="B111" s="14"/>
      <c r="C111" s="17" t="s">
        <v>327</v>
      </c>
      <c r="D111" s="70" t="s">
        <v>347</v>
      </c>
      <c r="E111" s="18">
        <v>28.67</v>
      </c>
      <c r="F111" s="18">
        <f t="shared" si="5"/>
        <v>3</v>
      </c>
      <c r="G111" s="19">
        <f t="shared" si="2"/>
        <v>86.01</v>
      </c>
      <c r="H111" s="69">
        <v>0</v>
      </c>
      <c r="I111" s="18">
        <v>1</v>
      </c>
      <c r="J111" s="71">
        <f t="shared" si="3"/>
        <v>86.01</v>
      </c>
      <c r="K111" s="73" t="str">
        <f t="shared" si="4"/>
        <v xml:space="preserve"> </v>
      </c>
      <c r="L111" s="402"/>
      <c r="M111" s="403" t="str">
        <f t="shared" si="6"/>
        <v/>
      </c>
      <c r="N111" s="402"/>
      <c r="O111" s="403" t="str">
        <f t="shared" si="7"/>
        <v/>
      </c>
    </row>
    <row r="112" spans="1:15">
      <c r="A112" s="16"/>
      <c r="B112" s="14"/>
      <c r="C112" s="17" t="s">
        <v>328</v>
      </c>
      <c r="D112" s="70" t="s">
        <v>347</v>
      </c>
      <c r="E112" s="18">
        <v>51.4</v>
      </c>
      <c r="F112" s="18">
        <f t="shared" si="5"/>
        <v>3</v>
      </c>
      <c r="G112" s="19">
        <f t="shared" si="2"/>
        <v>154.19999999999999</v>
      </c>
      <c r="H112" s="69">
        <v>0</v>
      </c>
      <c r="I112" s="18">
        <v>1</v>
      </c>
      <c r="J112" s="71">
        <f t="shared" si="3"/>
        <v>154.19999999999999</v>
      </c>
      <c r="K112" s="73" t="str">
        <f t="shared" si="4"/>
        <v xml:space="preserve"> </v>
      </c>
      <c r="L112" s="402"/>
      <c r="M112" s="403" t="str">
        <f t="shared" si="6"/>
        <v/>
      </c>
      <c r="N112" s="402"/>
      <c r="O112" s="403" t="str">
        <f t="shared" si="7"/>
        <v/>
      </c>
    </row>
    <row r="113" spans="1:15">
      <c r="A113" s="16"/>
      <c r="B113" s="14"/>
      <c r="C113" s="17" t="s">
        <v>329</v>
      </c>
      <c r="D113" s="70" t="s">
        <v>347</v>
      </c>
      <c r="E113" s="18">
        <v>18.3</v>
      </c>
      <c r="F113" s="18">
        <f t="shared" si="5"/>
        <v>3</v>
      </c>
      <c r="G113" s="19">
        <f t="shared" si="2"/>
        <v>54.900000000000006</v>
      </c>
      <c r="H113" s="69">
        <v>0</v>
      </c>
      <c r="I113" s="18">
        <v>1</v>
      </c>
      <c r="J113" s="71">
        <f t="shared" si="3"/>
        <v>54.900000000000006</v>
      </c>
      <c r="K113" s="73" t="str">
        <f t="shared" si="4"/>
        <v xml:space="preserve"> </v>
      </c>
      <c r="L113" s="402"/>
      <c r="M113" s="403" t="str">
        <f t="shared" si="6"/>
        <v/>
      </c>
      <c r="N113" s="402"/>
      <c r="O113" s="403" t="str">
        <f t="shared" si="7"/>
        <v/>
      </c>
    </row>
    <row r="114" spans="1:15">
      <c r="A114" s="16"/>
      <c r="B114" s="14"/>
      <c r="C114" s="17" t="s">
        <v>330</v>
      </c>
      <c r="D114" s="70" t="s">
        <v>347</v>
      </c>
      <c r="E114" s="18">
        <v>11</v>
      </c>
      <c r="F114" s="18">
        <f t="shared" si="5"/>
        <v>3</v>
      </c>
      <c r="G114" s="19">
        <f t="shared" si="2"/>
        <v>33</v>
      </c>
      <c r="H114" s="69">
        <v>0</v>
      </c>
      <c r="I114" s="18">
        <v>1</v>
      </c>
      <c r="J114" s="71">
        <f t="shared" si="3"/>
        <v>33</v>
      </c>
      <c r="K114" s="73" t="str">
        <f t="shared" si="4"/>
        <v xml:space="preserve"> </v>
      </c>
      <c r="L114" s="402"/>
      <c r="M114" s="403" t="str">
        <f t="shared" si="6"/>
        <v/>
      </c>
      <c r="N114" s="402"/>
      <c r="O114" s="403" t="str">
        <f t="shared" si="7"/>
        <v/>
      </c>
    </row>
    <row r="115" spans="1:15">
      <c r="A115" s="16"/>
      <c r="B115" s="14"/>
      <c r="C115" s="17" t="s">
        <v>331</v>
      </c>
      <c r="D115" s="70" t="s">
        <v>347</v>
      </c>
      <c r="E115" s="18">
        <v>15.474</v>
      </c>
      <c r="F115" s="18">
        <f t="shared" si="5"/>
        <v>3</v>
      </c>
      <c r="G115" s="19">
        <f t="shared" si="2"/>
        <v>46.421999999999997</v>
      </c>
      <c r="H115" s="69">
        <v>0</v>
      </c>
      <c r="I115" s="18">
        <v>1</v>
      </c>
      <c r="J115" s="71">
        <f t="shared" si="3"/>
        <v>46.421999999999997</v>
      </c>
      <c r="K115" s="73" t="str">
        <f t="shared" si="4"/>
        <v xml:space="preserve"> </v>
      </c>
      <c r="L115" s="402"/>
      <c r="M115" s="403" t="str">
        <f t="shared" si="6"/>
        <v/>
      </c>
      <c r="N115" s="402"/>
      <c r="O115" s="403" t="str">
        <f t="shared" si="7"/>
        <v/>
      </c>
    </row>
    <row r="116" spans="1:15">
      <c r="A116" s="16"/>
      <c r="B116" s="14"/>
      <c r="C116" s="17" t="s">
        <v>315</v>
      </c>
      <c r="D116" s="70" t="s">
        <v>348</v>
      </c>
      <c r="E116" s="18">
        <v>15</v>
      </c>
      <c r="F116" s="18">
        <f t="shared" si="5"/>
        <v>3</v>
      </c>
      <c r="G116" s="19">
        <f t="shared" si="2"/>
        <v>45</v>
      </c>
      <c r="H116" s="69">
        <v>0</v>
      </c>
      <c r="I116" s="18">
        <v>1</v>
      </c>
      <c r="J116" s="71" t="str">
        <f t="shared" si="3"/>
        <v xml:space="preserve"> </v>
      </c>
      <c r="K116" s="73">
        <f t="shared" si="4"/>
        <v>45</v>
      </c>
      <c r="L116" s="402"/>
      <c r="M116" s="403" t="str">
        <f t="shared" si="6"/>
        <v/>
      </c>
      <c r="N116" s="402"/>
      <c r="O116" s="403" t="str">
        <f t="shared" si="7"/>
        <v/>
      </c>
    </row>
    <row r="117" spans="1:15">
      <c r="A117" s="16"/>
      <c r="B117" s="14"/>
      <c r="C117" s="17" t="s">
        <v>332</v>
      </c>
      <c r="D117" s="70" t="s">
        <v>347</v>
      </c>
      <c r="E117" s="18">
        <v>18.899999999999999</v>
      </c>
      <c r="F117" s="18">
        <f t="shared" si="5"/>
        <v>3</v>
      </c>
      <c r="G117" s="19">
        <f t="shared" si="2"/>
        <v>56.699999999999996</v>
      </c>
      <c r="H117" s="69">
        <v>0</v>
      </c>
      <c r="I117" s="18">
        <v>1</v>
      </c>
      <c r="J117" s="71">
        <f t="shared" si="3"/>
        <v>56.699999999999996</v>
      </c>
      <c r="K117" s="73" t="str">
        <f t="shared" si="4"/>
        <v xml:space="preserve"> </v>
      </c>
      <c r="L117" s="402"/>
      <c r="M117" s="403" t="str">
        <f t="shared" si="6"/>
        <v/>
      </c>
      <c r="N117" s="402"/>
      <c r="O117" s="403" t="str">
        <f t="shared" si="7"/>
        <v/>
      </c>
    </row>
    <row r="118" spans="1:15">
      <c r="A118" s="16"/>
      <c r="B118" s="14"/>
      <c r="C118" s="17" t="s">
        <v>333</v>
      </c>
      <c r="D118" s="70" t="s">
        <v>347</v>
      </c>
      <c r="E118" s="18">
        <v>18.472000000000001</v>
      </c>
      <c r="F118" s="18">
        <f t="shared" si="5"/>
        <v>3</v>
      </c>
      <c r="G118" s="19">
        <f t="shared" si="2"/>
        <v>55.416000000000004</v>
      </c>
      <c r="H118" s="69">
        <v>0</v>
      </c>
      <c r="I118" s="18">
        <v>1</v>
      </c>
      <c r="J118" s="71">
        <f t="shared" si="3"/>
        <v>55.416000000000004</v>
      </c>
      <c r="K118" s="73" t="str">
        <f t="shared" si="4"/>
        <v xml:space="preserve"> </v>
      </c>
      <c r="L118" s="402"/>
      <c r="M118" s="403" t="str">
        <f t="shared" si="6"/>
        <v/>
      </c>
      <c r="N118" s="402"/>
      <c r="O118" s="403" t="str">
        <f t="shared" si="7"/>
        <v/>
      </c>
    </row>
    <row r="119" spans="1:15">
      <c r="A119" s="16"/>
      <c r="B119" s="14"/>
      <c r="C119" s="17" t="s">
        <v>334</v>
      </c>
      <c r="D119" s="70" t="s">
        <v>347</v>
      </c>
      <c r="E119" s="18">
        <v>18.472000000000001</v>
      </c>
      <c r="F119" s="18">
        <f t="shared" si="5"/>
        <v>3</v>
      </c>
      <c r="G119" s="19">
        <f t="shared" si="2"/>
        <v>55.416000000000004</v>
      </c>
      <c r="H119" s="69">
        <v>0</v>
      </c>
      <c r="I119" s="18">
        <v>1</v>
      </c>
      <c r="J119" s="71">
        <f t="shared" si="3"/>
        <v>55.416000000000004</v>
      </c>
      <c r="K119" s="73" t="str">
        <f t="shared" si="4"/>
        <v xml:space="preserve"> </v>
      </c>
      <c r="L119" s="402"/>
      <c r="M119" s="403" t="str">
        <f t="shared" si="6"/>
        <v/>
      </c>
      <c r="N119" s="402"/>
      <c r="O119" s="403" t="str">
        <f t="shared" si="7"/>
        <v/>
      </c>
    </row>
    <row r="120" spans="1:15">
      <c r="A120" s="16"/>
      <c r="B120" s="14"/>
      <c r="C120" s="17" t="s">
        <v>335</v>
      </c>
      <c r="D120" s="70" t="s">
        <v>347</v>
      </c>
      <c r="E120" s="18">
        <v>70.37</v>
      </c>
      <c r="F120" s="18">
        <f t="shared" si="5"/>
        <v>3</v>
      </c>
      <c r="G120" s="19">
        <f t="shared" si="2"/>
        <v>211.11</v>
      </c>
      <c r="H120" s="69">
        <v>0</v>
      </c>
      <c r="I120" s="18">
        <v>1</v>
      </c>
      <c r="J120" s="71">
        <f t="shared" si="3"/>
        <v>211.11</v>
      </c>
      <c r="K120" s="73" t="str">
        <f t="shared" si="4"/>
        <v xml:space="preserve"> </v>
      </c>
      <c r="L120" s="402"/>
      <c r="M120" s="403" t="str">
        <f t="shared" si="6"/>
        <v/>
      </c>
      <c r="N120" s="402"/>
      <c r="O120" s="403" t="str">
        <f t="shared" si="7"/>
        <v/>
      </c>
    </row>
    <row r="121" spans="1:15">
      <c r="A121" s="16"/>
      <c r="B121" s="14"/>
      <c r="C121" s="17" t="s">
        <v>336</v>
      </c>
      <c r="D121" s="70" t="s">
        <v>348</v>
      </c>
      <c r="E121" s="18">
        <v>28.8</v>
      </c>
      <c r="F121" s="18">
        <f t="shared" si="5"/>
        <v>3</v>
      </c>
      <c r="G121" s="19">
        <f t="shared" si="2"/>
        <v>86.4</v>
      </c>
      <c r="H121" s="69">
        <v>0</v>
      </c>
      <c r="I121" s="18">
        <v>1</v>
      </c>
      <c r="J121" s="71" t="str">
        <f t="shared" si="3"/>
        <v xml:space="preserve"> </v>
      </c>
      <c r="K121" s="73">
        <f t="shared" si="4"/>
        <v>86.4</v>
      </c>
      <c r="L121" s="402"/>
      <c r="M121" s="403" t="str">
        <f t="shared" si="6"/>
        <v/>
      </c>
      <c r="N121" s="402"/>
      <c r="O121" s="403" t="str">
        <f t="shared" si="7"/>
        <v/>
      </c>
    </row>
    <row r="122" spans="1:15">
      <c r="A122" s="16"/>
      <c r="B122" s="14"/>
      <c r="C122" s="17" t="s">
        <v>337</v>
      </c>
      <c r="D122" s="70" t="s">
        <v>348</v>
      </c>
      <c r="E122" s="18">
        <v>16</v>
      </c>
      <c r="F122" s="18">
        <f t="shared" si="5"/>
        <v>3</v>
      </c>
      <c r="G122" s="19">
        <f t="shared" si="2"/>
        <v>48</v>
      </c>
      <c r="H122" s="69">
        <v>0</v>
      </c>
      <c r="I122" s="18">
        <v>1</v>
      </c>
      <c r="J122" s="71" t="str">
        <f t="shared" si="3"/>
        <v xml:space="preserve"> </v>
      </c>
      <c r="K122" s="73">
        <f t="shared" si="4"/>
        <v>48</v>
      </c>
      <c r="L122" s="402"/>
      <c r="M122" s="403" t="str">
        <f t="shared" si="6"/>
        <v/>
      </c>
      <c r="N122" s="402"/>
      <c r="O122" s="403" t="str">
        <f t="shared" si="7"/>
        <v/>
      </c>
    </row>
    <row r="123" spans="1:15">
      <c r="A123" s="16"/>
      <c r="B123" s="14"/>
      <c r="C123" s="17" t="s">
        <v>338</v>
      </c>
      <c r="D123" s="70" t="s">
        <v>348</v>
      </c>
      <c r="E123" s="18">
        <v>24.472000000000001</v>
      </c>
      <c r="F123" s="18">
        <f t="shared" si="5"/>
        <v>3</v>
      </c>
      <c r="G123" s="19">
        <f t="shared" si="2"/>
        <v>73.415999999999997</v>
      </c>
      <c r="H123" s="69">
        <v>0</v>
      </c>
      <c r="I123" s="18">
        <v>1</v>
      </c>
      <c r="J123" s="71" t="str">
        <f t="shared" si="3"/>
        <v xml:space="preserve"> </v>
      </c>
      <c r="K123" s="73">
        <f t="shared" si="4"/>
        <v>73.415999999999997</v>
      </c>
      <c r="L123" s="402"/>
      <c r="M123" s="403" t="str">
        <f t="shared" si="6"/>
        <v/>
      </c>
      <c r="N123" s="402"/>
      <c r="O123" s="403" t="str">
        <f t="shared" si="7"/>
        <v/>
      </c>
    </row>
    <row r="124" spans="1:15">
      <c r="A124" s="16"/>
      <c r="B124" s="14"/>
      <c r="C124" s="17" t="s">
        <v>339</v>
      </c>
      <c r="D124" s="70" t="s">
        <v>348</v>
      </c>
      <c r="E124" s="18">
        <v>24.472000000000001</v>
      </c>
      <c r="F124" s="18">
        <f t="shared" si="5"/>
        <v>3</v>
      </c>
      <c r="G124" s="19">
        <f t="shared" si="2"/>
        <v>73.415999999999997</v>
      </c>
      <c r="H124" s="69">
        <v>0</v>
      </c>
      <c r="I124" s="18">
        <v>1</v>
      </c>
      <c r="J124" s="71" t="str">
        <f t="shared" si="3"/>
        <v xml:space="preserve"> </v>
      </c>
      <c r="K124" s="73">
        <f t="shared" si="4"/>
        <v>73.415999999999997</v>
      </c>
      <c r="L124" s="402"/>
      <c r="M124" s="403" t="str">
        <f t="shared" si="6"/>
        <v/>
      </c>
      <c r="N124" s="402"/>
      <c r="O124" s="403" t="str">
        <f t="shared" si="7"/>
        <v/>
      </c>
    </row>
    <row r="125" spans="1:15">
      <c r="A125" s="16"/>
      <c r="B125" s="14"/>
      <c r="C125" s="17" t="s">
        <v>340</v>
      </c>
      <c r="D125" s="70" t="s">
        <v>348</v>
      </c>
      <c r="E125" s="18">
        <v>20.497999999999998</v>
      </c>
      <c r="F125" s="18">
        <f t="shared" si="5"/>
        <v>3</v>
      </c>
      <c r="G125" s="19">
        <f t="shared" si="2"/>
        <v>61.493999999999993</v>
      </c>
      <c r="H125" s="69">
        <v>0</v>
      </c>
      <c r="I125" s="18">
        <v>1</v>
      </c>
      <c r="J125" s="71" t="str">
        <f t="shared" si="3"/>
        <v xml:space="preserve"> </v>
      </c>
      <c r="K125" s="73">
        <f t="shared" si="4"/>
        <v>61.493999999999993</v>
      </c>
      <c r="L125" s="402"/>
      <c r="M125" s="403" t="str">
        <f t="shared" si="6"/>
        <v/>
      </c>
      <c r="N125" s="402"/>
      <c r="O125" s="403" t="str">
        <f t="shared" si="7"/>
        <v/>
      </c>
    </row>
    <row r="126" spans="1:15">
      <c r="A126" s="16"/>
      <c r="B126" s="14"/>
      <c r="C126" s="17" t="s">
        <v>341</v>
      </c>
      <c r="D126" s="70" t="s">
        <v>348</v>
      </c>
      <c r="E126" s="18">
        <v>18.899999999999999</v>
      </c>
      <c r="F126" s="18">
        <f t="shared" si="5"/>
        <v>3</v>
      </c>
      <c r="G126" s="19">
        <f t="shared" si="2"/>
        <v>56.699999999999996</v>
      </c>
      <c r="H126" s="69">
        <v>0</v>
      </c>
      <c r="I126" s="18">
        <v>1</v>
      </c>
      <c r="J126" s="71" t="str">
        <f t="shared" si="3"/>
        <v xml:space="preserve"> </v>
      </c>
      <c r="K126" s="73">
        <f t="shared" si="4"/>
        <v>56.699999999999996</v>
      </c>
      <c r="L126" s="402" t="s">
        <v>952</v>
      </c>
      <c r="M126" s="403">
        <f t="shared" si="6"/>
        <v>56.699999999999996</v>
      </c>
      <c r="N126" s="402"/>
      <c r="O126" s="403" t="str">
        <f t="shared" si="7"/>
        <v/>
      </c>
    </row>
    <row r="127" spans="1:15">
      <c r="A127" s="16"/>
      <c r="B127" s="14"/>
      <c r="C127" s="17" t="s">
        <v>302</v>
      </c>
      <c r="D127" s="70" t="s">
        <v>348</v>
      </c>
      <c r="E127" s="18">
        <v>13.9</v>
      </c>
      <c r="F127" s="18">
        <f t="shared" si="5"/>
        <v>3</v>
      </c>
      <c r="G127" s="19">
        <f t="shared" si="2"/>
        <v>41.7</v>
      </c>
      <c r="H127" s="69">
        <v>0</v>
      </c>
      <c r="I127" s="18">
        <v>1</v>
      </c>
      <c r="J127" s="71" t="str">
        <f t="shared" si="3"/>
        <v xml:space="preserve"> </v>
      </c>
      <c r="K127" s="73">
        <f t="shared" si="4"/>
        <v>41.7</v>
      </c>
      <c r="L127" s="402"/>
      <c r="M127" s="403" t="str">
        <f t="shared" si="6"/>
        <v/>
      </c>
      <c r="N127" s="402"/>
      <c r="O127" s="403" t="str">
        <f t="shared" si="7"/>
        <v/>
      </c>
    </row>
    <row r="128" spans="1:15">
      <c r="A128" s="16"/>
      <c r="B128" s="14"/>
      <c r="C128" s="17" t="s">
        <v>342</v>
      </c>
      <c r="D128" s="70" t="s">
        <v>348</v>
      </c>
      <c r="E128" s="18">
        <v>13.9</v>
      </c>
      <c r="F128" s="18">
        <f t="shared" si="5"/>
        <v>3</v>
      </c>
      <c r="G128" s="19">
        <f t="shared" si="2"/>
        <v>41.7</v>
      </c>
      <c r="H128" s="69">
        <v>0</v>
      </c>
      <c r="I128" s="18">
        <v>1</v>
      </c>
      <c r="J128" s="71" t="str">
        <f t="shared" si="3"/>
        <v xml:space="preserve"> </v>
      </c>
      <c r="K128" s="73">
        <f t="shared" si="4"/>
        <v>41.7</v>
      </c>
      <c r="L128" s="402"/>
      <c r="M128" s="403" t="str">
        <f t="shared" si="6"/>
        <v/>
      </c>
      <c r="N128" s="402"/>
      <c r="O128" s="403" t="str">
        <f t="shared" si="7"/>
        <v/>
      </c>
    </row>
    <row r="129" spans="1:15">
      <c r="A129" s="16"/>
      <c r="B129" s="14"/>
      <c r="C129" s="17" t="s">
        <v>343</v>
      </c>
      <c r="D129" s="70" t="s">
        <v>348</v>
      </c>
      <c r="E129" s="18">
        <v>13.9</v>
      </c>
      <c r="F129" s="18">
        <f t="shared" si="5"/>
        <v>3</v>
      </c>
      <c r="G129" s="19">
        <f t="shared" si="2"/>
        <v>41.7</v>
      </c>
      <c r="H129" s="69">
        <v>0</v>
      </c>
      <c r="I129" s="18">
        <v>1</v>
      </c>
      <c r="J129" s="71" t="str">
        <f t="shared" si="3"/>
        <v xml:space="preserve"> </v>
      </c>
      <c r="K129" s="73">
        <f t="shared" si="4"/>
        <v>41.7</v>
      </c>
      <c r="L129" s="402"/>
      <c r="M129" s="403" t="str">
        <f t="shared" ref="M129:M134" si="8">IF(L129="x",G129,"")</f>
        <v/>
      </c>
      <c r="N129" s="402"/>
      <c r="O129" s="403" t="str">
        <f t="shared" ref="O129:O134" si="9">IF(N129="x",G129,"")</f>
        <v/>
      </c>
    </row>
    <row r="130" spans="1:15">
      <c r="A130" s="16"/>
      <c r="B130" s="14"/>
      <c r="C130" s="17" t="s">
        <v>344</v>
      </c>
      <c r="D130" s="70" t="s">
        <v>348</v>
      </c>
      <c r="E130" s="18">
        <v>13.9</v>
      </c>
      <c r="F130" s="18">
        <f t="shared" si="5"/>
        <v>3</v>
      </c>
      <c r="G130" s="19">
        <f t="shared" si="2"/>
        <v>41.7</v>
      </c>
      <c r="H130" s="69">
        <v>0</v>
      </c>
      <c r="I130" s="18">
        <v>1</v>
      </c>
      <c r="J130" s="71" t="str">
        <f>IF(D130="Emboço",G130," ")</f>
        <v xml:space="preserve"> </v>
      </c>
      <c r="K130" s="73">
        <f>IF(D130="Reboco",G130," ")</f>
        <v>41.7</v>
      </c>
      <c r="L130" s="402"/>
      <c r="M130" s="403" t="str">
        <f t="shared" si="8"/>
        <v/>
      </c>
      <c r="N130" s="402"/>
      <c r="O130" s="403" t="str">
        <f t="shared" si="9"/>
        <v/>
      </c>
    </row>
    <row r="131" spans="1:15">
      <c r="A131" s="16"/>
      <c r="B131" s="14"/>
      <c r="C131" s="17" t="s">
        <v>345</v>
      </c>
      <c r="D131" s="70" t="s">
        <v>348</v>
      </c>
      <c r="E131" s="18">
        <v>21</v>
      </c>
      <c r="F131" s="18">
        <f t="shared" si="5"/>
        <v>3</v>
      </c>
      <c r="G131" s="19">
        <f t="shared" si="2"/>
        <v>63</v>
      </c>
      <c r="H131" s="69">
        <v>0</v>
      </c>
      <c r="I131" s="18">
        <v>1</v>
      </c>
      <c r="J131" s="71" t="str">
        <f>IF(D131="Emboço",G131," ")</f>
        <v xml:space="preserve"> </v>
      </c>
      <c r="K131" s="73">
        <f>IF(D131="Reboco",G131," ")</f>
        <v>63</v>
      </c>
      <c r="L131" s="402" t="s">
        <v>952</v>
      </c>
      <c r="M131" s="403">
        <f t="shared" si="8"/>
        <v>63</v>
      </c>
      <c r="N131" s="402"/>
      <c r="O131" s="403" t="str">
        <f t="shared" si="9"/>
        <v/>
      </c>
    </row>
    <row r="132" spans="1:15">
      <c r="A132" s="16"/>
      <c r="B132" s="14"/>
      <c r="C132" s="17" t="s">
        <v>1159</v>
      </c>
      <c r="D132" s="70" t="s">
        <v>348</v>
      </c>
      <c r="E132" s="18">
        <v>58.7</v>
      </c>
      <c r="F132" s="18">
        <v>4.5</v>
      </c>
      <c r="G132" s="19">
        <f t="shared" si="2"/>
        <v>264.15000000000003</v>
      </c>
      <c r="H132" s="69">
        <v>0</v>
      </c>
      <c r="I132" s="18">
        <v>1</v>
      </c>
      <c r="J132" s="71" t="str">
        <f>IF(D132="Emboço",G132," ")</f>
        <v xml:space="preserve"> </v>
      </c>
      <c r="K132" s="73">
        <f>IF(D132="Reboco",G132," ")</f>
        <v>264.15000000000003</v>
      </c>
      <c r="L132" s="402"/>
      <c r="M132" s="403" t="str">
        <f t="shared" si="8"/>
        <v/>
      </c>
      <c r="N132" s="402"/>
      <c r="O132" s="403" t="str">
        <f t="shared" si="9"/>
        <v/>
      </c>
    </row>
    <row r="133" spans="1:15">
      <c r="A133" s="16"/>
      <c r="B133" s="14"/>
      <c r="C133" s="17" t="s">
        <v>1160</v>
      </c>
      <c r="D133" s="70" t="s">
        <v>348</v>
      </c>
      <c r="E133" s="18">
        <v>266.55</v>
      </c>
      <c r="F133" s="18">
        <v>4.5</v>
      </c>
      <c r="G133" s="19">
        <f t="shared" si="2"/>
        <v>1199.4750000000001</v>
      </c>
      <c r="H133" s="69">
        <v>0</v>
      </c>
      <c r="I133" s="18">
        <v>1</v>
      </c>
      <c r="J133" s="71" t="str">
        <f>IF(D133="Emboço",G133," ")</f>
        <v xml:space="preserve"> </v>
      </c>
      <c r="K133" s="73">
        <f>IF(D133="Reboco",G133," ")</f>
        <v>1199.4750000000001</v>
      </c>
      <c r="L133" s="402" t="s">
        <v>952</v>
      </c>
      <c r="M133" s="403">
        <f t="shared" si="8"/>
        <v>1199.4750000000001</v>
      </c>
      <c r="N133" s="402"/>
      <c r="O133" s="403" t="str">
        <f t="shared" si="9"/>
        <v/>
      </c>
    </row>
    <row r="134" spans="1:15">
      <c r="A134" s="2"/>
      <c r="B134" s="21"/>
      <c r="C134" s="22"/>
      <c r="D134" s="13"/>
      <c r="E134" s="13"/>
      <c r="F134" s="13"/>
      <c r="G134" s="13"/>
      <c r="H134" s="13"/>
      <c r="I134" s="13"/>
      <c r="J134" s="13"/>
      <c r="K134" s="13"/>
      <c r="L134" s="401"/>
      <c r="M134" s="403" t="str">
        <f t="shared" si="8"/>
        <v/>
      </c>
      <c r="N134" s="401"/>
      <c r="O134" s="403" t="str">
        <f t="shared" si="9"/>
        <v/>
      </c>
    </row>
    <row r="135" spans="1:15">
      <c r="A135" s="2"/>
      <c r="B135" s="14" t="s">
        <v>87</v>
      </c>
      <c r="C135" s="1004" t="s">
        <v>351</v>
      </c>
      <c r="D135" s="1004" t="s">
        <v>0</v>
      </c>
      <c r="E135" s="1004" t="s">
        <v>0</v>
      </c>
      <c r="F135" s="1004" t="s">
        <v>0</v>
      </c>
      <c r="G135" s="1004" t="s">
        <v>0</v>
      </c>
      <c r="H135" s="1004" t="s">
        <v>0</v>
      </c>
      <c r="I135" s="1004" t="s">
        <v>0</v>
      </c>
      <c r="J135" s="76">
        <f>SUM(J136:J143)</f>
        <v>248.56140000000005</v>
      </c>
      <c r="K135" s="400">
        <f>SUM(K136:K143)</f>
        <v>185.81</v>
      </c>
      <c r="L135" s="401"/>
      <c r="M135" s="400">
        <f>SUM(M136:M143)</f>
        <v>0</v>
      </c>
      <c r="N135" s="401"/>
      <c r="O135" s="400">
        <f>SUM(O136:O143)</f>
        <v>0</v>
      </c>
    </row>
    <row r="136" spans="1:15">
      <c r="A136" s="2"/>
      <c r="B136" s="14"/>
      <c r="C136" s="17" t="s">
        <v>1161</v>
      </c>
      <c r="D136" s="70" t="s">
        <v>348</v>
      </c>
      <c r="E136" s="18">
        <v>36.15</v>
      </c>
      <c r="F136" s="18">
        <f>1.6+0.7</f>
        <v>2.2999999999999998</v>
      </c>
      <c r="G136" s="19">
        <f t="shared" ref="G136:G143" si="10">PRODUCT(E136,F136)</f>
        <v>83.144999999999996</v>
      </c>
      <c r="H136" s="69">
        <v>0</v>
      </c>
      <c r="I136" s="18">
        <v>1</v>
      </c>
      <c r="J136" s="71" t="str">
        <f>IF(D136="Emboço",G136*I136," ")</f>
        <v xml:space="preserve"> </v>
      </c>
      <c r="K136" s="73">
        <f>IF(D136="Reboco",G136*I136," ")</f>
        <v>83.144999999999996</v>
      </c>
      <c r="L136" s="401"/>
      <c r="M136" s="403" t="str">
        <f t="shared" ref="M136:M144" si="11">IF(L136="x",G136,"")</f>
        <v/>
      </c>
      <c r="N136" s="401"/>
      <c r="O136" s="403" t="str">
        <f t="shared" ref="O136:O144" si="12">IF(N136="x",G136,"")</f>
        <v/>
      </c>
    </row>
    <row r="137" spans="1:15">
      <c r="A137" s="2"/>
      <c r="B137" s="14"/>
      <c r="C137" s="17" t="s">
        <v>1162</v>
      </c>
      <c r="D137" s="70" t="s">
        <v>347</v>
      </c>
      <c r="E137" s="18">
        <v>37.700000000000003</v>
      </c>
      <c r="F137" s="18">
        <f>1.6+0.7</f>
        <v>2.2999999999999998</v>
      </c>
      <c r="G137" s="19">
        <f t="shared" si="10"/>
        <v>86.71</v>
      </c>
      <c r="H137" s="69">
        <v>0</v>
      </c>
      <c r="I137" s="18">
        <v>1</v>
      </c>
      <c r="J137" s="71">
        <f>IF(D137="Emboço",G137*I137," ")</f>
        <v>86.71</v>
      </c>
      <c r="K137" s="73" t="str">
        <f>IF(D137="Reboco",G137*I137," ")</f>
        <v xml:space="preserve"> </v>
      </c>
      <c r="L137" s="401"/>
      <c r="M137" s="403" t="str">
        <f t="shared" si="11"/>
        <v/>
      </c>
      <c r="N137" s="401"/>
      <c r="O137" s="403" t="str">
        <f t="shared" si="12"/>
        <v/>
      </c>
    </row>
    <row r="138" spans="1:15">
      <c r="A138" s="2"/>
      <c r="B138" s="14"/>
      <c r="C138" s="17" t="s">
        <v>1163</v>
      </c>
      <c r="D138" s="70" t="s">
        <v>348</v>
      </c>
      <c r="E138" s="18">
        <v>3.15</v>
      </c>
      <c r="F138" s="18">
        <v>6.1</v>
      </c>
      <c r="G138" s="19">
        <f t="shared" si="10"/>
        <v>19.215</v>
      </c>
      <c r="H138" s="69">
        <v>0</v>
      </c>
      <c r="I138" s="18">
        <v>1</v>
      </c>
      <c r="J138" s="71" t="str">
        <f t="shared" ref="J138:J143" si="13">IF(D138="Emboço",G138*I138," ")</f>
        <v xml:space="preserve"> </v>
      </c>
      <c r="K138" s="73">
        <f t="shared" ref="K138:K143" si="14">IF(D138="Reboco",G138*I138," ")</f>
        <v>19.215</v>
      </c>
      <c r="L138" s="401"/>
      <c r="M138" s="403" t="str">
        <f t="shared" si="11"/>
        <v/>
      </c>
      <c r="N138" s="401"/>
      <c r="O138" s="403" t="str">
        <f t="shared" si="12"/>
        <v/>
      </c>
    </row>
    <row r="139" spans="1:15">
      <c r="A139" s="2"/>
      <c r="B139" s="14"/>
      <c r="C139" s="17" t="s">
        <v>1164</v>
      </c>
      <c r="D139" s="70" t="s">
        <v>347</v>
      </c>
      <c r="E139" s="18">
        <f>30.45*1.08</f>
        <v>32.886000000000003</v>
      </c>
      <c r="F139" s="18">
        <v>0.8</v>
      </c>
      <c r="G139" s="19">
        <f t="shared" si="10"/>
        <v>26.308800000000005</v>
      </c>
      <c r="H139" s="69">
        <v>0</v>
      </c>
      <c r="I139" s="18">
        <v>2</v>
      </c>
      <c r="J139" s="71">
        <f t="shared" si="13"/>
        <v>52.61760000000001</v>
      </c>
      <c r="K139" s="73" t="str">
        <f t="shared" si="14"/>
        <v xml:space="preserve"> </v>
      </c>
      <c r="L139" s="401"/>
      <c r="M139" s="403" t="str">
        <f t="shared" si="11"/>
        <v/>
      </c>
      <c r="N139" s="401"/>
      <c r="O139" s="403" t="str">
        <f t="shared" si="12"/>
        <v/>
      </c>
    </row>
    <row r="140" spans="1:15">
      <c r="A140" s="2"/>
      <c r="B140" s="14"/>
      <c r="C140" s="17" t="s">
        <v>1165</v>
      </c>
      <c r="D140" s="70" t="s">
        <v>347</v>
      </c>
      <c r="E140" s="18">
        <f>(42.1*1.08)+2.3</f>
        <v>47.768000000000001</v>
      </c>
      <c r="F140" s="18">
        <v>0.8</v>
      </c>
      <c r="G140" s="19">
        <f t="shared" si="10"/>
        <v>38.214400000000005</v>
      </c>
      <c r="H140" s="69">
        <v>0</v>
      </c>
      <c r="I140" s="18">
        <v>2</v>
      </c>
      <c r="J140" s="71">
        <f t="shared" si="13"/>
        <v>76.42880000000001</v>
      </c>
      <c r="K140" s="73" t="str">
        <f t="shared" si="14"/>
        <v xml:space="preserve"> </v>
      </c>
      <c r="L140" s="401"/>
      <c r="M140" s="403" t="str">
        <f t="shared" si="11"/>
        <v/>
      </c>
      <c r="N140" s="401"/>
      <c r="O140" s="403" t="str">
        <f t="shared" si="12"/>
        <v/>
      </c>
    </row>
    <row r="141" spans="1:15">
      <c r="A141" s="2"/>
      <c r="B141" s="14"/>
      <c r="C141" s="17" t="s">
        <v>350</v>
      </c>
      <c r="D141" s="70" t="s">
        <v>348</v>
      </c>
      <c r="E141" s="18" t="s">
        <v>0</v>
      </c>
      <c r="F141" s="18" t="s">
        <v>0</v>
      </c>
      <c r="G141" s="19">
        <v>83.45</v>
      </c>
      <c r="H141" s="69">
        <v>0</v>
      </c>
      <c r="I141" s="18">
        <v>1</v>
      </c>
      <c r="J141" s="71" t="str">
        <f t="shared" si="13"/>
        <v xml:space="preserve"> </v>
      </c>
      <c r="K141" s="73">
        <f t="shared" si="14"/>
        <v>83.45</v>
      </c>
      <c r="L141" s="401"/>
      <c r="M141" s="403" t="str">
        <f t="shared" si="11"/>
        <v/>
      </c>
      <c r="N141" s="401"/>
      <c r="O141" s="403" t="str">
        <f t="shared" si="12"/>
        <v/>
      </c>
    </row>
    <row r="142" spans="1:15">
      <c r="A142" s="2"/>
      <c r="B142" s="14"/>
      <c r="C142" s="17" t="s">
        <v>1166</v>
      </c>
      <c r="D142" s="70" t="s">
        <v>347</v>
      </c>
      <c r="E142" s="18">
        <v>35.049999999999997</v>
      </c>
      <c r="F142" s="18">
        <v>0.45</v>
      </c>
      <c r="G142" s="19">
        <f>PRODUCT(E142,F142)</f>
        <v>15.772499999999999</v>
      </c>
      <c r="H142" s="69">
        <v>0</v>
      </c>
      <c r="I142" s="18">
        <v>1</v>
      </c>
      <c r="J142" s="71">
        <f t="shared" si="13"/>
        <v>15.772499999999999</v>
      </c>
      <c r="K142" s="73" t="str">
        <f t="shared" si="14"/>
        <v xml:space="preserve"> </v>
      </c>
      <c r="L142" s="401"/>
      <c r="M142" s="403" t="str">
        <f t="shared" si="11"/>
        <v/>
      </c>
      <c r="N142" s="401"/>
      <c r="O142" s="403" t="str">
        <f t="shared" si="12"/>
        <v/>
      </c>
    </row>
    <row r="143" spans="1:15">
      <c r="A143" s="2"/>
      <c r="B143" s="14"/>
      <c r="C143" s="17" t="s">
        <v>1167</v>
      </c>
      <c r="D143" s="70" t="s">
        <v>347</v>
      </c>
      <c r="E143" s="18">
        <v>37.85</v>
      </c>
      <c r="F143" s="18">
        <v>0.45</v>
      </c>
      <c r="G143" s="19">
        <f t="shared" si="10"/>
        <v>17.032500000000002</v>
      </c>
      <c r="H143" s="69">
        <v>0</v>
      </c>
      <c r="I143" s="18">
        <v>1</v>
      </c>
      <c r="J143" s="71">
        <f t="shared" si="13"/>
        <v>17.032500000000002</v>
      </c>
      <c r="K143" s="73" t="str">
        <f t="shared" si="14"/>
        <v xml:space="preserve"> </v>
      </c>
      <c r="L143" s="401"/>
      <c r="M143" s="403" t="str">
        <f t="shared" si="11"/>
        <v/>
      </c>
      <c r="N143" s="401"/>
      <c r="O143" s="403" t="str">
        <f t="shared" si="12"/>
        <v/>
      </c>
    </row>
    <row r="144" spans="1:15">
      <c r="A144" s="2"/>
      <c r="B144" s="21"/>
      <c r="C144" s="22"/>
      <c r="D144" s="13"/>
      <c r="E144" s="13"/>
      <c r="F144" s="13"/>
      <c r="G144" s="13"/>
      <c r="H144" s="13"/>
      <c r="I144" s="13"/>
      <c r="J144" s="13"/>
      <c r="K144" s="13"/>
      <c r="L144" s="401"/>
      <c r="M144" s="403" t="str">
        <f t="shared" si="11"/>
        <v/>
      </c>
      <c r="N144" s="401"/>
      <c r="O144" s="403" t="str">
        <f t="shared" si="12"/>
        <v/>
      </c>
    </row>
    <row r="145" spans="2:15">
      <c r="B145" s="14" t="s">
        <v>98</v>
      </c>
      <c r="C145" s="1004" t="s">
        <v>88</v>
      </c>
      <c r="D145" s="1004" t="s">
        <v>0</v>
      </c>
      <c r="E145" s="1004" t="s">
        <v>0</v>
      </c>
      <c r="F145" s="1004" t="s">
        <v>0</v>
      </c>
      <c r="G145" s="1004" t="s">
        <v>0</v>
      </c>
      <c r="H145" s="1004" t="s">
        <v>0</v>
      </c>
      <c r="I145" s="1004" t="s">
        <v>0</v>
      </c>
      <c r="J145" s="76">
        <f>SUM(J146:J155)</f>
        <v>323.80999999999995</v>
      </c>
      <c r="K145" s="400">
        <f>SUM(K146:K155)</f>
        <v>230.64500000000004</v>
      </c>
      <c r="L145" s="398"/>
      <c r="M145" s="400">
        <f>SUM(M146:M155)</f>
        <v>71.36</v>
      </c>
      <c r="N145" s="398"/>
      <c r="O145" s="400">
        <f>SUM(O146:O155)</f>
        <v>0</v>
      </c>
    </row>
    <row r="146" spans="2:15">
      <c r="B146" s="14"/>
      <c r="C146" s="17" t="s">
        <v>975</v>
      </c>
      <c r="D146" s="70" t="s">
        <v>348</v>
      </c>
      <c r="E146" s="18">
        <v>19.2</v>
      </c>
      <c r="F146" s="18">
        <f>$I$22</f>
        <v>3.5</v>
      </c>
      <c r="G146" s="19">
        <f t="shared" ref="G146:G155" si="15">PRODUCT(E146,F146)</f>
        <v>67.2</v>
      </c>
      <c r="H146" s="69">
        <v>0</v>
      </c>
      <c r="I146" s="18">
        <v>1</v>
      </c>
      <c r="J146" s="71" t="str">
        <f t="shared" ref="J146:J155" si="16">IF(D146="Emboço",G146*I146," ")</f>
        <v xml:space="preserve"> </v>
      </c>
      <c r="K146" s="73">
        <f t="shared" ref="K146:K155" si="17">IF(D146="Reboco",G146*I146," ")</f>
        <v>67.2</v>
      </c>
      <c r="L146" s="398"/>
      <c r="M146" s="403" t="str">
        <f t="shared" ref="M146:M156" si="18">IF(L146="x",G146,"")</f>
        <v/>
      </c>
      <c r="N146" s="398"/>
      <c r="O146" s="403" t="str">
        <f t="shared" ref="O146:O156" si="19">IF(N146="x",G146,"")</f>
        <v/>
      </c>
    </row>
    <row r="147" spans="2:15">
      <c r="B147" s="14"/>
      <c r="C147" s="17" t="s">
        <v>308</v>
      </c>
      <c r="D147" s="70" t="s">
        <v>347</v>
      </c>
      <c r="E147" s="18">
        <v>5.58</v>
      </c>
      <c r="F147" s="18">
        <f>$F$146</f>
        <v>3.5</v>
      </c>
      <c r="G147" s="19">
        <f t="shared" si="15"/>
        <v>19.53</v>
      </c>
      <c r="H147" s="69">
        <v>0</v>
      </c>
      <c r="I147" s="18">
        <v>1</v>
      </c>
      <c r="J147" s="71">
        <f t="shared" si="16"/>
        <v>19.53</v>
      </c>
      <c r="K147" s="73" t="str">
        <f t="shared" si="17"/>
        <v xml:space="preserve"> </v>
      </c>
      <c r="L147" s="398"/>
      <c r="M147" s="403" t="str">
        <f t="shared" si="18"/>
        <v/>
      </c>
      <c r="N147" s="398"/>
      <c r="O147" s="403" t="str">
        <f t="shared" si="19"/>
        <v/>
      </c>
    </row>
    <row r="148" spans="2:15">
      <c r="B148" s="14"/>
      <c r="C148" s="17" t="s">
        <v>1168</v>
      </c>
      <c r="D148" s="70" t="s">
        <v>348</v>
      </c>
      <c r="E148" s="18">
        <v>5.37</v>
      </c>
      <c r="F148" s="18">
        <f t="shared" ref="F148:F155" si="20">$F$146</f>
        <v>3.5</v>
      </c>
      <c r="G148" s="19">
        <f t="shared" si="15"/>
        <v>18.795000000000002</v>
      </c>
      <c r="H148" s="69">
        <v>0</v>
      </c>
      <c r="I148" s="18">
        <v>1</v>
      </c>
      <c r="J148" s="71" t="str">
        <f t="shared" si="16"/>
        <v xml:space="preserve"> </v>
      </c>
      <c r="K148" s="73">
        <f t="shared" si="17"/>
        <v>18.795000000000002</v>
      </c>
      <c r="L148" s="398"/>
      <c r="M148" s="403" t="str">
        <f t="shared" si="18"/>
        <v/>
      </c>
      <c r="N148" s="398"/>
      <c r="O148" s="403" t="str">
        <f t="shared" si="19"/>
        <v/>
      </c>
    </row>
    <row r="149" spans="2:15">
      <c r="B149" s="14"/>
      <c r="C149" s="17" t="s">
        <v>1169</v>
      </c>
      <c r="D149" s="70" t="s">
        <v>347</v>
      </c>
      <c r="E149" s="18">
        <v>19.2</v>
      </c>
      <c r="F149" s="18">
        <f t="shared" si="20"/>
        <v>3.5</v>
      </c>
      <c r="G149" s="19">
        <f t="shared" si="15"/>
        <v>67.2</v>
      </c>
      <c r="H149" s="69">
        <v>0</v>
      </c>
      <c r="I149" s="18">
        <v>1</v>
      </c>
      <c r="J149" s="71">
        <f t="shared" si="16"/>
        <v>67.2</v>
      </c>
      <c r="K149" s="73" t="str">
        <f t="shared" si="17"/>
        <v xml:space="preserve"> </v>
      </c>
      <c r="L149" s="398"/>
      <c r="M149" s="403" t="str">
        <f t="shared" si="18"/>
        <v/>
      </c>
      <c r="N149" s="398"/>
      <c r="O149" s="403" t="str">
        <f t="shared" si="19"/>
        <v/>
      </c>
    </row>
    <row r="150" spans="2:15">
      <c r="B150" s="14"/>
      <c r="C150" s="17" t="s">
        <v>1170</v>
      </c>
      <c r="D150" s="70" t="s">
        <v>348</v>
      </c>
      <c r="E150" s="18">
        <v>20.94</v>
      </c>
      <c r="F150" s="18">
        <f t="shared" si="20"/>
        <v>3.5</v>
      </c>
      <c r="G150" s="19">
        <f t="shared" si="15"/>
        <v>73.290000000000006</v>
      </c>
      <c r="H150" s="69">
        <v>0</v>
      </c>
      <c r="I150" s="18">
        <v>1</v>
      </c>
      <c r="J150" s="71" t="str">
        <f t="shared" si="16"/>
        <v xml:space="preserve"> </v>
      </c>
      <c r="K150" s="73">
        <f t="shared" si="17"/>
        <v>73.290000000000006</v>
      </c>
      <c r="L150" s="398"/>
      <c r="M150" s="403" t="str">
        <f t="shared" si="18"/>
        <v/>
      </c>
      <c r="N150" s="398"/>
      <c r="O150" s="403" t="str">
        <f t="shared" si="19"/>
        <v/>
      </c>
    </row>
    <row r="151" spans="2:15">
      <c r="B151" s="14"/>
      <c r="C151" s="17" t="s">
        <v>1171</v>
      </c>
      <c r="D151" s="70" t="s">
        <v>347</v>
      </c>
      <c r="E151" s="18">
        <v>4.5</v>
      </c>
      <c r="F151" s="18">
        <f t="shared" si="20"/>
        <v>3.5</v>
      </c>
      <c r="G151" s="19">
        <f t="shared" si="15"/>
        <v>15.75</v>
      </c>
      <c r="H151" s="69">
        <v>0</v>
      </c>
      <c r="I151" s="18">
        <v>1</v>
      </c>
      <c r="J151" s="71">
        <f t="shared" si="16"/>
        <v>15.75</v>
      </c>
      <c r="K151" s="73" t="str">
        <f t="shared" si="17"/>
        <v xml:space="preserve"> </v>
      </c>
      <c r="L151" s="398"/>
      <c r="M151" s="403" t="str">
        <f t="shared" si="18"/>
        <v/>
      </c>
      <c r="N151" s="398"/>
      <c r="O151" s="403" t="str">
        <f t="shared" si="19"/>
        <v/>
      </c>
    </row>
    <row r="152" spans="2:15">
      <c r="B152" s="14"/>
      <c r="C152" s="17" t="s">
        <v>1172</v>
      </c>
      <c r="D152" s="70" t="s">
        <v>347</v>
      </c>
      <c r="E152" s="18">
        <v>4.5</v>
      </c>
      <c r="F152" s="18">
        <f t="shared" si="20"/>
        <v>3.5</v>
      </c>
      <c r="G152" s="19">
        <f t="shared" si="15"/>
        <v>15.75</v>
      </c>
      <c r="H152" s="69">
        <v>0</v>
      </c>
      <c r="I152" s="18">
        <v>1</v>
      </c>
      <c r="J152" s="71">
        <f t="shared" si="16"/>
        <v>15.75</v>
      </c>
      <c r="K152" s="73" t="str">
        <f t="shared" si="17"/>
        <v xml:space="preserve"> </v>
      </c>
      <c r="L152" s="398"/>
      <c r="M152" s="403" t="str">
        <f t="shared" si="18"/>
        <v/>
      </c>
      <c r="N152" s="398"/>
      <c r="O152" s="403" t="str">
        <f t="shared" si="19"/>
        <v/>
      </c>
    </row>
    <row r="153" spans="2:15">
      <c r="B153" s="14"/>
      <c r="C153" s="17" t="s">
        <v>1173</v>
      </c>
      <c r="D153" s="70" t="s">
        <v>348</v>
      </c>
      <c r="E153" s="18">
        <v>44.6</v>
      </c>
      <c r="F153" s="18">
        <v>1.6</v>
      </c>
      <c r="G153" s="19">
        <f t="shared" si="15"/>
        <v>71.36</v>
      </c>
      <c r="H153" s="69">
        <v>0</v>
      </c>
      <c r="I153" s="18">
        <v>1</v>
      </c>
      <c r="J153" s="71" t="str">
        <f t="shared" si="16"/>
        <v xml:space="preserve"> </v>
      </c>
      <c r="K153" s="73">
        <f t="shared" si="17"/>
        <v>71.36</v>
      </c>
      <c r="L153" s="398" t="s">
        <v>952</v>
      </c>
      <c r="M153" s="403">
        <f t="shared" si="18"/>
        <v>71.36</v>
      </c>
      <c r="N153" s="398"/>
      <c r="O153" s="403" t="str">
        <f t="shared" si="19"/>
        <v/>
      </c>
    </row>
    <row r="154" spans="2:15">
      <c r="B154" s="14"/>
      <c r="C154" s="17" t="s">
        <v>1174</v>
      </c>
      <c r="D154" s="70" t="s">
        <v>347</v>
      </c>
      <c r="E154" s="18">
        <v>45.8</v>
      </c>
      <c r="F154" s="18">
        <v>1.6</v>
      </c>
      <c r="G154" s="19">
        <f t="shared" si="15"/>
        <v>73.28</v>
      </c>
      <c r="H154" s="69">
        <v>0</v>
      </c>
      <c r="I154" s="18">
        <v>1</v>
      </c>
      <c r="J154" s="71">
        <f t="shared" si="16"/>
        <v>73.28</v>
      </c>
      <c r="K154" s="73" t="str">
        <f t="shared" si="17"/>
        <v xml:space="preserve"> </v>
      </c>
      <c r="L154" s="398"/>
      <c r="M154" s="403" t="str">
        <f t="shared" si="18"/>
        <v/>
      </c>
      <c r="N154" s="398"/>
      <c r="O154" s="403" t="str">
        <f t="shared" si="19"/>
        <v/>
      </c>
    </row>
    <row r="155" spans="2:15">
      <c r="B155" s="14"/>
      <c r="C155" s="17" t="s">
        <v>1175</v>
      </c>
      <c r="D155" s="70" t="s">
        <v>347</v>
      </c>
      <c r="E155" s="18">
        <v>37.799999999999997</v>
      </c>
      <c r="F155" s="18">
        <f t="shared" si="20"/>
        <v>3.5</v>
      </c>
      <c r="G155" s="19">
        <f t="shared" si="15"/>
        <v>132.29999999999998</v>
      </c>
      <c r="H155" s="69">
        <v>0</v>
      </c>
      <c r="I155" s="18">
        <v>1</v>
      </c>
      <c r="J155" s="71">
        <f t="shared" si="16"/>
        <v>132.29999999999998</v>
      </c>
      <c r="K155" s="73" t="str">
        <f t="shared" si="17"/>
        <v xml:space="preserve"> </v>
      </c>
      <c r="L155" s="398"/>
      <c r="M155" s="403" t="str">
        <f t="shared" si="18"/>
        <v/>
      </c>
      <c r="N155" s="398"/>
      <c r="O155" s="403" t="str">
        <f t="shared" si="19"/>
        <v/>
      </c>
    </row>
    <row r="156" spans="2:15">
      <c r="L156" s="398"/>
      <c r="M156" s="403" t="str">
        <f t="shared" si="18"/>
        <v/>
      </c>
      <c r="N156" s="398"/>
      <c r="O156" s="403" t="str">
        <f t="shared" si="19"/>
        <v/>
      </c>
    </row>
    <row r="157" spans="2:15">
      <c r="B157" s="14" t="s">
        <v>104</v>
      </c>
      <c r="C157" s="1005" t="s">
        <v>99</v>
      </c>
      <c r="D157" s="1005" t="s">
        <v>0</v>
      </c>
      <c r="E157" s="1005" t="s">
        <v>0</v>
      </c>
      <c r="F157" s="1005" t="s">
        <v>0</v>
      </c>
      <c r="G157" s="1005" t="s">
        <v>0</v>
      </c>
      <c r="H157" s="1005" t="s">
        <v>0</v>
      </c>
      <c r="I157" s="1005" t="s">
        <v>0</v>
      </c>
      <c r="J157" s="76">
        <f>SUM(J158:J184)</f>
        <v>318.41500000000002</v>
      </c>
      <c r="K157" s="400">
        <f>SUM(K158:K184)</f>
        <v>797.19499999999994</v>
      </c>
      <c r="L157" s="398"/>
      <c r="M157" s="400">
        <f>SUM(M158:M184)</f>
        <v>130.72</v>
      </c>
      <c r="N157" s="398"/>
      <c r="O157" s="400">
        <f>SUM(O158:O184)</f>
        <v>541.625</v>
      </c>
    </row>
    <row r="158" spans="2:15">
      <c r="B158" s="14"/>
      <c r="C158" s="17" t="s">
        <v>358</v>
      </c>
      <c r="D158" s="70" t="s">
        <v>348</v>
      </c>
      <c r="E158" s="18">
        <v>30.55</v>
      </c>
      <c r="F158" s="18">
        <v>1</v>
      </c>
      <c r="G158" s="19">
        <f t="shared" ref="G158:G184" si="21">PRODUCT(E158,F158)</f>
        <v>30.55</v>
      </c>
      <c r="H158" s="69">
        <v>0</v>
      </c>
      <c r="I158" s="18">
        <v>1</v>
      </c>
      <c r="J158" s="71" t="str">
        <f t="shared" ref="J158:J184" si="22">IF(D158="Emboço",G158*I158," ")</f>
        <v xml:space="preserve"> </v>
      </c>
      <c r="K158" s="73">
        <f t="shared" ref="K158:K184" si="23">IF(D158="Reboco",G158*I158," ")</f>
        <v>30.55</v>
      </c>
      <c r="L158" s="398"/>
      <c r="M158" s="403" t="str">
        <f t="shared" ref="M158:M185" si="24">IF(L158="x",G158,"")</f>
        <v/>
      </c>
      <c r="N158" s="398" t="s">
        <v>952</v>
      </c>
      <c r="O158" s="403">
        <f t="shared" ref="O158:O185" si="25">IF(N158="x",G158,"")</f>
        <v>30.55</v>
      </c>
    </row>
    <row r="159" spans="2:15">
      <c r="B159" s="14"/>
      <c r="C159" s="17" t="s">
        <v>359</v>
      </c>
      <c r="D159" s="70" t="s">
        <v>348</v>
      </c>
      <c r="E159" s="18">
        <v>14.8</v>
      </c>
      <c r="F159" s="18">
        <v>1</v>
      </c>
      <c r="G159" s="19">
        <f t="shared" si="21"/>
        <v>14.8</v>
      </c>
      <c r="H159" s="69">
        <v>0</v>
      </c>
      <c r="I159" s="18">
        <v>1</v>
      </c>
      <c r="J159" s="71" t="str">
        <f t="shared" si="22"/>
        <v xml:space="preserve"> </v>
      </c>
      <c r="K159" s="73">
        <f t="shared" si="23"/>
        <v>14.8</v>
      </c>
      <c r="L159" s="398"/>
      <c r="M159" s="403" t="str">
        <f t="shared" si="24"/>
        <v/>
      </c>
      <c r="N159" s="398" t="s">
        <v>952</v>
      </c>
      <c r="O159" s="403">
        <f t="shared" si="25"/>
        <v>14.8</v>
      </c>
    </row>
    <row r="160" spans="2:15">
      <c r="B160" s="14"/>
      <c r="C160" s="17" t="s">
        <v>359</v>
      </c>
      <c r="D160" s="70" t="s">
        <v>348</v>
      </c>
      <c r="E160" s="18">
        <v>10.8</v>
      </c>
      <c r="F160" s="18">
        <f>$I$22</f>
        <v>3.5</v>
      </c>
      <c r="G160" s="19">
        <f t="shared" si="21"/>
        <v>37.800000000000004</v>
      </c>
      <c r="H160" s="69">
        <v>0</v>
      </c>
      <c r="I160" s="18">
        <v>1</v>
      </c>
      <c r="J160" s="71" t="str">
        <f t="shared" si="22"/>
        <v xml:space="preserve"> </v>
      </c>
      <c r="K160" s="73">
        <f t="shared" si="23"/>
        <v>37.800000000000004</v>
      </c>
      <c r="L160" s="398"/>
      <c r="M160" s="403" t="str">
        <f t="shared" si="24"/>
        <v/>
      </c>
      <c r="N160" s="398" t="s">
        <v>952</v>
      </c>
      <c r="O160" s="403">
        <f t="shared" si="25"/>
        <v>37.800000000000004</v>
      </c>
    </row>
    <row r="161" spans="2:15">
      <c r="B161" s="14"/>
      <c r="C161" s="17" t="s">
        <v>360</v>
      </c>
      <c r="D161" s="70" t="s">
        <v>348</v>
      </c>
      <c r="E161" s="18">
        <v>5.75</v>
      </c>
      <c r="F161" s="18">
        <v>1</v>
      </c>
      <c r="G161" s="19">
        <f t="shared" si="21"/>
        <v>5.75</v>
      </c>
      <c r="H161" s="69">
        <v>0</v>
      </c>
      <c r="I161" s="18">
        <v>1</v>
      </c>
      <c r="J161" s="71" t="str">
        <f t="shared" si="22"/>
        <v xml:space="preserve"> </v>
      </c>
      <c r="K161" s="73">
        <f t="shared" si="23"/>
        <v>5.75</v>
      </c>
      <c r="L161" s="398"/>
      <c r="M161" s="403" t="str">
        <f t="shared" si="24"/>
        <v/>
      </c>
      <c r="N161" s="398" t="s">
        <v>952</v>
      </c>
      <c r="O161" s="403">
        <f t="shared" si="25"/>
        <v>5.75</v>
      </c>
    </row>
    <row r="162" spans="2:15">
      <c r="B162" s="14"/>
      <c r="C162" s="17" t="s">
        <v>360</v>
      </c>
      <c r="D162" s="70" t="s">
        <v>348</v>
      </c>
      <c r="E162" s="18">
        <v>12</v>
      </c>
      <c r="F162" s="18">
        <f t="shared" ref="F162:F179" si="26">$F$160</f>
        <v>3.5</v>
      </c>
      <c r="G162" s="19">
        <f t="shared" si="21"/>
        <v>42</v>
      </c>
      <c r="H162" s="69">
        <v>0</v>
      </c>
      <c r="I162" s="18">
        <v>1</v>
      </c>
      <c r="J162" s="71" t="str">
        <f t="shared" si="22"/>
        <v xml:space="preserve"> </v>
      </c>
      <c r="K162" s="73">
        <f t="shared" si="23"/>
        <v>42</v>
      </c>
      <c r="L162" s="398"/>
      <c r="M162" s="403" t="str">
        <f t="shared" si="24"/>
        <v/>
      </c>
      <c r="N162" s="398" t="s">
        <v>952</v>
      </c>
      <c r="O162" s="403">
        <f t="shared" si="25"/>
        <v>42</v>
      </c>
    </row>
    <row r="163" spans="2:15">
      <c r="B163" s="14"/>
      <c r="C163" s="17" t="s">
        <v>361</v>
      </c>
      <c r="D163" s="70" t="s">
        <v>348</v>
      </c>
      <c r="E163" s="18">
        <v>20.9</v>
      </c>
      <c r="F163" s="18">
        <f t="shared" si="26"/>
        <v>3.5</v>
      </c>
      <c r="G163" s="19">
        <f t="shared" si="21"/>
        <v>73.149999999999991</v>
      </c>
      <c r="H163" s="69">
        <v>0</v>
      </c>
      <c r="I163" s="18">
        <v>1</v>
      </c>
      <c r="J163" s="71" t="str">
        <f t="shared" si="22"/>
        <v xml:space="preserve"> </v>
      </c>
      <c r="K163" s="73">
        <f t="shared" si="23"/>
        <v>73.149999999999991</v>
      </c>
      <c r="L163" s="398"/>
      <c r="M163" s="403" t="str">
        <f t="shared" si="24"/>
        <v/>
      </c>
      <c r="N163" s="398" t="s">
        <v>952</v>
      </c>
      <c r="O163" s="403">
        <f t="shared" si="25"/>
        <v>73.149999999999991</v>
      </c>
    </row>
    <row r="164" spans="2:15">
      <c r="B164" s="14"/>
      <c r="C164" s="17" t="s">
        <v>362</v>
      </c>
      <c r="D164" s="70" t="s">
        <v>348</v>
      </c>
      <c r="E164" s="18">
        <v>20.149999999999999</v>
      </c>
      <c r="F164" s="18">
        <f t="shared" si="26"/>
        <v>3.5</v>
      </c>
      <c r="G164" s="19">
        <f t="shared" si="21"/>
        <v>70.524999999999991</v>
      </c>
      <c r="H164" s="69">
        <v>0</v>
      </c>
      <c r="I164" s="18">
        <v>1</v>
      </c>
      <c r="J164" s="71" t="str">
        <f t="shared" si="22"/>
        <v xml:space="preserve"> </v>
      </c>
      <c r="K164" s="73">
        <f t="shared" si="23"/>
        <v>70.524999999999991</v>
      </c>
      <c r="L164" s="398"/>
      <c r="M164" s="403" t="str">
        <f t="shared" si="24"/>
        <v/>
      </c>
      <c r="N164" s="398" t="s">
        <v>952</v>
      </c>
      <c r="O164" s="403">
        <f t="shared" si="25"/>
        <v>70.524999999999991</v>
      </c>
    </row>
    <row r="165" spans="2:15">
      <c r="B165" s="14"/>
      <c r="C165" s="26" t="s">
        <v>363</v>
      </c>
      <c r="D165" s="70" t="s">
        <v>348</v>
      </c>
      <c r="E165" s="18">
        <v>9.3000000000000007</v>
      </c>
      <c r="F165" s="18">
        <f t="shared" si="26"/>
        <v>3.5</v>
      </c>
      <c r="G165" s="19">
        <f t="shared" si="21"/>
        <v>32.550000000000004</v>
      </c>
      <c r="H165" s="69">
        <v>0</v>
      </c>
      <c r="I165" s="18">
        <v>2</v>
      </c>
      <c r="J165" s="71" t="str">
        <f t="shared" si="22"/>
        <v xml:space="preserve"> </v>
      </c>
      <c r="K165" s="73">
        <f t="shared" si="23"/>
        <v>65.100000000000009</v>
      </c>
      <c r="L165" s="398"/>
      <c r="M165" s="403" t="str">
        <f t="shared" si="24"/>
        <v/>
      </c>
      <c r="N165" s="398" t="s">
        <v>952</v>
      </c>
      <c r="O165" s="403">
        <f t="shared" si="25"/>
        <v>32.550000000000004</v>
      </c>
    </row>
    <row r="166" spans="2:15">
      <c r="B166" s="14"/>
      <c r="C166" s="26" t="s">
        <v>363</v>
      </c>
      <c r="D166" s="70" t="s">
        <v>348</v>
      </c>
      <c r="E166" s="18">
        <v>3</v>
      </c>
      <c r="F166" s="18">
        <v>1</v>
      </c>
      <c r="G166" s="19">
        <f t="shared" si="21"/>
        <v>3</v>
      </c>
      <c r="H166" s="69">
        <v>0</v>
      </c>
      <c r="I166" s="18">
        <v>2</v>
      </c>
      <c r="J166" s="71" t="str">
        <f t="shared" si="22"/>
        <v xml:space="preserve"> </v>
      </c>
      <c r="K166" s="73">
        <f t="shared" si="23"/>
        <v>6</v>
      </c>
      <c r="L166" s="398"/>
      <c r="M166" s="403" t="str">
        <f t="shared" si="24"/>
        <v/>
      </c>
      <c r="N166" s="398" t="s">
        <v>952</v>
      </c>
      <c r="O166" s="403">
        <f t="shared" si="25"/>
        <v>3</v>
      </c>
    </row>
    <row r="167" spans="2:15">
      <c r="B167" s="14"/>
      <c r="C167" s="17" t="s">
        <v>364</v>
      </c>
      <c r="D167" s="70" t="s">
        <v>348</v>
      </c>
      <c r="E167" s="18">
        <v>9.3000000000000007</v>
      </c>
      <c r="F167" s="18">
        <f t="shared" si="26"/>
        <v>3.5</v>
      </c>
      <c r="G167" s="19">
        <f t="shared" si="21"/>
        <v>32.550000000000004</v>
      </c>
      <c r="H167" s="69">
        <v>0</v>
      </c>
      <c r="I167" s="18">
        <v>1</v>
      </c>
      <c r="J167" s="71" t="str">
        <f t="shared" si="22"/>
        <v xml:space="preserve"> </v>
      </c>
      <c r="K167" s="73">
        <f t="shared" si="23"/>
        <v>32.550000000000004</v>
      </c>
      <c r="L167" s="398"/>
      <c r="M167" s="403" t="str">
        <f t="shared" si="24"/>
        <v/>
      </c>
      <c r="N167" s="398" t="s">
        <v>952</v>
      </c>
      <c r="O167" s="403">
        <f t="shared" si="25"/>
        <v>32.550000000000004</v>
      </c>
    </row>
    <row r="168" spans="2:15">
      <c r="B168" s="14"/>
      <c r="C168" s="17" t="s">
        <v>364</v>
      </c>
      <c r="D168" s="70" t="s">
        <v>348</v>
      </c>
      <c r="E168" s="18">
        <v>3</v>
      </c>
      <c r="F168" s="18">
        <v>1</v>
      </c>
      <c r="G168" s="19">
        <f t="shared" si="21"/>
        <v>3</v>
      </c>
      <c r="H168" s="69">
        <v>0</v>
      </c>
      <c r="I168" s="18">
        <v>1</v>
      </c>
      <c r="J168" s="71" t="str">
        <f t="shared" si="22"/>
        <v xml:space="preserve"> </v>
      </c>
      <c r="K168" s="73">
        <f t="shared" si="23"/>
        <v>3</v>
      </c>
      <c r="L168" s="398"/>
      <c r="M168" s="403" t="str">
        <f t="shared" si="24"/>
        <v/>
      </c>
      <c r="N168" s="398" t="s">
        <v>952</v>
      </c>
      <c r="O168" s="403">
        <f t="shared" si="25"/>
        <v>3</v>
      </c>
    </row>
    <row r="169" spans="2:15">
      <c r="B169" s="14"/>
      <c r="C169" s="17" t="s">
        <v>365</v>
      </c>
      <c r="D169" s="70" t="s">
        <v>348</v>
      </c>
      <c r="E169" s="18">
        <v>9.3000000000000007</v>
      </c>
      <c r="F169" s="18">
        <f t="shared" si="26"/>
        <v>3.5</v>
      </c>
      <c r="G169" s="19">
        <f t="shared" si="21"/>
        <v>32.550000000000004</v>
      </c>
      <c r="H169" s="69">
        <v>0</v>
      </c>
      <c r="I169" s="18">
        <v>1</v>
      </c>
      <c r="J169" s="71" t="str">
        <f t="shared" si="22"/>
        <v xml:space="preserve"> </v>
      </c>
      <c r="K169" s="73">
        <f t="shared" si="23"/>
        <v>32.550000000000004</v>
      </c>
      <c r="L169" s="398"/>
      <c r="M169" s="403" t="str">
        <f t="shared" si="24"/>
        <v/>
      </c>
      <c r="N169" s="398" t="s">
        <v>952</v>
      </c>
      <c r="O169" s="403">
        <f t="shared" si="25"/>
        <v>32.550000000000004</v>
      </c>
    </row>
    <row r="170" spans="2:15">
      <c r="B170" s="14"/>
      <c r="C170" s="17" t="s">
        <v>365</v>
      </c>
      <c r="D170" s="70" t="s">
        <v>348</v>
      </c>
      <c r="E170" s="18">
        <v>3</v>
      </c>
      <c r="F170" s="18">
        <v>1</v>
      </c>
      <c r="G170" s="19">
        <f t="shared" si="21"/>
        <v>3</v>
      </c>
      <c r="H170" s="69">
        <v>0</v>
      </c>
      <c r="I170" s="18">
        <v>1</v>
      </c>
      <c r="J170" s="71" t="str">
        <f t="shared" si="22"/>
        <v xml:space="preserve"> </v>
      </c>
      <c r="K170" s="73">
        <f t="shared" si="23"/>
        <v>3</v>
      </c>
      <c r="L170" s="398"/>
      <c r="M170" s="403" t="str">
        <f t="shared" si="24"/>
        <v/>
      </c>
      <c r="N170" s="398" t="s">
        <v>952</v>
      </c>
      <c r="O170" s="403">
        <f t="shared" si="25"/>
        <v>3</v>
      </c>
    </row>
    <row r="171" spans="2:15">
      <c r="B171" s="14"/>
      <c r="C171" s="17" t="s">
        <v>366</v>
      </c>
      <c r="D171" s="70" t="s">
        <v>348</v>
      </c>
      <c r="E171" s="18">
        <v>9.3000000000000007</v>
      </c>
      <c r="F171" s="18">
        <f t="shared" si="26"/>
        <v>3.5</v>
      </c>
      <c r="G171" s="19">
        <f t="shared" si="21"/>
        <v>32.550000000000004</v>
      </c>
      <c r="H171" s="69">
        <v>0</v>
      </c>
      <c r="I171" s="18">
        <v>1</v>
      </c>
      <c r="J171" s="71" t="str">
        <f t="shared" si="22"/>
        <v xml:space="preserve"> </v>
      </c>
      <c r="K171" s="73">
        <f t="shared" si="23"/>
        <v>32.550000000000004</v>
      </c>
      <c r="L171" s="398"/>
      <c r="M171" s="403" t="str">
        <f t="shared" si="24"/>
        <v/>
      </c>
      <c r="N171" s="398" t="s">
        <v>952</v>
      </c>
      <c r="O171" s="403">
        <f t="shared" si="25"/>
        <v>32.550000000000004</v>
      </c>
    </row>
    <row r="172" spans="2:15">
      <c r="B172" s="14"/>
      <c r="C172" s="17" t="s">
        <v>366</v>
      </c>
      <c r="D172" s="70" t="s">
        <v>348</v>
      </c>
      <c r="E172" s="18">
        <v>3</v>
      </c>
      <c r="F172" s="18">
        <v>1</v>
      </c>
      <c r="G172" s="19">
        <f t="shared" si="21"/>
        <v>3</v>
      </c>
      <c r="H172" s="69">
        <v>0</v>
      </c>
      <c r="I172" s="18">
        <v>1</v>
      </c>
      <c r="J172" s="71" t="str">
        <f t="shared" si="22"/>
        <v xml:space="preserve"> </v>
      </c>
      <c r="K172" s="73">
        <f t="shared" si="23"/>
        <v>3</v>
      </c>
      <c r="L172" s="398"/>
      <c r="M172" s="403" t="str">
        <f t="shared" si="24"/>
        <v/>
      </c>
      <c r="N172" s="398" t="s">
        <v>952</v>
      </c>
      <c r="O172" s="403">
        <f t="shared" si="25"/>
        <v>3</v>
      </c>
    </row>
    <row r="173" spans="2:15">
      <c r="B173" s="14"/>
      <c r="C173" s="17" t="s">
        <v>367</v>
      </c>
      <c r="D173" s="70" t="s">
        <v>348</v>
      </c>
      <c r="E173" s="18">
        <v>9.3000000000000007</v>
      </c>
      <c r="F173" s="18">
        <f t="shared" si="26"/>
        <v>3.5</v>
      </c>
      <c r="G173" s="19">
        <f t="shared" si="21"/>
        <v>32.550000000000004</v>
      </c>
      <c r="H173" s="69">
        <v>0</v>
      </c>
      <c r="I173" s="18">
        <v>1</v>
      </c>
      <c r="J173" s="71" t="str">
        <f t="shared" si="22"/>
        <v xml:space="preserve"> </v>
      </c>
      <c r="K173" s="73">
        <f t="shared" si="23"/>
        <v>32.550000000000004</v>
      </c>
      <c r="L173" s="398"/>
      <c r="M173" s="403" t="str">
        <f t="shared" si="24"/>
        <v/>
      </c>
      <c r="N173" s="398" t="s">
        <v>952</v>
      </c>
      <c r="O173" s="403">
        <f t="shared" si="25"/>
        <v>32.550000000000004</v>
      </c>
    </row>
    <row r="174" spans="2:15">
      <c r="B174" s="14"/>
      <c r="C174" s="17" t="s">
        <v>367</v>
      </c>
      <c r="D174" s="70" t="s">
        <v>348</v>
      </c>
      <c r="E174" s="18">
        <v>3</v>
      </c>
      <c r="F174" s="18">
        <v>1</v>
      </c>
      <c r="G174" s="19">
        <f t="shared" si="21"/>
        <v>3</v>
      </c>
      <c r="H174" s="69">
        <v>0</v>
      </c>
      <c r="I174" s="18">
        <v>1</v>
      </c>
      <c r="J174" s="71" t="str">
        <f t="shared" si="22"/>
        <v xml:space="preserve"> </v>
      </c>
      <c r="K174" s="73">
        <f t="shared" si="23"/>
        <v>3</v>
      </c>
      <c r="L174" s="398"/>
      <c r="M174" s="403" t="str">
        <f t="shared" si="24"/>
        <v/>
      </c>
      <c r="N174" s="398" t="s">
        <v>952</v>
      </c>
      <c r="O174" s="403">
        <f t="shared" si="25"/>
        <v>3</v>
      </c>
    </row>
    <row r="175" spans="2:15">
      <c r="B175" s="14"/>
      <c r="C175" s="17" t="s">
        <v>368</v>
      </c>
      <c r="D175" s="70" t="s">
        <v>348</v>
      </c>
      <c r="E175" s="18">
        <v>8.1999999999999993</v>
      </c>
      <c r="F175" s="18">
        <f t="shared" si="26"/>
        <v>3.5</v>
      </c>
      <c r="G175" s="19">
        <f t="shared" si="21"/>
        <v>28.699999999999996</v>
      </c>
      <c r="H175" s="69">
        <v>0</v>
      </c>
      <c r="I175" s="18">
        <v>2</v>
      </c>
      <c r="J175" s="71" t="str">
        <f t="shared" si="22"/>
        <v xml:space="preserve"> </v>
      </c>
      <c r="K175" s="73">
        <f t="shared" si="23"/>
        <v>57.399999999999991</v>
      </c>
      <c r="L175" s="398"/>
      <c r="M175" s="403" t="str">
        <f t="shared" si="24"/>
        <v/>
      </c>
      <c r="N175" s="398" t="s">
        <v>952</v>
      </c>
      <c r="O175" s="403">
        <f t="shared" si="25"/>
        <v>28.699999999999996</v>
      </c>
    </row>
    <row r="176" spans="2:15">
      <c r="B176" s="14"/>
      <c r="C176" s="17" t="s">
        <v>368</v>
      </c>
      <c r="D176" s="70" t="s">
        <v>348</v>
      </c>
      <c r="E176" s="18">
        <v>1.9</v>
      </c>
      <c r="F176" s="18">
        <v>1</v>
      </c>
      <c r="G176" s="19">
        <f t="shared" si="21"/>
        <v>1.9</v>
      </c>
      <c r="H176" s="69">
        <v>0</v>
      </c>
      <c r="I176" s="18">
        <v>2</v>
      </c>
      <c r="J176" s="71" t="str">
        <f t="shared" si="22"/>
        <v xml:space="preserve"> </v>
      </c>
      <c r="K176" s="73">
        <f t="shared" si="23"/>
        <v>3.8</v>
      </c>
      <c r="L176" s="398"/>
      <c r="M176" s="403" t="str">
        <f t="shared" si="24"/>
        <v/>
      </c>
      <c r="N176" s="398" t="s">
        <v>952</v>
      </c>
      <c r="O176" s="403">
        <f t="shared" si="25"/>
        <v>1.9</v>
      </c>
    </row>
    <row r="177" spans="2:15">
      <c r="B177" s="14"/>
      <c r="C177" s="17" t="s">
        <v>369</v>
      </c>
      <c r="D177" s="70" t="s">
        <v>348</v>
      </c>
      <c r="E177" s="18">
        <v>8.1999999999999993</v>
      </c>
      <c r="F177" s="18">
        <f t="shared" si="26"/>
        <v>3.5</v>
      </c>
      <c r="G177" s="19">
        <f t="shared" si="21"/>
        <v>28.699999999999996</v>
      </c>
      <c r="H177" s="69">
        <v>0</v>
      </c>
      <c r="I177" s="18">
        <v>2</v>
      </c>
      <c r="J177" s="71" t="str">
        <f t="shared" si="22"/>
        <v xml:space="preserve"> </v>
      </c>
      <c r="K177" s="73">
        <f t="shared" si="23"/>
        <v>57.399999999999991</v>
      </c>
      <c r="L177" s="398"/>
      <c r="M177" s="403" t="str">
        <f t="shared" si="24"/>
        <v/>
      </c>
      <c r="N177" s="398" t="s">
        <v>952</v>
      </c>
      <c r="O177" s="403">
        <f t="shared" si="25"/>
        <v>28.699999999999996</v>
      </c>
    </row>
    <row r="178" spans="2:15">
      <c r="B178" s="14"/>
      <c r="C178" s="17" t="s">
        <v>369</v>
      </c>
      <c r="D178" s="70" t="s">
        <v>348</v>
      </c>
      <c r="E178" s="18">
        <v>1.9</v>
      </c>
      <c r="F178" s="18">
        <v>1</v>
      </c>
      <c r="G178" s="19">
        <f t="shared" si="21"/>
        <v>1.9</v>
      </c>
      <c r="H178" s="69">
        <v>0</v>
      </c>
      <c r="I178" s="18">
        <v>2</v>
      </c>
      <c r="J178" s="71" t="str">
        <f t="shared" si="22"/>
        <v xml:space="preserve"> </v>
      </c>
      <c r="K178" s="73">
        <f t="shared" si="23"/>
        <v>3.8</v>
      </c>
      <c r="L178" s="398"/>
      <c r="M178" s="403" t="str">
        <f t="shared" si="24"/>
        <v/>
      </c>
      <c r="N178" s="398" t="s">
        <v>952</v>
      </c>
      <c r="O178" s="403">
        <f t="shared" si="25"/>
        <v>1.9</v>
      </c>
    </row>
    <row r="179" spans="2:15">
      <c r="B179" s="14"/>
      <c r="C179" s="17" t="s">
        <v>370</v>
      </c>
      <c r="D179" s="70" t="s">
        <v>348</v>
      </c>
      <c r="E179" s="18">
        <v>4.2</v>
      </c>
      <c r="F179" s="18">
        <f t="shared" si="26"/>
        <v>3.5</v>
      </c>
      <c r="G179" s="19">
        <f t="shared" si="21"/>
        <v>14.700000000000001</v>
      </c>
      <c r="H179" s="69">
        <v>0</v>
      </c>
      <c r="I179" s="18">
        <v>2</v>
      </c>
      <c r="J179" s="71" t="str">
        <f t="shared" si="22"/>
        <v xml:space="preserve"> </v>
      </c>
      <c r="K179" s="73">
        <f t="shared" si="23"/>
        <v>29.400000000000002</v>
      </c>
      <c r="L179" s="398"/>
      <c r="M179" s="403" t="str">
        <f t="shared" si="24"/>
        <v/>
      </c>
      <c r="N179" s="398" t="s">
        <v>952</v>
      </c>
      <c r="O179" s="403">
        <f t="shared" si="25"/>
        <v>14.700000000000001</v>
      </c>
    </row>
    <row r="180" spans="2:15">
      <c r="B180" s="14"/>
      <c r="C180" s="17" t="s">
        <v>370</v>
      </c>
      <c r="D180" s="70" t="s">
        <v>348</v>
      </c>
      <c r="E180" s="18">
        <v>13.4</v>
      </c>
      <c r="F180" s="18">
        <v>1</v>
      </c>
      <c r="G180" s="19">
        <f t="shared" si="21"/>
        <v>13.4</v>
      </c>
      <c r="H180" s="69">
        <v>0</v>
      </c>
      <c r="I180" s="18">
        <v>2</v>
      </c>
      <c r="J180" s="71" t="str">
        <f t="shared" si="22"/>
        <v xml:space="preserve"> </v>
      </c>
      <c r="K180" s="73">
        <f t="shared" si="23"/>
        <v>26.8</v>
      </c>
      <c r="L180" s="398"/>
      <c r="M180" s="403" t="str">
        <f t="shared" si="24"/>
        <v/>
      </c>
      <c r="N180" s="398" t="s">
        <v>952</v>
      </c>
      <c r="O180" s="403">
        <f t="shared" si="25"/>
        <v>13.4</v>
      </c>
    </row>
    <row r="181" spans="2:15">
      <c r="B181" s="14"/>
      <c r="C181" s="17" t="s">
        <v>1173</v>
      </c>
      <c r="D181" s="70" t="s">
        <v>348</v>
      </c>
      <c r="E181" s="18">
        <v>81.7</v>
      </c>
      <c r="F181" s="18">
        <v>1.6</v>
      </c>
      <c r="G181" s="19">
        <f t="shared" si="21"/>
        <v>130.72</v>
      </c>
      <c r="H181" s="69">
        <v>0</v>
      </c>
      <c r="I181" s="18">
        <v>1</v>
      </c>
      <c r="J181" s="71" t="str">
        <f t="shared" si="22"/>
        <v xml:space="preserve"> </v>
      </c>
      <c r="K181" s="73">
        <f t="shared" si="23"/>
        <v>130.72</v>
      </c>
      <c r="L181" s="398" t="s">
        <v>952</v>
      </c>
      <c r="M181" s="403">
        <f t="shared" si="24"/>
        <v>130.72</v>
      </c>
      <c r="N181" s="398"/>
      <c r="O181" s="403" t="str">
        <f t="shared" si="25"/>
        <v/>
      </c>
    </row>
    <row r="182" spans="2:15">
      <c r="B182" s="14"/>
      <c r="C182" s="17" t="s">
        <v>1174</v>
      </c>
      <c r="D182" s="70" t="s">
        <v>347</v>
      </c>
      <c r="E182" s="18">
        <v>82.9</v>
      </c>
      <c r="F182" s="18">
        <v>1.6</v>
      </c>
      <c r="G182" s="19">
        <f t="shared" si="21"/>
        <v>132.64000000000001</v>
      </c>
      <c r="H182" s="69">
        <v>0</v>
      </c>
      <c r="I182" s="18">
        <v>1</v>
      </c>
      <c r="J182" s="71">
        <f t="shared" si="22"/>
        <v>132.64000000000001</v>
      </c>
      <c r="K182" s="73" t="str">
        <f t="shared" si="23"/>
        <v xml:space="preserve"> </v>
      </c>
      <c r="L182" s="398"/>
      <c r="M182" s="403" t="str">
        <f t="shared" si="24"/>
        <v/>
      </c>
      <c r="N182" s="398"/>
      <c r="O182" s="403" t="str">
        <f t="shared" si="25"/>
        <v/>
      </c>
    </row>
    <row r="183" spans="2:15">
      <c r="B183" s="14"/>
      <c r="C183" s="17" t="s">
        <v>1176</v>
      </c>
      <c r="D183" s="70" t="s">
        <v>347</v>
      </c>
      <c r="E183" s="18">
        <v>44.35</v>
      </c>
      <c r="F183" s="18">
        <f>$F$160</f>
        <v>3.5</v>
      </c>
      <c r="G183" s="19">
        <f t="shared" si="21"/>
        <v>155.22499999999999</v>
      </c>
      <c r="H183" s="69">
        <v>0</v>
      </c>
      <c r="I183" s="18">
        <v>1</v>
      </c>
      <c r="J183" s="71">
        <f t="shared" si="22"/>
        <v>155.22499999999999</v>
      </c>
      <c r="K183" s="73" t="str">
        <f t="shared" si="23"/>
        <v xml:space="preserve"> </v>
      </c>
      <c r="L183" s="398"/>
      <c r="M183" s="403" t="str">
        <f t="shared" si="24"/>
        <v/>
      </c>
      <c r="N183" s="398"/>
      <c r="O183" s="403" t="str">
        <f t="shared" si="25"/>
        <v/>
      </c>
    </row>
    <row r="184" spans="2:15">
      <c r="B184" s="14"/>
      <c r="C184" s="17" t="s">
        <v>1176</v>
      </c>
      <c r="D184" s="70" t="s">
        <v>347</v>
      </c>
      <c r="E184" s="18">
        <v>30.55</v>
      </c>
      <c r="F184" s="18">
        <v>1</v>
      </c>
      <c r="G184" s="19">
        <f t="shared" si="21"/>
        <v>30.55</v>
      </c>
      <c r="H184" s="69">
        <v>0</v>
      </c>
      <c r="I184" s="18">
        <v>1</v>
      </c>
      <c r="J184" s="71">
        <f t="shared" si="22"/>
        <v>30.55</v>
      </c>
      <c r="K184" s="73" t="str">
        <f t="shared" si="23"/>
        <v xml:space="preserve"> </v>
      </c>
      <c r="L184" s="398"/>
      <c r="M184" s="403" t="str">
        <f t="shared" si="24"/>
        <v/>
      </c>
      <c r="N184" s="398"/>
      <c r="O184" s="403" t="str">
        <f t="shared" si="25"/>
        <v/>
      </c>
    </row>
    <row r="185" spans="2:15">
      <c r="L185" s="398"/>
      <c r="M185" s="403" t="str">
        <f t="shared" si="24"/>
        <v/>
      </c>
      <c r="N185" s="398"/>
      <c r="O185" s="403" t="str">
        <f t="shared" si="25"/>
        <v/>
      </c>
    </row>
    <row r="186" spans="2:15">
      <c r="B186" s="14" t="s">
        <v>118</v>
      </c>
      <c r="C186" s="1004" t="s">
        <v>105</v>
      </c>
      <c r="D186" s="1004" t="s">
        <v>0</v>
      </c>
      <c r="E186" s="1004" t="s">
        <v>0</v>
      </c>
      <c r="F186" s="1004" t="s">
        <v>0</v>
      </c>
      <c r="G186" s="1004" t="s">
        <v>0</v>
      </c>
      <c r="H186" s="1004" t="s">
        <v>0</v>
      </c>
      <c r="I186" s="1004" t="s">
        <v>0</v>
      </c>
      <c r="J186" s="76">
        <f>SUM(J187:J221)</f>
        <v>962.38</v>
      </c>
      <c r="K186" s="400">
        <f>SUM(K187:K221)</f>
        <v>1027.0450000000001</v>
      </c>
      <c r="L186" s="398"/>
      <c r="M186" s="400">
        <f>SUM(M187:M221)</f>
        <v>335.80000000000007</v>
      </c>
      <c r="N186" s="398"/>
      <c r="O186" s="400">
        <f>SUM(O187:O221)</f>
        <v>0</v>
      </c>
    </row>
    <row r="187" spans="2:15">
      <c r="B187" s="14"/>
      <c r="C187" s="17" t="s">
        <v>308</v>
      </c>
      <c r="D187" s="70" t="s">
        <v>347</v>
      </c>
      <c r="E187" s="18">
        <v>10.4</v>
      </c>
      <c r="F187" s="18">
        <f>$I$22</f>
        <v>3.5</v>
      </c>
      <c r="G187" s="19">
        <f t="shared" ref="G187:G221" si="27">PRODUCT(E187,F187)</f>
        <v>36.4</v>
      </c>
      <c r="H187" s="69">
        <v>0</v>
      </c>
      <c r="I187" s="18">
        <v>1</v>
      </c>
      <c r="J187" s="71">
        <f t="shared" ref="J187:J221" si="28">IF(D187="Emboço",G187*I187," ")</f>
        <v>36.4</v>
      </c>
      <c r="K187" s="73" t="str">
        <f t="shared" ref="K187:K221" si="29">IF(D187="Reboco",G187*I187," ")</f>
        <v xml:space="preserve"> </v>
      </c>
      <c r="L187" s="398"/>
      <c r="M187" s="403" t="str">
        <f t="shared" ref="M187:M222" si="30">IF(L187="x",G187,"")</f>
        <v/>
      </c>
      <c r="N187" s="398"/>
      <c r="O187" s="403" t="str">
        <f t="shared" ref="O187:O222" si="31">IF(N187="x",G187,"")</f>
        <v/>
      </c>
    </row>
    <row r="188" spans="2:15">
      <c r="B188" s="14"/>
      <c r="C188" s="17" t="s">
        <v>371</v>
      </c>
      <c r="D188" s="70" t="s">
        <v>347</v>
      </c>
      <c r="E188" s="18">
        <v>11.3</v>
      </c>
      <c r="F188" s="18">
        <f>$F$187</f>
        <v>3.5</v>
      </c>
      <c r="G188" s="19">
        <f t="shared" si="27"/>
        <v>39.550000000000004</v>
      </c>
      <c r="H188" s="69">
        <v>0</v>
      </c>
      <c r="I188" s="18">
        <v>1</v>
      </c>
      <c r="J188" s="71">
        <f t="shared" si="28"/>
        <v>39.550000000000004</v>
      </c>
      <c r="K188" s="73" t="str">
        <f t="shared" si="29"/>
        <v xml:space="preserve"> </v>
      </c>
      <c r="L188" s="398"/>
      <c r="M188" s="403" t="str">
        <f t="shared" si="30"/>
        <v/>
      </c>
      <c r="N188" s="398"/>
      <c r="O188" s="403" t="str">
        <f t="shared" si="31"/>
        <v/>
      </c>
    </row>
    <row r="189" spans="2:15">
      <c r="B189" s="14"/>
      <c r="C189" s="17" t="s">
        <v>372</v>
      </c>
      <c r="D189" s="70" t="s">
        <v>347</v>
      </c>
      <c r="E189" s="18">
        <v>6.8</v>
      </c>
      <c r="F189" s="18">
        <f t="shared" ref="F189:F220" si="32">$F$187</f>
        <v>3.5</v>
      </c>
      <c r="G189" s="19">
        <f t="shared" si="27"/>
        <v>23.8</v>
      </c>
      <c r="H189" s="69">
        <v>0</v>
      </c>
      <c r="I189" s="18">
        <v>1</v>
      </c>
      <c r="J189" s="71">
        <f t="shared" si="28"/>
        <v>23.8</v>
      </c>
      <c r="K189" s="73" t="str">
        <f t="shared" si="29"/>
        <v xml:space="preserve"> </v>
      </c>
      <c r="L189" s="398"/>
      <c r="M189" s="403" t="str">
        <f t="shared" si="30"/>
        <v/>
      </c>
      <c r="N189" s="398"/>
      <c r="O189" s="403" t="str">
        <f t="shared" si="31"/>
        <v/>
      </c>
    </row>
    <row r="190" spans="2:15">
      <c r="B190" s="14"/>
      <c r="C190" s="17" t="s">
        <v>372</v>
      </c>
      <c r="D190" s="70" t="s">
        <v>347</v>
      </c>
      <c r="E190" s="18">
        <v>6.9</v>
      </c>
      <c r="F190" s="18">
        <f t="shared" si="32"/>
        <v>3.5</v>
      </c>
      <c r="G190" s="19">
        <f t="shared" si="27"/>
        <v>24.150000000000002</v>
      </c>
      <c r="H190" s="69">
        <v>0</v>
      </c>
      <c r="I190" s="18">
        <v>1</v>
      </c>
      <c r="J190" s="71">
        <f t="shared" si="28"/>
        <v>24.150000000000002</v>
      </c>
      <c r="K190" s="73" t="str">
        <f t="shared" si="29"/>
        <v xml:space="preserve"> </v>
      </c>
      <c r="L190" s="398"/>
      <c r="M190" s="403" t="str">
        <f t="shared" si="30"/>
        <v/>
      </c>
      <c r="N190" s="398"/>
      <c r="O190" s="403" t="str">
        <f t="shared" si="31"/>
        <v/>
      </c>
    </row>
    <row r="191" spans="2:15">
      <c r="B191" s="14"/>
      <c r="C191" s="17" t="s">
        <v>373</v>
      </c>
      <c r="D191" s="70" t="s">
        <v>348</v>
      </c>
      <c r="E191" s="18">
        <v>7.8999999999999995</v>
      </c>
      <c r="F191" s="18">
        <f t="shared" si="32"/>
        <v>3.5</v>
      </c>
      <c r="G191" s="19">
        <f t="shared" si="27"/>
        <v>27.65</v>
      </c>
      <c r="H191" s="69">
        <v>0</v>
      </c>
      <c r="I191" s="18">
        <v>1</v>
      </c>
      <c r="J191" s="71" t="str">
        <f t="shared" si="28"/>
        <v xml:space="preserve"> </v>
      </c>
      <c r="K191" s="73">
        <f t="shared" si="29"/>
        <v>27.65</v>
      </c>
      <c r="L191" s="398"/>
      <c r="M191" s="403" t="str">
        <f t="shared" si="30"/>
        <v/>
      </c>
      <c r="N191" s="398"/>
      <c r="O191" s="403" t="str">
        <f t="shared" si="31"/>
        <v/>
      </c>
    </row>
    <row r="192" spans="2:15">
      <c r="B192" s="14"/>
      <c r="C192" s="17" t="s">
        <v>374</v>
      </c>
      <c r="D192" s="70" t="s">
        <v>348</v>
      </c>
      <c r="E192" s="18">
        <v>13.5</v>
      </c>
      <c r="F192" s="18">
        <f t="shared" si="32"/>
        <v>3.5</v>
      </c>
      <c r="G192" s="19">
        <f t="shared" si="27"/>
        <v>47.25</v>
      </c>
      <c r="H192" s="69">
        <v>0</v>
      </c>
      <c r="I192" s="18">
        <v>1</v>
      </c>
      <c r="J192" s="71" t="str">
        <f t="shared" si="28"/>
        <v xml:space="preserve"> </v>
      </c>
      <c r="K192" s="73">
        <f t="shared" si="29"/>
        <v>47.25</v>
      </c>
      <c r="L192" s="398"/>
      <c r="M192" s="403" t="str">
        <f t="shared" si="30"/>
        <v/>
      </c>
      <c r="N192" s="398"/>
      <c r="O192" s="403" t="str">
        <f t="shared" si="31"/>
        <v/>
      </c>
    </row>
    <row r="193" spans="2:15">
      <c r="B193" s="14"/>
      <c r="C193" s="17" t="s">
        <v>375</v>
      </c>
      <c r="D193" s="70" t="s">
        <v>348</v>
      </c>
      <c r="E193" s="18">
        <v>17.3</v>
      </c>
      <c r="F193" s="18">
        <f t="shared" si="32"/>
        <v>3.5</v>
      </c>
      <c r="G193" s="19">
        <f t="shared" si="27"/>
        <v>60.550000000000004</v>
      </c>
      <c r="H193" s="69">
        <v>0</v>
      </c>
      <c r="I193" s="18">
        <v>1</v>
      </c>
      <c r="J193" s="71" t="str">
        <f t="shared" si="28"/>
        <v xml:space="preserve"> </v>
      </c>
      <c r="K193" s="73">
        <f t="shared" si="29"/>
        <v>60.550000000000004</v>
      </c>
      <c r="L193" s="398"/>
      <c r="M193" s="403" t="str">
        <f t="shared" si="30"/>
        <v/>
      </c>
      <c r="N193" s="398"/>
      <c r="O193" s="403" t="str">
        <f t="shared" si="31"/>
        <v/>
      </c>
    </row>
    <row r="194" spans="2:15">
      <c r="B194" s="14"/>
      <c r="C194" s="17" t="s">
        <v>376</v>
      </c>
      <c r="D194" s="70" t="s">
        <v>348</v>
      </c>
      <c r="E194" s="18">
        <v>9.3000000000000007</v>
      </c>
      <c r="F194" s="18">
        <v>2.2000000000000002</v>
      </c>
      <c r="G194" s="19">
        <f t="shared" si="27"/>
        <v>20.460000000000004</v>
      </c>
      <c r="H194" s="69">
        <v>0</v>
      </c>
      <c r="I194" s="18">
        <v>1</v>
      </c>
      <c r="J194" s="71" t="str">
        <f t="shared" si="28"/>
        <v xml:space="preserve"> </v>
      </c>
      <c r="K194" s="73">
        <f t="shared" si="29"/>
        <v>20.460000000000004</v>
      </c>
      <c r="L194" s="398" t="s">
        <v>952</v>
      </c>
      <c r="M194" s="403">
        <f t="shared" si="30"/>
        <v>20.460000000000004</v>
      </c>
      <c r="N194" s="398"/>
      <c r="O194" s="403" t="str">
        <f t="shared" si="31"/>
        <v/>
      </c>
    </row>
    <row r="195" spans="2:15">
      <c r="B195" s="14"/>
      <c r="C195" s="17" t="s">
        <v>377</v>
      </c>
      <c r="D195" s="70" t="s">
        <v>348</v>
      </c>
      <c r="E195" s="18">
        <v>15.5</v>
      </c>
      <c r="F195" s="18">
        <f t="shared" si="32"/>
        <v>3.5</v>
      </c>
      <c r="G195" s="19">
        <f t="shared" si="27"/>
        <v>54.25</v>
      </c>
      <c r="H195" s="69">
        <v>0</v>
      </c>
      <c r="I195" s="18">
        <v>1</v>
      </c>
      <c r="J195" s="71" t="str">
        <f t="shared" si="28"/>
        <v xml:space="preserve"> </v>
      </c>
      <c r="K195" s="73">
        <f t="shared" si="29"/>
        <v>54.25</v>
      </c>
      <c r="L195" s="398"/>
      <c r="M195" s="403" t="str">
        <f t="shared" si="30"/>
        <v/>
      </c>
      <c r="N195" s="398"/>
      <c r="O195" s="403" t="str">
        <f t="shared" si="31"/>
        <v/>
      </c>
    </row>
    <row r="196" spans="2:15">
      <c r="B196" s="14"/>
      <c r="C196" s="17" t="s">
        <v>378</v>
      </c>
      <c r="D196" s="70" t="s">
        <v>348</v>
      </c>
      <c r="E196" s="18">
        <v>9.1</v>
      </c>
      <c r="F196" s="18">
        <v>2.2000000000000002</v>
      </c>
      <c r="G196" s="19">
        <f t="shared" si="27"/>
        <v>20.02</v>
      </c>
      <c r="H196" s="69">
        <v>0</v>
      </c>
      <c r="I196" s="18">
        <v>1</v>
      </c>
      <c r="J196" s="71" t="str">
        <f t="shared" si="28"/>
        <v xml:space="preserve"> </v>
      </c>
      <c r="K196" s="73">
        <f t="shared" si="29"/>
        <v>20.02</v>
      </c>
      <c r="L196" s="398" t="s">
        <v>952</v>
      </c>
      <c r="M196" s="403">
        <f t="shared" si="30"/>
        <v>20.02</v>
      </c>
      <c r="N196" s="398"/>
      <c r="O196" s="403" t="str">
        <f t="shared" si="31"/>
        <v/>
      </c>
    </row>
    <row r="197" spans="2:15">
      <c r="B197" s="14"/>
      <c r="C197" s="17" t="s">
        <v>379</v>
      </c>
      <c r="D197" s="70" t="s">
        <v>347</v>
      </c>
      <c r="E197" s="18">
        <v>8.8000000000000007</v>
      </c>
      <c r="F197" s="18">
        <f t="shared" si="32"/>
        <v>3.5</v>
      </c>
      <c r="G197" s="19">
        <f t="shared" si="27"/>
        <v>30.800000000000004</v>
      </c>
      <c r="H197" s="69">
        <v>0</v>
      </c>
      <c r="I197" s="18">
        <v>1</v>
      </c>
      <c r="J197" s="71">
        <f t="shared" si="28"/>
        <v>30.800000000000004</v>
      </c>
      <c r="K197" s="73" t="str">
        <f t="shared" si="29"/>
        <v xml:space="preserve"> </v>
      </c>
      <c r="L197" s="398"/>
      <c r="M197" s="403" t="str">
        <f t="shared" si="30"/>
        <v/>
      </c>
      <c r="N197" s="398"/>
      <c r="O197" s="403" t="str">
        <f t="shared" si="31"/>
        <v/>
      </c>
    </row>
    <row r="198" spans="2:15">
      <c r="B198" s="14"/>
      <c r="C198" s="17" t="s">
        <v>380</v>
      </c>
      <c r="D198" s="70" t="s">
        <v>347</v>
      </c>
      <c r="E198" s="18">
        <v>8.8000000000000007</v>
      </c>
      <c r="F198" s="18">
        <f t="shared" si="32"/>
        <v>3.5</v>
      </c>
      <c r="G198" s="19">
        <f t="shared" si="27"/>
        <v>30.800000000000004</v>
      </c>
      <c r="H198" s="69">
        <v>0</v>
      </c>
      <c r="I198" s="18">
        <v>1</v>
      </c>
      <c r="J198" s="71">
        <f t="shared" si="28"/>
        <v>30.800000000000004</v>
      </c>
      <c r="K198" s="73" t="str">
        <f t="shared" si="29"/>
        <v xml:space="preserve"> </v>
      </c>
      <c r="L198" s="398"/>
      <c r="M198" s="403" t="str">
        <f t="shared" si="30"/>
        <v/>
      </c>
      <c r="N198" s="398"/>
      <c r="O198" s="403" t="str">
        <f t="shared" si="31"/>
        <v/>
      </c>
    </row>
    <row r="199" spans="2:15">
      <c r="B199" s="14"/>
      <c r="C199" s="17" t="s">
        <v>381</v>
      </c>
      <c r="D199" s="70" t="s">
        <v>347</v>
      </c>
      <c r="E199" s="18">
        <v>8.8000000000000007</v>
      </c>
      <c r="F199" s="18">
        <f t="shared" si="32"/>
        <v>3.5</v>
      </c>
      <c r="G199" s="19">
        <f t="shared" si="27"/>
        <v>30.800000000000004</v>
      </c>
      <c r="H199" s="69">
        <v>0</v>
      </c>
      <c r="I199" s="18">
        <v>1</v>
      </c>
      <c r="J199" s="71">
        <f t="shared" si="28"/>
        <v>30.800000000000004</v>
      </c>
      <c r="K199" s="73" t="str">
        <f t="shared" si="29"/>
        <v xml:space="preserve"> </v>
      </c>
      <c r="L199" s="398"/>
      <c r="M199" s="403" t="str">
        <f t="shared" si="30"/>
        <v/>
      </c>
      <c r="N199" s="398"/>
      <c r="O199" s="403" t="str">
        <f t="shared" si="31"/>
        <v/>
      </c>
    </row>
    <row r="200" spans="2:15">
      <c r="B200" s="14"/>
      <c r="C200" s="17" t="s">
        <v>382</v>
      </c>
      <c r="D200" s="70" t="s">
        <v>347</v>
      </c>
      <c r="E200" s="18">
        <v>8.9</v>
      </c>
      <c r="F200" s="18">
        <f t="shared" si="32"/>
        <v>3.5</v>
      </c>
      <c r="G200" s="19">
        <f t="shared" si="27"/>
        <v>31.150000000000002</v>
      </c>
      <c r="H200" s="69">
        <v>0</v>
      </c>
      <c r="I200" s="18">
        <v>1</v>
      </c>
      <c r="J200" s="71">
        <f t="shared" si="28"/>
        <v>31.150000000000002</v>
      </c>
      <c r="K200" s="73" t="str">
        <f t="shared" si="29"/>
        <v xml:space="preserve"> </v>
      </c>
      <c r="L200" s="398"/>
      <c r="M200" s="403" t="str">
        <f t="shared" si="30"/>
        <v/>
      </c>
      <c r="N200" s="398"/>
      <c r="O200" s="403" t="str">
        <f t="shared" si="31"/>
        <v/>
      </c>
    </row>
    <row r="201" spans="2:15">
      <c r="B201" s="14"/>
      <c r="C201" s="17" t="s">
        <v>383</v>
      </c>
      <c r="D201" s="70" t="s">
        <v>348</v>
      </c>
      <c r="E201" s="18">
        <v>15.4</v>
      </c>
      <c r="F201" s="18">
        <f t="shared" si="32"/>
        <v>3.5</v>
      </c>
      <c r="G201" s="19">
        <f t="shared" si="27"/>
        <v>53.9</v>
      </c>
      <c r="H201" s="69">
        <v>0</v>
      </c>
      <c r="I201" s="18">
        <v>1</v>
      </c>
      <c r="J201" s="71" t="str">
        <f t="shared" si="28"/>
        <v xml:space="preserve"> </v>
      </c>
      <c r="K201" s="73">
        <f t="shared" si="29"/>
        <v>53.9</v>
      </c>
      <c r="L201" s="398"/>
      <c r="M201" s="403" t="str">
        <f t="shared" si="30"/>
        <v/>
      </c>
      <c r="N201" s="398"/>
      <c r="O201" s="403" t="str">
        <f t="shared" si="31"/>
        <v/>
      </c>
    </row>
    <row r="202" spans="2:15">
      <c r="B202" s="14"/>
      <c r="C202" s="17" t="s">
        <v>384</v>
      </c>
      <c r="D202" s="70" t="s">
        <v>348</v>
      </c>
      <c r="E202" s="18">
        <v>8.5</v>
      </c>
      <c r="F202" s="18">
        <v>2.2000000000000002</v>
      </c>
      <c r="G202" s="19">
        <f t="shared" si="27"/>
        <v>18.700000000000003</v>
      </c>
      <c r="H202" s="69">
        <v>0</v>
      </c>
      <c r="I202" s="18">
        <v>1</v>
      </c>
      <c r="J202" s="71" t="str">
        <f t="shared" si="28"/>
        <v xml:space="preserve"> </v>
      </c>
      <c r="K202" s="73">
        <f t="shared" si="29"/>
        <v>18.700000000000003</v>
      </c>
      <c r="L202" s="398" t="s">
        <v>952</v>
      </c>
      <c r="M202" s="403">
        <f t="shared" si="30"/>
        <v>18.700000000000003</v>
      </c>
      <c r="N202" s="398"/>
      <c r="O202" s="403" t="str">
        <f t="shared" si="31"/>
        <v/>
      </c>
    </row>
    <row r="203" spans="2:15">
      <c r="B203" s="14"/>
      <c r="C203" s="17" t="s">
        <v>385</v>
      </c>
      <c r="D203" s="70" t="s">
        <v>348</v>
      </c>
      <c r="E203" s="18">
        <v>15.4</v>
      </c>
      <c r="F203" s="18">
        <f t="shared" si="32"/>
        <v>3.5</v>
      </c>
      <c r="G203" s="19">
        <f t="shared" si="27"/>
        <v>53.9</v>
      </c>
      <c r="H203" s="69">
        <v>0</v>
      </c>
      <c r="I203" s="18">
        <v>1</v>
      </c>
      <c r="J203" s="71" t="str">
        <f t="shared" si="28"/>
        <v xml:space="preserve"> </v>
      </c>
      <c r="K203" s="73">
        <f t="shared" si="29"/>
        <v>53.9</v>
      </c>
      <c r="L203" s="398"/>
      <c r="M203" s="403" t="str">
        <f t="shared" si="30"/>
        <v/>
      </c>
      <c r="N203" s="398"/>
      <c r="O203" s="403" t="str">
        <f t="shared" si="31"/>
        <v/>
      </c>
    </row>
    <row r="204" spans="2:15">
      <c r="B204" s="14"/>
      <c r="C204" s="17" t="s">
        <v>386</v>
      </c>
      <c r="D204" s="70" t="s">
        <v>348</v>
      </c>
      <c r="E204" s="18">
        <v>9.5</v>
      </c>
      <c r="F204" s="18">
        <v>2.2000000000000002</v>
      </c>
      <c r="G204" s="19">
        <f t="shared" si="27"/>
        <v>20.900000000000002</v>
      </c>
      <c r="H204" s="69">
        <v>0</v>
      </c>
      <c r="I204" s="18">
        <v>1</v>
      </c>
      <c r="J204" s="71" t="str">
        <f t="shared" si="28"/>
        <v xml:space="preserve"> </v>
      </c>
      <c r="K204" s="73">
        <f t="shared" si="29"/>
        <v>20.900000000000002</v>
      </c>
      <c r="L204" s="398" t="s">
        <v>952</v>
      </c>
      <c r="M204" s="403">
        <f t="shared" si="30"/>
        <v>20.900000000000002</v>
      </c>
      <c r="N204" s="398"/>
      <c r="O204" s="403" t="str">
        <f t="shared" si="31"/>
        <v/>
      </c>
    </row>
    <row r="205" spans="2:15">
      <c r="B205" s="14"/>
      <c r="C205" s="17" t="s">
        <v>387</v>
      </c>
      <c r="D205" s="70" t="s">
        <v>348</v>
      </c>
      <c r="E205" s="18">
        <v>6.6</v>
      </c>
      <c r="F205" s="18">
        <f t="shared" si="32"/>
        <v>3.5</v>
      </c>
      <c r="G205" s="19">
        <f t="shared" si="27"/>
        <v>23.099999999999998</v>
      </c>
      <c r="H205" s="69">
        <v>0</v>
      </c>
      <c r="I205" s="18">
        <v>1</v>
      </c>
      <c r="J205" s="71" t="str">
        <f t="shared" si="28"/>
        <v xml:space="preserve"> </v>
      </c>
      <c r="K205" s="73">
        <f t="shared" si="29"/>
        <v>23.099999999999998</v>
      </c>
      <c r="L205" s="398"/>
      <c r="M205" s="403" t="str">
        <f t="shared" si="30"/>
        <v/>
      </c>
      <c r="N205" s="398"/>
      <c r="O205" s="403" t="str">
        <f t="shared" si="31"/>
        <v/>
      </c>
    </row>
    <row r="206" spans="2:15">
      <c r="B206" s="14"/>
      <c r="C206" s="17" t="s">
        <v>388</v>
      </c>
      <c r="D206" s="70" t="s">
        <v>348</v>
      </c>
      <c r="E206" s="18">
        <v>9.8999999999999986</v>
      </c>
      <c r="F206" s="18">
        <f t="shared" si="32"/>
        <v>3.5</v>
      </c>
      <c r="G206" s="19">
        <f t="shared" si="27"/>
        <v>34.649999999999991</v>
      </c>
      <c r="H206" s="69">
        <v>0</v>
      </c>
      <c r="I206" s="18">
        <v>1</v>
      </c>
      <c r="J206" s="71" t="str">
        <f t="shared" si="28"/>
        <v xml:space="preserve"> </v>
      </c>
      <c r="K206" s="73">
        <f t="shared" si="29"/>
        <v>34.649999999999991</v>
      </c>
      <c r="L206" s="398"/>
      <c r="M206" s="403" t="str">
        <f t="shared" si="30"/>
        <v/>
      </c>
      <c r="N206" s="398"/>
      <c r="O206" s="403" t="str">
        <f t="shared" si="31"/>
        <v/>
      </c>
    </row>
    <row r="207" spans="2:15">
      <c r="B207" s="14"/>
      <c r="C207" s="17" t="s">
        <v>389</v>
      </c>
      <c r="D207" s="70" t="s">
        <v>347</v>
      </c>
      <c r="E207" s="18">
        <v>17.7</v>
      </c>
      <c r="F207" s="18">
        <f t="shared" si="32"/>
        <v>3.5</v>
      </c>
      <c r="G207" s="19">
        <f t="shared" si="27"/>
        <v>61.949999999999996</v>
      </c>
      <c r="H207" s="69">
        <v>0</v>
      </c>
      <c r="I207" s="18">
        <v>1</v>
      </c>
      <c r="J207" s="71">
        <f t="shared" si="28"/>
        <v>61.949999999999996</v>
      </c>
      <c r="K207" s="73" t="str">
        <f t="shared" si="29"/>
        <v xml:space="preserve"> </v>
      </c>
      <c r="L207" s="398"/>
      <c r="M207" s="403" t="str">
        <f t="shared" si="30"/>
        <v/>
      </c>
      <c r="N207" s="398"/>
      <c r="O207" s="403" t="str">
        <f t="shared" si="31"/>
        <v/>
      </c>
    </row>
    <row r="208" spans="2:15">
      <c r="B208" s="14"/>
      <c r="C208" s="17" t="s">
        <v>335</v>
      </c>
      <c r="D208" s="70" t="s">
        <v>347</v>
      </c>
      <c r="E208" s="18">
        <v>16.3</v>
      </c>
      <c r="F208" s="18">
        <f t="shared" si="32"/>
        <v>3.5</v>
      </c>
      <c r="G208" s="19">
        <f t="shared" si="27"/>
        <v>57.050000000000004</v>
      </c>
      <c r="H208" s="69">
        <v>0</v>
      </c>
      <c r="I208" s="18">
        <v>1</v>
      </c>
      <c r="J208" s="71">
        <f t="shared" si="28"/>
        <v>57.050000000000004</v>
      </c>
      <c r="K208" s="73" t="str">
        <f t="shared" si="29"/>
        <v xml:space="preserve"> </v>
      </c>
      <c r="L208" s="398"/>
      <c r="M208" s="403" t="str">
        <f t="shared" si="30"/>
        <v/>
      </c>
      <c r="N208" s="398"/>
      <c r="O208" s="403" t="str">
        <f t="shared" si="31"/>
        <v/>
      </c>
    </row>
    <row r="209" spans="2:15">
      <c r="B209" s="14"/>
      <c r="C209" s="17" t="s">
        <v>390</v>
      </c>
      <c r="D209" s="70" t="s">
        <v>348</v>
      </c>
      <c r="E209" s="18">
        <v>15.4</v>
      </c>
      <c r="F209" s="18">
        <f t="shared" si="32"/>
        <v>3.5</v>
      </c>
      <c r="G209" s="19">
        <f t="shared" si="27"/>
        <v>53.9</v>
      </c>
      <c r="H209" s="69">
        <v>0</v>
      </c>
      <c r="I209" s="18">
        <v>1</v>
      </c>
      <c r="J209" s="71" t="str">
        <f t="shared" si="28"/>
        <v xml:space="preserve"> </v>
      </c>
      <c r="K209" s="73">
        <f t="shared" si="29"/>
        <v>53.9</v>
      </c>
      <c r="L209" s="398" t="s">
        <v>952</v>
      </c>
      <c r="M209" s="403">
        <f t="shared" si="30"/>
        <v>53.9</v>
      </c>
      <c r="N209" s="398"/>
      <c r="O209" s="403" t="str">
        <f t="shared" si="31"/>
        <v/>
      </c>
    </row>
    <row r="210" spans="2:15">
      <c r="B210" s="14"/>
      <c r="C210" s="17" t="s">
        <v>391</v>
      </c>
      <c r="D210" s="70" t="s">
        <v>348</v>
      </c>
      <c r="E210" s="18">
        <v>10.1</v>
      </c>
      <c r="F210" s="18">
        <v>2.2000000000000002</v>
      </c>
      <c r="G210" s="19">
        <f t="shared" si="27"/>
        <v>22.220000000000002</v>
      </c>
      <c r="H210" s="69">
        <v>0</v>
      </c>
      <c r="I210" s="18">
        <v>1</v>
      </c>
      <c r="J210" s="71" t="str">
        <f t="shared" si="28"/>
        <v xml:space="preserve"> </v>
      </c>
      <c r="K210" s="73">
        <f t="shared" si="29"/>
        <v>22.220000000000002</v>
      </c>
      <c r="L210" s="398"/>
      <c r="M210" s="403" t="str">
        <f t="shared" si="30"/>
        <v/>
      </c>
      <c r="N210" s="398"/>
      <c r="O210" s="403" t="str">
        <f t="shared" si="31"/>
        <v/>
      </c>
    </row>
    <row r="211" spans="2:15">
      <c r="B211" s="14"/>
      <c r="C211" s="17" t="s">
        <v>392</v>
      </c>
      <c r="D211" s="70" t="s">
        <v>347</v>
      </c>
      <c r="E211" s="18">
        <v>9.3000000000000007</v>
      </c>
      <c r="F211" s="18">
        <f t="shared" si="32"/>
        <v>3.5</v>
      </c>
      <c r="G211" s="19">
        <f t="shared" si="27"/>
        <v>32.550000000000004</v>
      </c>
      <c r="H211" s="69">
        <v>0</v>
      </c>
      <c r="I211" s="18">
        <v>1</v>
      </c>
      <c r="J211" s="71">
        <f t="shared" si="28"/>
        <v>32.550000000000004</v>
      </c>
      <c r="K211" s="73" t="str">
        <f t="shared" si="29"/>
        <v xml:space="preserve"> </v>
      </c>
      <c r="L211" s="398"/>
      <c r="M211" s="403" t="str">
        <f t="shared" si="30"/>
        <v/>
      </c>
      <c r="N211" s="398"/>
      <c r="O211" s="403" t="str">
        <f t="shared" si="31"/>
        <v/>
      </c>
    </row>
    <row r="212" spans="2:15">
      <c r="B212" s="14"/>
      <c r="C212" s="17" t="s">
        <v>393</v>
      </c>
      <c r="D212" s="70" t="s">
        <v>348</v>
      </c>
      <c r="E212" s="18">
        <v>6.6</v>
      </c>
      <c r="F212" s="18">
        <f t="shared" si="32"/>
        <v>3.5</v>
      </c>
      <c r="G212" s="19">
        <f t="shared" si="27"/>
        <v>23.099999999999998</v>
      </c>
      <c r="H212" s="69">
        <v>0</v>
      </c>
      <c r="I212" s="18">
        <v>1</v>
      </c>
      <c r="J212" s="71" t="str">
        <f t="shared" si="28"/>
        <v xml:space="preserve"> </v>
      </c>
      <c r="K212" s="73">
        <f t="shared" si="29"/>
        <v>23.099999999999998</v>
      </c>
      <c r="L212" s="398" t="s">
        <v>952</v>
      </c>
      <c r="M212" s="403">
        <f t="shared" si="30"/>
        <v>23.099999999999998</v>
      </c>
      <c r="N212" s="398"/>
      <c r="O212" s="403" t="str">
        <f t="shared" si="31"/>
        <v/>
      </c>
    </row>
    <row r="213" spans="2:15">
      <c r="B213" s="14"/>
      <c r="C213" s="17" t="s">
        <v>394</v>
      </c>
      <c r="D213" s="70" t="s">
        <v>348</v>
      </c>
      <c r="E213" s="18">
        <v>21.9</v>
      </c>
      <c r="F213" s="18">
        <f t="shared" si="32"/>
        <v>3.5</v>
      </c>
      <c r="G213" s="19">
        <f t="shared" si="27"/>
        <v>76.649999999999991</v>
      </c>
      <c r="H213" s="69">
        <v>0</v>
      </c>
      <c r="I213" s="18">
        <v>1</v>
      </c>
      <c r="J213" s="71" t="str">
        <f t="shared" si="28"/>
        <v xml:space="preserve"> </v>
      </c>
      <c r="K213" s="73">
        <f t="shared" si="29"/>
        <v>76.649999999999991</v>
      </c>
      <c r="L213" s="398"/>
      <c r="M213" s="403" t="str">
        <f t="shared" si="30"/>
        <v/>
      </c>
      <c r="N213" s="398"/>
      <c r="O213" s="403" t="str">
        <f t="shared" si="31"/>
        <v/>
      </c>
    </row>
    <row r="214" spans="2:15">
      <c r="B214" s="14"/>
      <c r="C214" s="17" t="s">
        <v>395</v>
      </c>
      <c r="D214" s="70" t="s">
        <v>348</v>
      </c>
      <c r="E214" s="18">
        <v>14.3</v>
      </c>
      <c r="F214" s="18">
        <f t="shared" si="32"/>
        <v>3.5</v>
      </c>
      <c r="G214" s="19">
        <f t="shared" si="27"/>
        <v>50.050000000000004</v>
      </c>
      <c r="H214" s="69">
        <v>0</v>
      </c>
      <c r="I214" s="18">
        <v>1</v>
      </c>
      <c r="J214" s="71" t="str">
        <f t="shared" si="28"/>
        <v xml:space="preserve"> </v>
      </c>
      <c r="K214" s="73">
        <f t="shared" si="29"/>
        <v>50.050000000000004</v>
      </c>
      <c r="L214" s="398"/>
      <c r="M214" s="403" t="str">
        <f t="shared" si="30"/>
        <v/>
      </c>
      <c r="N214" s="398"/>
      <c r="O214" s="403" t="str">
        <f t="shared" si="31"/>
        <v/>
      </c>
    </row>
    <row r="215" spans="2:15">
      <c r="B215" s="14"/>
      <c r="C215" s="17" t="s">
        <v>396</v>
      </c>
      <c r="D215" s="70" t="s">
        <v>347</v>
      </c>
      <c r="E215" s="18">
        <v>8.8000000000000007</v>
      </c>
      <c r="F215" s="18">
        <f t="shared" si="32"/>
        <v>3.5</v>
      </c>
      <c r="G215" s="19">
        <f t="shared" si="27"/>
        <v>30.800000000000004</v>
      </c>
      <c r="H215" s="69">
        <v>0</v>
      </c>
      <c r="I215" s="18">
        <v>1</v>
      </c>
      <c r="J215" s="71">
        <f t="shared" si="28"/>
        <v>30.800000000000004</v>
      </c>
      <c r="K215" s="73" t="str">
        <f t="shared" si="29"/>
        <v xml:space="preserve"> </v>
      </c>
      <c r="L215" s="398"/>
      <c r="M215" s="403" t="str">
        <f t="shared" si="30"/>
        <v/>
      </c>
      <c r="N215" s="398"/>
      <c r="O215" s="403" t="str">
        <f t="shared" si="31"/>
        <v/>
      </c>
    </row>
    <row r="216" spans="2:15">
      <c r="B216" s="14"/>
      <c r="C216" s="17" t="s">
        <v>397</v>
      </c>
      <c r="D216" s="70" t="s">
        <v>347</v>
      </c>
      <c r="E216" s="18">
        <v>6.6</v>
      </c>
      <c r="F216" s="18">
        <f t="shared" si="32"/>
        <v>3.5</v>
      </c>
      <c r="G216" s="19">
        <f t="shared" si="27"/>
        <v>23.099999999999998</v>
      </c>
      <c r="H216" s="69">
        <v>0</v>
      </c>
      <c r="I216" s="18">
        <v>1</v>
      </c>
      <c r="J216" s="71">
        <f t="shared" si="28"/>
        <v>23.099999999999998</v>
      </c>
      <c r="K216" s="73" t="str">
        <f t="shared" si="29"/>
        <v xml:space="preserve"> </v>
      </c>
      <c r="L216" s="398"/>
      <c r="M216" s="403" t="str">
        <f t="shared" si="30"/>
        <v/>
      </c>
      <c r="N216" s="398"/>
      <c r="O216" s="403" t="str">
        <f t="shared" si="31"/>
        <v/>
      </c>
    </row>
    <row r="217" spans="2:15">
      <c r="B217" s="14"/>
      <c r="C217" s="17" t="s">
        <v>325</v>
      </c>
      <c r="D217" s="70" t="s">
        <v>348</v>
      </c>
      <c r="E217" s="18">
        <v>53.45</v>
      </c>
      <c r="F217" s="18">
        <f t="shared" si="32"/>
        <v>3.5</v>
      </c>
      <c r="G217" s="19">
        <f t="shared" si="27"/>
        <v>187.07500000000002</v>
      </c>
      <c r="H217" s="69">
        <v>0</v>
      </c>
      <c r="I217" s="18">
        <v>1</v>
      </c>
      <c r="J217" s="71" t="str">
        <f t="shared" si="28"/>
        <v xml:space="preserve"> </v>
      </c>
      <c r="K217" s="73">
        <f t="shared" si="29"/>
        <v>187.07500000000002</v>
      </c>
      <c r="L217" s="398"/>
      <c r="M217" s="403" t="str">
        <f t="shared" si="30"/>
        <v/>
      </c>
      <c r="N217" s="398"/>
      <c r="O217" s="403" t="str">
        <f t="shared" si="31"/>
        <v/>
      </c>
    </row>
    <row r="218" spans="2:15">
      <c r="B218" s="14"/>
      <c r="C218" s="17" t="s">
        <v>1173</v>
      </c>
      <c r="D218" s="70" t="s">
        <v>348</v>
      </c>
      <c r="E218" s="18">
        <f>72.9+38.8</f>
        <v>111.7</v>
      </c>
      <c r="F218" s="18">
        <v>1.6</v>
      </c>
      <c r="G218" s="19">
        <f t="shared" si="27"/>
        <v>178.72000000000003</v>
      </c>
      <c r="H218" s="69">
        <v>0</v>
      </c>
      <c r="I218" s="18">
        <v>1</v>
      </c>
      <c r="J218" s="71" t="str">
        <f t="shared" si="28"/>
        <v xml:space="preserve"> </v>
      </c>
      <c r="K218" s="73">
        <f t="shared" si="29"/>
        <v>178.72000000000003</v>
      </c>
      <c r="L218" s="398" t="s">
        <v>952</v>
      </c>
      <c r="M218" s="403">
        <f t="shared" si="30"/>
        <v>178.72000000000003</v>
      </c>
      <c r="N218" s="398"/>
      <c r="O218" s="403" t="str">
        <f t="shared" si="31"/>
        <v/>
      </c>
    </row>
    <row r="219" spans="2:15">
      <c r="B219" s="14"/>
      <c r="C219" s="17" t="s">
        <v>1174</v>
      </c>
      <c r="D219" s="70" t="s">
        <v>347</v>
      </c>
      <c r="E219" s="18">
        <v>90.7</v>
      </c>
      <c r="F219" s="18">
        <v>1.6</v>
      </c>
      <c r="G219" s="19">
        <f t="shared" si="27"/>
        <v>145.12</v>
      </c>
      <c r="H219" s="69">
        <v>0</v>
      </c>
      <c r="I219" s="18">
        <v>1</v>
      </c>
      <c r="J219" s="71">
        <f t="shared" si="28"/>
        <v>145.12</v>
      </c>
      <c r="K219" s="73" t="str">
        <f t="shared" si="29"/>
        <v xml:space="preserve"> </v>
      </c>
      <c r="L219" s="398"/>
      <c r="M219" s="403" t="str">
        <f t="shared" si="30"/>
        <v/>
      </c>
      <c r="N219" s="398"/>
      <c r="O219" s="403" t="str">
        <f t="shared" si="31"/>
        <v/>
      </c>
    </row>
    <row r="220" spans="2:15">
      <c r="B220" s="14"/>
      <c r="C220" s="17" t="s">
        <v>1177</v>
      </c>
      <c r="D220" s="70" t="s">
        <v>347</v>
      </c>
      <c r="E220" s="18">
        <v>82.7</v>
      </c>
      <c r="F220" s="18">
        <f t="shared" si="32"/>
        <v>3.5</v>
      </c>
      <c r="G220" s="19">
        <f t="shared" si="27"/>
        <v>289.45</v>
      </c>
      <c r="H220" s="69">
        <v>0</v>
      </c>
      <c r="I220" s="18">
        <v>1</v>
      </c>
      <c r="J220" s="71">
        <f t="shared" si="28"/>
        <v>289.45</v>
      </c>
      <c r="K220" s="73" t="str">
        <f t="shared" si="29"/>
        <v xml:space="preserve"> </v>
      </c>
      <c r="L220" s="398"/>
      <c r="M220" s="403" t="str">
        <f t="shared" si="30"/>
        <v/>
      </c>
      <c r="N220" s="398"/>
      <c r="O220" s="403" t="str">
        <f t="shared" si="31"/>
        <v/>
      </c>
    </row>
    <row r="221" spans="2:15">
      <c r="B221" s="14"/>
      <c r="C221" s="17" t="s">
        <v>1177</v>
      </c>
      <c r="D221" s="70" t="s">
        <v>347</v>
      </c>
      <c r="E221" s="18">
        <f>20.6+13.45</f>
        <v>34.049999999999997</v>
      </c>
      <c r="F221" s="18">
        <v>2.2000000000000002</v>
      </c>
      <c r="G221" s="19">
        <f t="shared" si="27"/>
        <v>74.91</v>
      </c>
      <c r="H221" s="69">
        <v>0</v>
      </c>
      <c r="I221" s="18">
        <v>1</v>
      </c>
      <c r="J221" s="71">
        <f t="shared" si="28"/>
        <v>74.91</v>
      </c>
      <c r="K221" s="73" t="str">
        <f t="shared" si="29"/>
        <v xml:space="preserve"> </v>
      </c>
      <c r="L221" s="398"/>
      <c r="M221" s="403" t="str">
        <f t="shared" si="30"/>
        <v/>
      </c>
      <c r="N221" s="398"/>
      <c r="O221" s="403" t="str">
        <f t="shared" si="31"/>
        <v/>
      </c>
    </row>
    <row r="222" spans="2:15">
      <c r="L222" s="398"/>
      <c r="M222" s="403" t="str">
        <f t="shared" si="30"/>
        <v/>
      </c>
      <c r="N222" s="398"/>
      <c r="O222" s="403" t="str">
        <f t="shared" si="31"/>
        <v/>
      </c>
    </row>
    <row r="223" spans="2:15">
      <c r="B223" s="14" t="s">
        <v>127</v>
      </c>
      <c r="C223" s="1004" t="s">
        <v>119</v>
      </c>
      <c r="D223" s="1004" t="s">
        <v>0</v>
      </c>
      <c r="E223" s="1004" t="s">
        <v>0</v>
      </c>
      <c r="F223" s="1004" t="s">
        <v>0</v>
      </c>
      <c r="G223" s="1004" t="s">
        <v>0</v>
      </c>
      <c r="H223" s="1004" t="s">
        <v>0</v>
      </c>
      <c r="I223" s="1004" t="s">
        <v>0</v>
      </c>
      <c r="J223" s="76">
        <f>SUM(J224:J242)</f>
        <v>911.95</v>
      </c>
      <c r="K223" s="400">
        <f>SUM(K224:K242)</f>
        <v>954.82500000000005</v>
      </c>
      <c r="L223" s="398"/>
      <c r="M223" s="400">
        <f>SUM(M224:M242)</f>
        <v>220</v>
      </c>
      <c r="N223" s="398"/>
      <c r="O223" s="400">
        <f>SUM(O224:O242)</f>
        <v>49.49</v>
      </c>
    </row>
    <row r="224" spans="2:15">
      <c r="B224" s="14"/>
      <c r="C224" s="17" t="s">
        <v>400</v>
      </c>
      <c r="D224" s="70" t="s">
        <v>347</v>
      </c>
      <c r="E224" s="18">
        <v>45.45</v>
      </c>
      <c r="F224" s="18">
        <f>$I$22</f>
        <v>3.5</v>
      </c>
      <c r="G224" s="19">
        <f t="shared" ref="G224:G242" si="33">PRODUCT(E224,F224)</f>
        <v>159.07500000000002</v>
      </c>
      <c r="H224" s="69">
        <v>0</v>
      </c>
      <c r="I224" s="18">
        <v>1</v>
      </c>
      <c r="J224" s="71">
        <f t="shared" ref="J224:J242" si="34">IF(D224="Emboço",G224*I224," ")</f>
        <v>159.07500000000002</v>
      </c>
      <c r="K224" s="73" t="str">
        <f t="shared" ref="K224:K242" si="35">IF(D224="Reboco",G224*I224," ")</f>
        <v xml:space="preserve"> </v>
      </c>
      <c r="L224" s="398"/>
      <c r="M224" s="403" t="str">
        <f t="shared" ref="M224:M243" si="36">IF(L224="x",G224,"")</f>
        <v/>
      </c>
      <c r="N224" s="398"/>
      <c r="O224" s="403" t="str">
        <f t="shared" ref="O224:O243" si="37">IF(N224="x",G224,"")</f>
        <v/>
      </c>
    </row>
    <row r="225" spans="2:15">
      <c r="B225" s="14"/>
      <c r="C225" s="17" t="s">
        <v>401</v>
      </c>
      <c r="D225" s="70" t="s">
        <v>347</v>
      </c>
      <c r="E225" s="18">
        <v>11.35</v>
      </c>
      <c r="F225" s="18">
        <f>$F$224</f>
        <v>3.5</v>
      </c>
      <c r="G225" s="19">
        <f t="shared" si="33"/>
        <v>39.725000000000001</v>
      </c>
      <c r="H225" s="69">
        <v>0</v>
      </c>
      <c r="I225" s="18">
        <v>1</v>
      </c>
      <c r="J225" s="71">
        <f t="shared" si="34"/>
        <v>39.725000000000001</v>
      </c>
      <c r="K225" s="73" t="str">
        <f t="shared" si="35"/>
        <v xml:space="preserve"> </v>
      </c>
      <c r="L225" s="398"/>
      <c r="M225" s="403" t="str">
        <f t="shared" si="36"/>
        <v/>
      </c>
      <c r="N225" s="398"/>
      <c r="O225" s="403" t="str">
        <f t="shared" si="37"/>
        <v/>
      </c>
    </row>
    <row r="226" spans="2:15">
      <c r="B226" s="14"/>
      <c r="C226" s="17" t="s">
        <v>402</v>
      </c>
      <c r="D226" s="70" t="s">
        <v>348</v>
      </c>
      <c r="E226" s="18">
        <v>14.14</v>
      </c>
      <c r="F226" s="18">
        <f t="shared" ref="F226:F242" si="38">$F$224</f>
        <v>3.5</v>
      </c>
      <c r="G226" s="19">
        <f t="shared" si="33"/>
        <v>49.49</v>
      </c>
      <c r="H226" s="69">
        <v>0</v>
      </c>
      <c r="I226" s="18">
        <v>1</v>
      </c>
      <c r="J226" s="71" t="str">
        <f t="shared" si="34"/>
        <v xml:space="preserve"> </v>
      </c>
      <c r="K226" s="73">
        <f t="shared" si="35"/>
        <v>49.49</v>
      </c>
      <c r="L226" s="398"/>
      <c r="M226" s="403" t="str">
        <f t="shared" si="36"/>
        <v/>
      </c>
      <c r="N226" s="398" t="s">
        <v>952</v>
      </c>
      <c r="O226" s="403">
        <f t="shared" si="37"/>
        <v>49.49</v>
      </c>
    </row>
    <row r="227" spans="2:15">
      <c r="B227" s="14"/>
      <c r="C227" s="17" t="s">
        <v>403</v>
      </c>
      <c r="D227" s="70" t="s">
        <v>347</v>
      </c>
      <c r="E227" s="18">
        <v>13.12</v>
      </c>
      <c r="F227" s="18">
        <f t="shared" si="38"/>
        <v>3.5</v>
      </c>
      <c r="G227" s="19">
        <f t="shared" si="33"/>
        <v>45.919999999999995</v>
      </c>
      <c r="H227" s="69">
        <v>0</v>
      </c>
      <c r="I227" s="18">
        <v>1</v>
      </c>
      <c r="J227" s="71">
        <f t="shared" si="34"/>
        <v>45.919999999999995</v>
      </c>
      <c r="K227" s="73" t="str">
        <f t="shared" si="35"/>
        <v xml:space="preserve"> </v>
      </c>
      <c r="L227" s="398"/>
      <c r="M227" s="403" t="str">
        <f t="shared" si="36"/>
        <v/>
      </c>
      <c r="N227" s="398"/>
      <c r="O227" s="403" t="str">
        <f t="shared" si="37"/>
        <v/>
      </c>
    </row>
    <row r="228" spans="2:15">
      <c r="B228" s="14"/>
      <c r="C228" s="17" t="s">
        <v>404</v>
      </c>
      <c r="D228" s="70" t="s">
        <v>347</v>
      </c>
      <c r="E228" s="18">
        <v>17.939999999999998</v>
      </c>
      <c r="F228" s="18">
        <f t="shared" si="38"/>
        <v>3.5</v>
      </c>
      <c r="G228" s="19">
        <f t="shared" si="33"/>
        <v>62.789999999999992</v>
      </c>
      <c r="H228" s="69">
        <v>0</v>
      </c>
      <c r="I228" s="18">
        <v>1</v>
      </c>
      <c r="J228" s="71">
        <f t="shared" si="34"/>
        <v>62.789999999999992</v>
      </c>
      <c r="K228" s="73" t="str">
        <f t="shared" si="35"/>
        <v xml:space="preserve"> </v>
      </c>
      <c r="L228" s="398"/>
      <c r="M228" s="403" t="str">
        <f t="shared" si="36"/>
        <v/>
      </c>
      <c r="N228" s="398"/>
      <c r="O228" s="403" t="str">
        <f t="shared" si="37"/>
        <v/>
      </c>
    </row>
    <row r="229" spans="2:15">
      <c r="B229" s="14"/>
      <c r="C229" s="17" t="s">
        <v>405</v>
      </c>
      <c r="D229" s="70" t="s">
        <v>348</v>
      </c>
      <c r="E229" s="18">
        <v>13.24</v>
      </c>
      <c r="F229" s="18">
        <f t="shared" si="38"/>
        <v>3.5</v>
      </c>
      <c r="G229" s="19">
        <f t="shared" si="33"/>
        <v>46.34</v>
      </c>
      <c r="H229" s="69">
        <v>0</v>
      </c>
      <c r="I229" s="18">
        <v>1</v>
      </c>
      <c r="J229" s="71" t="str">
        <f t="shared" si="34"/>
        <v xml:space="preserve"> </v>
      </c>
      <c r="K229" s="73">
        <f t="shared" si="35"/>
        <v>46.34</v>
      </c>
      <c r="L229" s="398"/>
      <c r="M229" s="403" t="str">
        <f t="shared" si="36"/>
        <v/>
      </c>
      <c r="N229" s="398"/>
      <c r="O229" s="403" t="str">
        <f t="shared" si="37"/>
        <v/>
      </c>
    </row>
    <row r="230" spans="2:15">
      <c r="B230" s="14"/>
      <c r="C230" s="17" t="s">
        <v>406</v>
      </c>
      <c r="D230" s="70" t="s">
        <v>347</v>
      </c>
      <c r="E230" s="18">
        <v>8.1</v>
      </c>
      <c r="F230" s="18">
        <f t="shared" si="38"/>
        <v>3.5</v>
      </c>
      <c r="G230" s="19">
        <f t="shared" si="33"/>
        <v>28.349999999999998</v>
      </c>
      <c r="H230" s="69">
        <v>0</v>
      </c>
      <c r="I230" s="18">
        <v>1</v>
      </c>
      <c r="J230" s="71">
        <f t="shared" si="34"/>
        <v>28.349999999999998</v>
      </c>
      <c r="K230" s="73" t="str">
        <f t="shared" si="35"/>
        <v xml:space="preserve"> </v>
      </c>
      <c r="L230" s="398"/>
      <c r="M230" s="403" t="str">
        <f t="shared" si="36"/>
        <v/>
      </c>
      <c r="N230" s="398"/>
      <c r="O230" s="403" t="str">
        <f t="shared" si="37"/>
        <v/>
      </c>
    </row>
    <row r="231" spans="2:15">
      <c r="B231" s="14"/>
      <c r="C231" s="17" t="s">
        <v>407</v>
      </c>
      <c r="D231" s="70" t="s">
        <v>348</v>
      </c>
      <c r="E231" s="18">
        <v>8.84</v>
      </c>
      <c r="F231" s="18">
        <f t="shared" si="38"/>
        <v>3.5</v>
      </c>
      <c r="G231" s="19">
        <f t="shared" si="33"/>
        <v>30.939999999999998</v>
      </c>
      <c r="H231" s="69">
        <v>0</v>
      </c>
      <c r="I231" s="18">
        <v>1</v>
      </c>
      <c r="J231" s="71" t="str">
        <f t="shared" si="34"/>
        <v xml:space="preserve"> </v>
      </c>
      <c r="K231" s="73">
        <f t="shared" si="35"/>
        <v>30.939999999999998</v>
      </c>
      <c r="L231" s="398"/>
      <c r="M231" s="403" t="str">
        <f t="shared" si="36"/>
        <v/>
      </c>
      <c r="N231" s="398"/>
      <c r="O231" s="403" t="str">
        <f t="shared" si="37"/>
        <v/>
      </c>
    </row>
    <row r="232" spans="2:15">
      <c r="B232" s="14"/>
      <c r="C232" s="17" t="s">
        <v>408</v>
      </c>
      <c r="D232" s="70" t="s">
        <v>348</v>
      </c>
      <c r="E232" s="18">
        <v>19.739999999999998</v>
      </c>
      <c r="F232" s="18">
        <f t="shared" si="38"/>
        <v>3.5</v>
      </c>
      <c r="G232" s="19">
        <f t="shared" si="33"/>
        <v>69.089999999999989</v>
      </c>
      <c r="H232" s="69">
        <v>0</v>
      </c>
      <c r="I232" s="18">
        <v>1</v>
      </c>
      <c r="J232" s="71" t="str">
        <f t="shared" si="34"/>
        <v xml:space="preserve"> </v>
      </c>
      <c r="K232" s="73">
        <f t="shared" si="35"/>
        <v>69.089999999999989</v>
      </c>
      <c r="L232" s="398"/>
      <c r="M232" s="403" t="str">
        <f t="shared" si="36"/>
        <v/>
      </c>
      <c r="N232" s="398"/>
      <c r="O232" s="403" t="str">
        <f t="shared" si="37"/>
        <v/>
      </c>
    </row>
    <row r="233" spans="2:15">
      <c r="B233" s="14"/>
      <c r="C233" s="17" t="s">
        <v>325</v>
      </c>
      <c r="D233" s="70" t="s">
        <v>348</v>
      </c>
      <c r="E233" s="18">
        <v>38.64</v>
      </c>
      <c r="F233" s="18">
        <f t="shared" si="38"/>
        <v>3.5</v>
      </c>
      <c r="G233" s="19">
        <f t="shared" si="33"/>
        <v>135.24</v>
      </c>
      <c r="H233" s="69">
        <v>0</v>
      </c>
      <c r="I233" s="18">
        <v>1</v>
      </c>
      <c r="J233" s="71" t="str">
        <f t="shared" si="34"/>
        <v xml:space="preserve"> </v>
      </c>
      <c r="K233" s="73">
        <f t="shared" si="35"/>
        <v>135.24</v>
      </c>
      <c r="L233" s="398"/>
      <c r="M233" s="403" t="str">
        <f t="shared" si="36"/>
        <v/>
      </c>
      <c r="N233" s="398"/>
      <c r="O233" s="403" t="str">
        <f t="shared" si="37"/>
        <v/>
      </c>
    </row>
    <row r="234" spans="2:15">
      <c r="B234" s="14"/>
      <c r="C234" s="17" t="s">
        <v>409</v>
      </c>
      <c r="D234" s="70" t="s">
        <v>348</v>
      </c>
      <c r="E234" s="18">
        <v>24.6</v>
      </c>
      <c r="F234" s="18">
        <f t="shared" si="38"/>
        <v>3.5</v>
      </c>
      <c r="G234" s="19">
        <f t="shared" si="33"/>
        <v>86.100000000000009</v>
      </c>
      <c r="H234" s="69">
        <v>0</v>
      </c>
      <c r="I234" s="18">
        <v>1</v>
      </c>
      <c r="J234" s="71" t="str">
        <f t="shared" si="34"/>
        <v xml:space="preserve"> </v>
      </c>
      <c r="K234" s="73">
        <f t="shared" si="35"/>
        <v>86.100000000000009</v>
      </c>
      <c r="L234" s="398"/>
      <c r="M234" s="403" t="str">
        <f t="shared" si="36"/>
        <v/>
      </c>
      <c r="N234" s="398"/>
      <c r="O234" s="403" t="str">
        <f t="shared" si="37"/>
        <v/>
      </c>
    </row>
    <row r="235" spans="2:15">
      <c r="B235" s="14"/>
      <c r="C235" s="17" t="s">
        <v>308</v>
      </c>
      <c r="D235" s="70" t="s">
        <v>347</v>
      </c>
      <c r="E235" s="18">
        <v>11.78</v>
      </c>
      <c r="F235" s="18">
        <f t="shared" si="38"/>
        <v>3.5</v>
      </c>
      <c r="G235" s="19">
        <f t="shared" si="33"/>
        <v>41.23</v>
      </c>
      <c r="H235" s="69">
        <v>0</v>
      </c>
      <c r="I235" s="18">
        <v>1</v>
      </c>
      <c r="J235" s="71">
        <f t="shared" si="34"/>
        <v>41.23</v>
      </c>
      <c r="K235" s="73" t="str">
        <f t="shared" si="35"/>
        <v xml:space="preserve"> </v>
      </c>
      <c r="L235" s="398"/>
      <c r="M235" s="403" t="str">
        <f t="shared" si="36"/>
        <v/>
      </c>
      <c r="N235" s="398"/>
      <c r="O235" s="403" t="str">
        <f t="shared" si="37"/>
        <v/>
      </c>
    </row>
    <row r="236" spans="2:15">
      <c r="B236" s="14"/>
      <c r="C236" s="17" t="s">
        <v>397</v>
      </c>
      <c r="D236" s="70" t="s">
        <v>347</v>
      </c>
      <c r="E236" s="18">
        <v>7.379999999999999</v>
      </c>
      <c r="F236" s="18">
        <f t="shared" si="38"/>
        <v>3.5</v>
      </c>
      <c r="G236" s="19">
        <f t="shared" si="33"/>
        <v>25.83</v>
      </c>
      <c r="H236" s="69">
        <v>0</v>
      </c>
      <c r="I236" s="18">
        <v>1</v>
      </c>
      <c r="J236" s="71">
        <f t="shared" si="34"/>
        <v>25.83</v>
      </c>
      <c r="K236" s="73" t="str">
        <f t="shared" si="35"/>
        <v xml:space="preserve"> </v>
      </c>
      <c r="L236" s="398"/>
      <c r="M236" s="403" t="str">
        <f t="shared" si="36"/>
        <v/>
      </c>
      <c r="N236" s="398"/>
      <c r="O236" s="403" t="str">
        <f t="shared" si="37"/>
        <v/>
      </c>
    </row>
    <row r="237" spans="2:15">
      <c r="B237" s="14"/>
      <c r="C237" s="17" t="s">
        <v>302</v>
      </c>
      <c r="D237" s="70" t="s">
        <v>348</v>
      </c>
      <c r="E237" s="18">
        <v>15.3</v>
      </c>
      <c r="F237" s="18">
        <f t="shared" si="38"/>
        <v>3.5</v>
      </c>
      <c r="G237" s="19">
        <f t="shared" si="33"/>
        <v>53.550000000000004</v>
      </c>
      <c r="H237" s="69">
        <v>0</v>
      </c>
      <c r="I237" s="18">
        <v>1</v>
      </c>
      <c r="J237" s="71" t="str">
        <f t="shared" si="34"/>
        <v xml:space="preserve"> </v>
      </c>
      <c r="K237" s="73">
        <f t="shared" si="35"/>
        <v>53.550000000000004</v>
      </c>
      <c r="L237" s="398"/>
      <c r="M237" s="403" t="str">
        <f t="shared" si="36"/>
        <v/>
      </c>
      <c r="N237" s="398"/>
      <c r="O237" s="403" t="str">
        <f t="shared" si="37"/>
        <v/>
      </c>
    </row>
    <row r="238" spans="2:15">
      <c r="B238" s="14"/>
      <c r="C238" s="17" t="s">
        <v>410</v>
      </c>
      <c r="D238" s="70" t="s">
        <v>348</v>
      </c>
      <c r="E238" s="18">
        <v>16.600000000000001</v>
      </c>
      <c r="F238" s="18">
        <f t="shared" si="38"/>
        <v>3.5</v>
      </c>
      <c r="G238" s="19">
        <f t="shared" si="33"/>
        <v>58.100000000000009</v>
      </c>
      <c r="H238" s="69">
        <v>0</v>
      </c>
      <c r="I238" s="18">
        <v>1</v>
      </c>
      <c r="J238" s="71" t="str">
        <f t="shared" si="34"/>
        <v xml:space="preserve"> </v>
      </c>
      <c r="K238" s="73">
        <f t="shared" si="35"/>
        <v>58.100000000000009</v>
      </c>
      <c r="L238" s="398"/>
      <c r="M238" s="403" t="str">
        <f t="shared" si="36"/>
        <v/>
      </c>
      <c r="N238" s="398"/>
      <c r="O238" s="403" t="str">
        <f t="shared" si="37"/>
        <v/>
      </c>
    </row>
    <row r="239" spans="2:15">
      <c r="B239" s="14"/>
      <c r="C239" s="17" t="s">
        <v>411</v>
      </c>
      <c r="D239" s="70" t="s">
        <v>348</v>
      </c>
      <c r="E239" s="18">
        <v>58.85</v>
      </c>
      <c r="F239" s="18">
        <f t="shared" si="38"/>
        <v>3.5</v>
      </c>
      <c r="G239" s="19">
        <f t="shared" si="33"/>
        <v>205.97499999999999</v>
      </c>
      <c r="H239" s="69">
        <v>0</v>
      </c>
      <c r="I239" s="18">
        <v>1</v>
      </c>
      <c r="J239" s="71" t="str">
        <f t="shared" si="34"/>
        <v xml:space="preserve"> </v>
      </c>
      <c r="K239" s="73">
        <f t="shared" si="35"/>
        <v>205.97499999999999</v>
      </c>
      <c r="L239" s="398"/>
      <c r="M239" s="403" t="str">
        <f t="shared" si="36"/>
        <v/>
      </c>
      <c r="N239" s="398"/>
      <c r="O239" s="403" t="str">
        <f t="shared" si="37"/>
        <v/>
      </c>
    </row>
    <row r="240" spans="2:15">
      <c r="B240" s="14"/>
      <c r="C240" s="17" t="s">
        <v>1173</v>
      </c>
      <c r="D240" s="70" t="s">
        <v>348</v>
      </c>
      <c r="E240" s="18">
        <f>74.64+62.86</f>
        <v>137.5</v>
      </c>
      <c r="F240" s="18">
        <v>1.6</v>
      </c>
      <c r="G240" s="19">
        <f t="shared" si="33"/>
        <v>220</v>
      </c>
      <c r="H240" s="69">
        <v>0</v>
      </c>
      <c r="I240" s="18">
        <v>1</v>
      </c>
      <c r="J240" s="71" t="str">
        <f t="shared" si="34"/>
        <v xml:space="preserve"> </v>
      </c>
      <c r="K240" s="73">
        <f t="shared" si="35"/>
        <v>220</v>
      </c>
      <c r="L240" s="398" t="s">
        <v>952</v>
      </c>
      <c r="M240" s="403">
        <f t="shared" si="36"/>
        <v>220</v>
      </c>
      <c r="N240" s="398"/>
      <c r="O240" s="403" t="str">
        <f t="shared" si="37"/>
        <v/>
      </c>
    </row>
    <row r="241" spans="2:15">
      <c r="B241" s="14"/>
      <c r="C241" s="17" t="s">
        <v>1174</v>
      </c>
      <c r="D241" s="70" t="s">
        <v>347</v>
      </c>
      <c r="E241" s="18">
        <v>105.3</v>
      </c>
      <c r="F241" s="18">
        <v>1.6</v>
      </c>
      <c r="G241" s="19">
        <f t="shared" si="33"/>
        <v>168.48000000000002</v>
      </c>
      <c r="H241" s="69">
        <v>0</v>
      </c>
      <c r="I241" s="18">
        <v>1</v>
      </c>
      <c r="J241" s="71">
        <f t="shared" si="34"/>
        <v>168.48000000000002</v>
      </c>
      <c r="K241" s="73" t="str">
        <f t="shared" si="35"/>
        <v xml:space="preserve"> </v>
      </c>
      <c r="L241" s="398"/>
      <c r="M241" s="403" t="str">
        <f t="shared" si="36"/>
        <v/>
      </c>
      <c r="N241" s="398"/>
      <c r="O241" s="403" t="str">
        <f t="shared" si="37"/>
        <v/>
      </c>
    </row>
    <row r="242" spans="2:15">
      <c r="B242" s="14"/>
      <c r="C242" s="17" t="s">
        <v>1178</v>
      </c>
      <c r="D242" s="70" t="s">
        <v>347</v>
      </c>
      <c r="E242" s="18">
        <v>97.3</v>
      </c>
      <c r="F242" s="18">
        <f t="shared" si="38"/>
        <v>3.5</v>
      </c>
      <c r="G242" s="19">
        <f t="shared" si="33"/>
        <v>340.55</v>
      </c>
      <c r="H242" s="69">
        <v>0</v>
      </c>
      <c r="I242" s="18">
        <v>1</v>
      </c>
      <c r="J242" s="71">
        <f t="shared" si="34"/>
        <v>340.55</v>
      </c>
      <c r="K242" s="73" t="str">
        <f t="shared" si="35"/>
        <v xml:space="preserve"> </v>
      </c>
      <c r="L242" s="398"/>
      <c r="M242" s="403" t="str">
        <f t="shared" si="36"/>
        <v/>
      </c>
      <c r="N242" s="398"/>
      <c r="O242" s="403" t="str">
        <f t="shared" si="37"/>
        <v/>
      </c>
    </row>
    <row r="243" spans="2:15">
      <c r="L243" s="398"/>
      <c r="M243" s="403" t="str">
        <f t="shared" si="36"/>
        <v/>
      </c>
      <c r="N243" s="398"/>
      <c r="O243" s="403" t="str">
        <f t="shared" si="37"/>
        <v/>
      </c>
    </row>
    <row r="244" spans="2:15">
      <c r="B244" s="14" t="s">
        <v>129</v>
      </c>
      <c r="C244" s="1004" t="s">
        <v>128</v>
      </c>
      <c r="D244" s="1004" t="s">
        <v>0</v>
      </c>
      <c r="E244" s="1004" t="s">
        <v>0</v>
      </c>
      <c r="F244" s="1004" t="s">
        <v>0</v>
      </c>
      <c r="G244" s="1004" t="s">
        <v>0</v>
      </c>
      <c r="H244" s="1004" t="s">
        <v>0</v>
      </c>
      <c r="I244" s="1004" t="s">
        <v>0</v>
      </c>
      <c r="J244" s="76">
        <f>SUM(J245:J252)</f>
        <v>538.90500000000009</v>
      </c>
      <c r="K244" s="400">
        <f>SUM(K245:K252)</f>
        <v>155.31</v>
      </c>
      <c r="L244" s="398"/>
      <c r="M244" s="400">
        <f>SUM(M245:M252)</f>
        <v>95.600000000000009</v>
      </c>
      <c r="N244" s="398"/>
      <c r="O244" s="400">
        <f>SUM(O245:O252)</f>
        <v>0</v>
      </c>
    </row>
    <row r="245" spans="2:15">
      <c r="B245" s="14"/>
      <c r="C245" s="17" t="s">
        <v>412</v>
      </c>
      <c r="D245" s="70" t="s">
        <v>347</v>
      </c>
      <c r="E245" s="18">
        <v>26.3</v>
      </c>
      <c r="F245" s="18">
        <f>$I$22</f>
        <v>3.5</v>
      </c>
      <c r="G245" s="19">
        <f t="shared" ref="G245:G252" si="39">PRODUCT(E245,F245)</f>
        <v>92.05</v>
      </c>
      <c r="H245" s="69">
        <v>0</v>
      </c>
      <c r="I245" s="18">
        <v>1</v>
      </c>
      <c r="J245" s="71">
        <f t="shared" ref="J245:J252" si="40">IF(D245="Emboço",G245*I245," ")</f>
        <v>92.05</v>
      </c>
      <c r="K245" s="73" t="str">
        <f t="shared" ref="K245:K252" si="41">IF(D245="Reboco",G245*I245," ")</f>
        <v xml:space="preserve"> </v>
      </c>
      <c r="L245" s="398"/>
      <c r="M245" s="403" t="str">
        <f t="shared" ref="M245:M253" si="42">IF(L245="x",G245,"")</f>
        <v/>
      </c>
      <c r="N245" s="398"/>
      <c r="O245" s="403" t="str">
        <f t="shared" ref="O245:O253" si="43">IF(N245="x",G245,"")</f>
        <v/>
      </c>
    </row>
    <row r="246" spans="2:15">
      <c r="B246" s="14"/>
      <c r="C246" s="17" t="s">
        <v>413</v>
      </c>
      <c r="D246" s="70" t="s">
        <v>347</v>
      </c>
      <c r="E246" s="18">
        <v>24.3</v>
      </c>
      <c r="F246" s="18">
        <f>$F$245</f>
        <v>3.5</v>
      </c>
      <c r="G246" s="19">
        <f t="shared" si="39"/>
        <v>85.05</v>
      </c>
      <c r="H246" s="69">
        <v>0</v>
      </c>
      <c r="I246" s="18">
        <v>1</v>
      </c>
      <c r="J246" s="71">
        <f t="shared" si="40"/>
        <v>85.05</v>
      </c>
      <c r="K246" s="73" t="str">
        <f t="shared" si="41"/>
        <v xml:space="preserve"> </v>
      </c>
      <c r="L246" s="398"/>
      <c r="M246" s="403" t="str">
        <f t="shared" si="42"/>
        <v/>
      </c>
      <c r="N246" s="398"/>
      <c r="O246" s="403" t="str">
        <f t="shared" si="43"/>
        <v/>
      </c>
    </row>
    <row r="247" spans="2:15">
      <c r="B247" s="14"/>
      <c r="C247" s="17" t="s">
        <v>414</v>
      </c>
      <c r="D247" s="70" t="s">
        <v>348</v>
      </c>
      <c r="E247" s="18">
        <v>17.060000000000002</v>
      </c>
      <c r="F247" s="18">
        <f t="shared" ref="F247:F252" si="44">$F$245</f>
        <v>3.5</v>
      </c>
      <c r="G247" s="19">
        <f t="shared" si="39"/>
        <v>59.710000000000008</v>
      </c>
      <c r="H247" s="69">
        <v>0</v>
      </c>
      <c r="I247" s="18">
        <v>1</v>
      </c>
      <c r="J247" s="71" t="str">
        <f t="shared" si="40"/>
        <v xml:space="preserve"> </v>
      </c>
      <c r="K247" s="73">
        <f t="shared" si="41"/>
        <v>59.710000000000008</v>
      </c>
      <c r="L247" s="398"/>
      <c r="M247" s="403" t="str">
        <f t="shared" si="42"/>
        <v/>
      </c>
      <c r="N247" s="398"/>
      <c r="O247" s="403" t="str">
        <f t="shared" si="43"/>
        <v/>
      </c>
    </row>
    <row r="248" spans="2:15">
      <c r="B248" s="14"/>
      <c r="C248" s="17" t="s">
        <v>332</v>
      </c>
      <c r="D248" s="70" t="s">
        <v>347</v>
      </c>
      <c r="E248" s="18">
        <v>11.28</v>
      </c>
      <c r="F248" s="18">
        <f t="shared" si="44"/>
        <v>3.5</v>
      </c>
      <c r="G248" s="19">
        <f t="shared" si="39"/>
        <v>39.479999999999997</v>
      </c>
      <c r="H248" s="69">
        <v>0</v>
      </c>
      <c r="I248" s="18">
        <v>1</v>
      </c>
      <c r="J248" s="71">
        <f t="shared" si="40"/>
        <v>39.479999999999997</v>
      </c>
      <c r="K248" s="73" t="str">
        <f t="shared" si="41"/>
        <v xml:space="preserve"> </v>
      </c>
      <c r="L248" s="398"/>
      <c r="M248" s="403" t="str">
        <f t="shared" si="42"/>
        <v/>
      </c>
      <c r="N248" s="398"/>
      <c r="O248" s="403" t="str">
        <f t="shared" si="43"/>
        <v/>
      </c>
    </row>
    <row r="249" spans="2:15">
      <c r="B249" s="14"/>
      <c r="C249" s="17" t="s">
        <v>308</v>
      </c>
      <c r="D249" s="70" t="s">
        <v>347</v>
      </c>
      <c r="E249" s="18">
        <v>11.28</v>
      </c>
      <c r="F249" s="18">
        <f t="shared" si="44"/>
        <v>3.5</v>
      </c>
      <c r="G249" s="19">
        <f t="shared" si="39"/>
        <v>39.479999999999997</v>
      </c>
      <c r="H249" s="69">
        <v>0</v>
      </c>
      <c r="I249" s="18">
        <v>1</v>
      </c>
      <c r="J249" s="71">
        <f t="shared" si="40"/>
        <v>39.479999999999997</v>
      </c>
      <c r="K249" s="73" t="str">
        <f t="shared" si="41"/>
        <v xml:space="preserve"> </v>
      </c>
      <c r="L249" s="398"/>
      <c r="M249" s="403" t="str">
        <f t="shared" si="42"/>
        <v/>
      </c>
      <c r="N249" s="398"/>
      <c r="O249" s="403" t="str">
        <f t="shared" si="43"/>
        <v/>
      </c>
    </row>
    <row r="250" spans="2:15">
      <c r="B250" s="14"/>
      <c r="C250" s="17" t="s">
        <v>1173</v>
      </c>
      <c r="D250" s="70" t="s">
        <v>348</v>
      </c>
      <c r="E250" s="18">
        <v>59.75</v>
      </c>
      <c r="F250" s="18">
        <v>1.6</v>
      </c>
      <c r="G250" s="19">
        <f t="shared" si="39"/>
        <v>95.600000000000009</v>
      </c>
      <c r="H250" s="69">
        <v>0</v>
      </c>
      <c r="I250" s="18">
        <v>1</v>
      </c>
      <c r="J250" s="71" t="str">
        <f t="shared" si="40"/>
        <v xml:space="preserve"> </v>
      </c>
      <c r="K250" s="73">
        <f t="shared" si="41"/>
        <v>95.600000000000009</v>
      </c>
      <c r="L250" s="398" t="s">
        <v>952</v>
      </c>
      <c r="M250" s="403">
        <f t="shared" si="42"/>
        <v>95.600000000000009</v>
      </c>
      <c r="N250" s="398"/>
      <c r="O250" s="403" t="str">
        <f t="shared" si="43"/>
        <v/>
      </c>
    </row>
    <row r="251" spans="2:15">
      <c r="B251" s="14"/>
      <c r="C251" s="17" t="s">
        <v>1174</v>
      </c>
      <c r="D251" s="70" t="s">
        <v>347</v>
      </c>
      <c r="E251" s="18">
        <v>60.95</v>
      </c>
      <c r="F251" s="18">
        <v>1.6</v>
      </c>
      <c r="G251" s="19">
        <f t="shared" si="39"/>
        <v>97.52000000000001</v>
      </c>
      <c r="H251" s="69">
        <v>0</v>
      </c>
      <c r="I251" s="18">
        <v>1</v>
      </c>
      <c r="J251" s="71">
        <f t="shared" si="40"/>
        <v>97.52000000000001</v>
      </c>
      <c r="K251" s="73" t="str">
        <f t="shared" si="41"/>
        <v xml:space="preserve"> </v>
      </c>
      <c r="L251" s="398"/>
      <c r="M251" s="403" t="str">
        <f t="shared" si="42"/>
        <v/>
      </c>
      <c r="N251" s="398"/>
      <c r="O251" s="403" t="str">
        <f t="shared" si="43"/>
        <v/>
      </c>
    </row>
    <row r="252" spans="2:15">
      <c r="B252" s="14"/>
      <c r="C252" s="17" t="s">
        <v>1179</v>
      </c>
      <c r="D252" s="70" t="s">
        <v>347</v>
      </c>
      <c r="E252" s="18">
        <v>52.95</v>
      </c>
      <c r="F252" s="18">
        <f t="shared" si="44"/>
        <v>3.5</v>
      </c>
      <c r="G252" s="19">
        <f t="shared" si="39"/>
        <v>185.32500000000002</v>
      </c>
      <c r="H252" s="69">
        <v>0</v>
      </c>
      <c r="I252" s="18">
        <v>1</v>
      </c>
      <c r="J252" s="71">
        <f t="shared" si="40"/>
        <v>185.32500000000002</v>
      </c>
      <c r="K252" s="73" t="str">
        <f t="shared" si="41"/>
        <v xml:space="preserve"> </v>
      </c>
      <c r="L252" s="398"/>
      <c r="M252" s="403" t="str">
        <f t="shared" si="42"/>
        <v/>
      </c>
      <c r="N252" s="398"/>
      <c r="O252" s="403" t="str">
        <f t="shared" si="43"/>
        <v/>
      </c>
    </row>
    <row r="253" spans="2:15">
      <c r="L253" s="398"/>
      <c r="M253" s="403" t="str">
        <f t="shared" si="42"/>
        <v/>
      </c>
      <c r="N253" s="398"/>
      <c r="O253" s="403" t="str">
        <f t="shared" si="43"/>
        <v/>
      </c>
    </row>
    <row r="254" spans="2:15">
      <c r="B254" s="14" t="s">
        <v>149</v>
      </c>
      <c r="C254" s="1005" t="s">
        <v>130</v>
      </c>
      <c r="D254" s="1005"/>
      <c r="E254" s="1005"/>
      <c r="F254" s="1005"/>
      <c r="G254" s="1005"/>
      <c r="H254" s="1005"/>
      <c r="I254" s="1005"/>
      <c r="J254" s="76">
        <f>SUM(J255:J335)</f>
        <v>1276.5749999999998</v>
      </c>
      <c r="K254" s="400">
        <f>SUM(K255:K335)</f>
        <v>4130.8149999999996</v>
      </c>
      <c r="L254" s="398"/>
      <c r="M254" s="400">
        <f>SUM(M255:M335)</f>
        <v>1130.0250000000001</v>
      </c>
      <c r="N254" s="398"/>
      <c r="O254" s="400">
        <f>SUM(O255:O335)</f>
        <v>80.550000000000011</v>
      </c>
    </row>
    <row r="255" spans="2:15">
      <c r="B255" s="14"/>
      <c r="C255" s="17" t="s">
        <v>295</v>
      </c>
      <c r="D255" s="70" t="s">
        <v>348</v>
      </c>
      <c r="E255" s="18">
        <f>77.75+68.75</f>
        <v>146.5</v>
      </c>
      <c r="F255" s="18">
        <f>$I$24</f>
        <v>3</v>
      </c>
      <c r="G255" s="19">
        <f t="shared" ref="G255:G318" si="45">PRODUCT(E255,F255)</f>
        <v>439.5</v>
      </c>
      <c r="H255" s="69">
        <v>0</v>
      </c>
      <c r="I255" s="18">
        <v>1</v>
      </c>
      <c r="J255" s="71" t="str">
        <f t="shared" ref="J255:J318" si="46">IF(D255="Emboço",G255*I255," ")</f>
        <v xml:space="preserve"> </v>
      </c>
      <c r="K255" s="73">
        <f t="shared" ref="K255:K318" si="47">IF(D255="Reboco",G255*I255," ")</f>
        <v>439.5</v>
      </c>
      <c r="L255" s="398" t="s">
        <v>952</v>
      </c>
      <c r="M255" s="403">
        <f t="shared" ref="M255:M286" si="48">IF(L255="x",G255,"")</f>
        <v>439.5</v>
      </c>
      <c r="N255" s="398"/>
      <c r="O255" s="403" t="str">
        <f t="shared" ref="O255:O286" si="49">IF(N255="x",G255,"")</f>
        <v/>
      </c>
    </row>
    <row r="256" spans="2:15">
      <c r="B256" s="14"/>
      <c r="C256" s="17" t="s">
        <v>296</v>
      </c>
      <c r="D256" s="70" t="s">
        <v>348</v>
      </c>
      <c r="E256" s="18">
        <v>82.24</v>
      </c>
      <c r="F256" s="18">
        <f>$F$255</f>
        <v>3</v>
      </c>
      <c r="G256" s="19">
        <f t="shared" si="45"/>
        <v>246.71999999999997</v>
      </c>
      <c r="H256" s="69">
        <v>0</v>
      </c>
      <c r="I256" s="18">
        <v>1</v>
      </c>
      <c r="J256" s="71" t="str">
        <f t="shared" si="46"/>
        <v xml:space="preserve"> </v>
      </c>
      <c r="K256" s="73">
        <f t="shared" si="47"/>
        <v>246.71999999999997</v>
      </c>
      <c r="L256" s="398"/>
      <c r="M256" s="403" t="str">
        <f t="shared" si="48"/>
        <v/>
      </c>
      <c r="N256" s="398"/>
      <c r="O256" s="403" t="str">
        <f t="shared" si="49"/>
        <v/>
      </c>
    </row>
    <row r="257" spans="2:15">
      <c r="B257" s="14"/>
      <c r="C257" s="17" t="s">
        <v>415</v>
      </c>
      <c r="D257" s="70" t="s">
        <v>348</v>
      </c>
      <c r="E257" s="18">
        <v>26.96</v>
      </c>
      <c r="F257" s="18">
        <f t="shared" ref="F257:F321" si="50">$F$255</f>
        <v>3</v>
      </c>
      <c r="G257" s="19">
        <f t="shared" si="45"/>
        <v>80.88</v>
      </c>
      <c r="H257" s="69">
        <v>0</v>
      </c>
      <c r="I257" s="18">
        <v>1</v>
      </c>
      <c r="J257" s="71" t="str">
        <f t="shared" si="46"/>
        <v xml:space="preserve"> </v>
      </c>
      <c r="K257" s="73">
        <f t="shared" si="47"/>
        <v>80.88</v>
      </c>
      <c r="L257" s="398"/>
      <c r="M257" s="403" t="str">
        <f t="shared" si="48"/>
        <v/>
      </c>
      <c r="N257" s="398"/>
      <c r="O257" s="403" t="str">
        <f t="shared" si="49"/>
        <v/>
      </c>
    </row>
    <row r="258" spans="2:15">
      <c r="B258" s="14"/>
      <c r="C258" s="17" t="s">
        <v>416</v>
      </c>
      <c r="D258" s="70" t="s">
        <v>348</v>
      </c>
      <c r="E258" s="18">
        <v>38.83</v>
      </c>
      <c r="F258" s="18">
        <v>1</v>
      </c>
      <c r="G258" s="19">
        <f t="shared" si="45"/>
        <v>38.83</v>
      </c>
      <c r="H258" s="69">
        <v>0</v>
      </c>
      <c r="I258" s="18">
        <v>1</v>
      </c>
      <c r="J258" s="71" t="str">
        <f t="shared" si="46"/>
        <v xml:space="preserve"> </v>
      </c>
      <c r="K258" s="73">
        <f t="shared" si="47"/>
        <v>38.83</v>
      </c>
      <c r="L258" s="398"/>
      <c r="M258" s="403" t="str">
        <f t="shared" si="48"/>
        <v/>
      </c>
      <c r="N258" s="398"/>
      <c r="O258" s="403" t="str">
        <f t="shared" si="49"/>
        <v/>
      </c>
    </row>
    <row r="259" spans="2:15">
      <c r="B259" s="14"/>
      <c r="C259" s="17" t="s">
        <v>1180</v>
      </c>
      <c r="D259" s="70" t="s">
        <v>348</v>
      </c>
      <c r="E259" s="18">
        <v>42.2</v>
      </c>
      <c r="F259" s="18">
        <f t="shared" si="50"/>
        <v>3</v>
      </c>
      <c r="G259" s="19">
        <f t="shared" si="45"/>
        <v>126.60000000000001</v>
      </c>
      <c r="H259" s="69">
        <v>0</v>
      </c>
      <c r="I259" s="18">
        <v>1</v>
      </c>
      <c r="J259" s="71" t="str">
        <f t="shared" si="46"/>
        <v xml:space="preserve"> </v>
      </c>
      <c r="K259" s="73">
        <f t="shared" si="47"/>
        <v>126.60000000000001</v>
      </c>
      <c r="L259" s="398"/>
      <c r="M259" s="403" t="str">
        <f t="shared" si="48"/>
        <v/>
      </c>
      <c r="N259" s="398"/>
      <c r="O259" s="403" t="str">
        <f t="shared" si="49"/>
        <v/>
      </c>
    </row>
    <row r="260" spans="2:15">
      <c r="B260" s="14"/>
      <c r="C260" s="17" t="s">
        <v>315</v>
      </c>
      <c r="D260" s="70" t="s">
        <v>348</v>
      </c>
      <c r="E260" s="18">
        <v>10.050000000000001</v>
      </c>
      <c r="F260" s="18">
        <f t="shared" si="50"/>
        <v>3</v>
      </c>
      <c r="G260" s="19">
        <f t="shared" si="45"/>
        <v>30.150000000000002</v>
      </c>
      <c r="H260" s="69">
        <v>0</v>
      </c>
      <c r="I260" s="18">
        <v>1</v>
      </c>
      <c r="J260" s="71" t="str">
        <f t="shared" si="46"/>
        <v xml:space="preserve"> </v>
      </c>
      <c r="K260" s="73">
        <f t="shared" si="47"/>
        <v>30.150000000000002</v>
      </c>
      <c r="L260" s="398"/>
      <c r="M260" s="403" t="str">
        <f t="shared" si="48"/>
        <v/>
      </c>
      <c r="N260" s="398"/>
      <c r="O260" s="403" t="str">
        <f t="shared" si="49"/>
        <v/>
      </c>
    </row>
    <row r="261" spans="2:15">
      <c r="B261" s="14"/>
      <c r="C261" s="17" t="s">
        <v>297</v>
      </c>
      <c r="D261" s="70" t="s">
        <v>348</v>
      </c>
      <c r="E261" s="18">
        <v>14.3</v>
      </c>
      <c r="F261" s="18">
        <f t="shared" si="50"/>
        <v>3</v>
      </c>
      <c r="G261" s="19">
        <f t="shared" si="45"/>
        <v>42.900000000000006</v>
      </c>
      <c r="H261" s="69">
        <v>0</v>
      </c>
      <c r="I261" s="18">
        <v>1</v>
      </c>
      <c r="J261" s="71" t="str">
        <f t="shared" si="46"/>
        <v xml:space="preserve"> </v>
      </c>
      <c r="K261" s="73">
        <f t="shared" si="47"/>
        <v>42.900000000000006</v>
      </c>
      <c r="L261" s="398" t="s">
        <v>952</v>
      </c>
      <c r="M261" s="403">
        <f t="shared" si="48"/>
        <v>42.900000000000006</v>
      </c>
      <c r="N261" s="398"/>
      <c r="O261" s="403" t="str">
        <f t="shared" si="49"/>
        <v/>
      </c>
    </row>
    <row r="262" spans="2:15">
      <c r="B262" s="14"/>
      <c r="C262" s="17" t="s">
        <v>307</v>
      </c>
      <c r="D262" s="70" t="s">
        <v>348</v>
      </c>
      <c r="E262" s="18">
        <v>11.8</v>
      </c>
      <c r="F262" s="18">
        <f t="shared" si="50"/>
        <v>3</v>
      </c>
      <c r="G262" s="19">
        <f t="shared" si="45"/>
        <v>35.400000000000006</v>
      </c>
      <c r="H262" s="69">
        <v>0</v>
      </c>
      <c r="I262" s="18">
        <v>1</v>
      </c>
      <c r="J262" s="71" t="str">
        <f t="shared" si="46"/>
        <v xml:space="preserve"> </v>
      </c>
      <c r="K262" s="73">
        <f t="shared" si="47"/>
        <v>35.400000000000006</v>
      </c>
      <c r="L262" s="398" t="s">
        <v>952</v>
      </c>
      <c r="M262" s="403">
        <f t="shared" si="48"/>
        <v>35.400000000000006</v>
      </c>
      <c r="N262" s="398"/>
      <c r="O262" s="403" t="str">
        <f t="shared" si="49"/>
        <v/>
      </c>
    </row>
    <row r="263" spans="2:15">
      <c r="B263" s="14"/>
      <c r="C263" s="17" t="s">
        <v>315</v>
      </c>
      <c r="D263" s="70" t="s">
        <v>348</v>
      </c>
      <c r="E263" s="18">
        <v>13.8</v>
      </c>
      <c r="F263" s="18">
        <f t="shared" si="50"/>
        <v>3</v>
      </c>
      <c r="G263" s="19">
        <f t="shared" si="45"/>
        <v>41.400000000000006</v>
      </c>
      <c r="H263" s="69">
        <v>0</v>
      </c>
      <c r="I263" s="18">
        <v>1</v>
      </c>
      <c r="J263" s="71" t="str">
        <f t="shared" si="46"/>
        <v xml:space="preserve"> </v>
      </c>
      <c r="K263" s="73">
        <f t="shared" si="47"/>
        <v>41.400000000000006</v>
      </c>
      <c r="L263" s="398" t="s">
        <v>952</v>
      </c>
      <c r="M263" s="403">
        <f t="shared" si="48"/>
        <v>41.400000000000006</v>
      </c>
      <c r="N263" s="398"/>
      <c r="O263" s="403" t="str">
        <f t="shared" si="49"/>
        <v/>
      </c>
    </row>
    <row r="264" spans="2:15">
      <c r="B264" s="14"/>
      <c r="C264" s="17" t="s">
        <v>1181</v>
      </c>
      <c r="D264" s="70" t="s">
        <v>348</v>
      </c>
      <c r="E264" s="18">
        <f>58.25+21.45</f>
        <v>79.7</v>
      </c>
      <c r="F264" s="18">
        <f t="shared" si="50"/>
        <v>3</v>
      </c>
      <c r="G264" s="19">
        <f t="shared" si="45"/>
        <v>239.10000000000002</v>
      </c>
      <c r="H264" s="69">
        <v>0</v>
      </c>
      <c r="I264" s="18">
        <v>1</v>
      </c>
      <c r="J264" s="71" t="str">
        <f t="shared" si="46"/>
        <v xml:space="preserve"> </v>
      </c>
      <c r="K264" s="73">
        <f t="shared" si="47"/>
        <v>239.10000000000002</v>
      </c>
      <c r="L264" s="398"/>
      <c r="M264" s="403" t="str">
        <f t="shared" si="48"/>
        <v/>
      </c>
      <c r="N264" s="398"/>
      <c r="O264" s="403" t="str">
        <f t="shared" si="49"/>
        <v/>
      </c>
    </row>
    <row r="265" spans="2:15">
      <c r="B265" s="14"/>
      <c r="C265" s="17" t="s">
        <v>419</v>
      </c>
      <c r="D265" s="70" t="s">
        <v>348</v>
      </c>
      <c r="E265" s="18">
        <v>50.89</v>
      </c>
      <c r="F265" s="18">
        <f t="shared" si="50"/>
        <v>3</v>
      </c>
      <c r="G265" s="19">
        <f t="shared" si="45"/>
        <v>152.67000000000002</v>
      </c>
      <c r="H265" s="69">
        <v>0</v>
      </c>
      <c r="I265" s="18">
        <v>1</v>
      </c>
      <c r="J265" s="71" t="str">
        <f t="shared" si="46"/>
        <v xml:space="preserve"> </v>
      </c>
      <c r="K265" s="73">
        <f t="shared" si="47"/>
        <v>152.67000000000002</v>
      </c>
      <c r="L265" s="398"/>
      <c r="M265" s="403" t="str">
        <f t="shared" si="48"/>
        <v/>
      </c>
      <c r="N265" s="398"/>
      <c r="O265" s="403" t="str">
        <f t="shared" si="49"/>
        <v/>
      </c>
    </row>
    <row r="266" spans="2:15">
      <c r="B266" s="14"/>
      <c r="C266" s="17" t="s">
        <v>420</v>
      </c>
      <c r="D266" s="70" t="s">
        <v>348</v>
      </c>
      <c r="E266" s="18">
        <v>13.84</v>
      </c>
      <c r="F266" s="18">
        <f t="shared" si="50"/>
        <v>3</v>
      </c>
      <c r="G266" s="19">
        <f t="shared" si="45"/>
        <v>41.519999999999996</v>
      </c>
      <c r="H266" s="69">
        <v>0</v>
      </c>
      <c r="I266" s="18">
        <v>1</v>
      </c>
      <c r="J266" s="71" t="str">
        <f t="shared" si="46"/>
        <v xml:space="preserve"> </v>
      </c>
      <c r="K266" s="73">
        <f t="shared" si="47"/>
        <v>41.519999999999996</v>
      </c>
      <c r="L266" s="398"/>
      <c r="M266" s="403" t="str">
        <f t="shared" si="48"/>
        <v/>
      </c>
      <c r="N266" s="398"/>
      <c r="O266" s="403" t="str">
        <f t="shared" si="49"/>
        <v/>
      </c>
    </row>
    <row r="267" spans="2:15">
      <c r="B267" s="14"/>
      <c r="C267" s="17" t="s">
        <v>421</v>
      </c>
      <c r="D267" s="70" t="s">
        <v>348</v>
      </c>
      <c r="E267" s="18">
        <v>13.85</v>
      </c>
      <c r="F267" s="18">
        <f t="shared" si="50"/>
        <v>3</v>
      </c>
      <c r="G267" s="19">
        <f t="shared" si="45"/>
        <v>41.55</v>
      </c>
      <c r="H267" s="69">
        <v>0</v>
      </c>
      <c r="I267" s="18">
        <v>1</v>
      </c>
      <c r="J267" s="71" t="str">
        <f t="shared" si="46"/>
        <v xml:space="preserve"> </v>
      </c>
      <c r="K267" s="73">
        <f t="shared" si="47"/>
        <v>41.55</v>
      </c>
      <c r="L267" s="398"/>
      <c r="M267" s="403" t="str">
        <f t="shared" si="48"/>
        <v/>
      </c>
      <c r="N267" s="398"/>
      <c r="O267" s="403" t="str">
        <f t="shared" si="49"/>
        <v/>
      </c>
    </row>
    <row r="268" spans="2:15">
      <c r="B268" s="14"/>
      <c r="C268" s="17" t="s">
        <v>1182</v>
      </c>
      <c r="D268" s="70" t="s">
        <v>348</v>
      </c>
      <c r="E268" s="18">
        <f>18.95+18.95</f>
        <v>37.9</v>
      </c>
      <c r="F268" s="18">
        <f t="shared" si="50"/>
        <v>3</v>
      </c>
      <c r="G268" s="19">
        <f t="shared" si="45"/>
        <v>113.69999999999999</v>
      </c>
      <c r="H268" s="69">
        <v>0</v>
      </c>
      <c r="I268" s="18">
        <v>1</v>
      </c>
      <c r="J268" s="71" t="str">
        <f t="shared" si="46"/>
        <v xml:space="preserve"> </v>
      </c>
      <c r="K268" s="73">
        <f t="shared" si="47"/>
        <v>113.69999999999999</v>
      </c>
      <c r="L268" s="398"/>
      <c r="M268" s="403" t="str">
        <f t="shared" si="48"/>
        <v/>
      </c>
      <c r="N268" s="398"/>
      <c r="O268" s="403" t="str">
        <f t="shared" si="49"/>
        <v/>
      </c>
    </row>
    <row r="269" spans="2:15">
      <c r="B269" s="14"/>
      <c r="C269" s="17" t="s">
        <v>423</v>
      </c>
      <c r="D269" s="70" t="s">
        <v>348</v>
      </c>
      <c r="E269" s="18">
        <v>15.16</v>
      </c>
      <c r="F269" s="18">
        <f t="shared" si="50"/>
        <v>3</v>
      </c>
      <c r="G269" s="19">
        <f t="shared" si="45"/>
        <v>45.480000000000004</v>
      </c>
      <c r="H269" s="69">
        <v>0</v>
      </c>
      <c r="I269" s="18">
        <v>1</v>
      </c>
      <c r="J269" s="71" t="str">
        <f t="shared" si="46"/>
        <v xml:space="preserve"> </v>
      </c>
      <c r="K269" s="73">
        <f t="shared" si="47"/>
        <v>45.480000000000004</v>
      </c>
      <c r="L269" s="398"/>
      <c r="M269" s="403" t="str">
        <f t="shared" si="48"/>
        <v/>
      </c>
      <c r="N269" s="398"/>
      <c r="O269" s="403" t="str">
        <f t="shared" si="49"/>
        <v/>
      </c>
    </row>
    <row r="270" spans="2:15">
      <c r="B270" s="14"/>
      <c r="C270" s="17" t="s">
        <v>424</v>
      </c>
      <c r="D270" s="70" t="s">
        <v>348</v>
      </c>
      <c r="E270" s="18">
        <v>14.16</v>
      </c>
      <c r="F270" s="18">
        <f t="shared" si="50"/>
        <v>3</v>
      </c>
      <c r="G270" s="19">
        <f t="shared" si="45"/>
        <v>42.480000000000004</v>
      </c>
      <c r="H270" s="69">
        <v>0</v>
      </c>
      <c r="I270" s="18">
        <v>1</v>
      </c>
      <c r="J270" s="71" t="str">
        <f t="shared" si="46"/>
        <v xml:space="preserve"> </v>
      </c>
      <c r="K270" s="73">
        <f t="shared" si="47"/>
        <v>42.480000000000004</v>
      </c>
      <c r="L270" s="398"/>
      <c r="M270" s="403" t="str">
        <f t="shared" si="48"/>
        <v/>
      </c>
      <c r="N270" s="398"/>
      <c r="O270" s="403" t="str">
        <f t="shared" si="49"/>
        <v/>
      </c>
    </row>
    <row r="271" spans="2:15">
      <c r="B271" s="14"/>
      <c r="C271" s="17" t="s">
        <v>425</v>
      </c>
      <c r="D271" s="70" t="s">
        <v>348</v>
      </c>
      <c r="E271" s="18">
        <v>17.13</v>
      </c>
      <c r="F271" s="18">
        <f t="shared" si="50"/>
        <v>3</v>
      </c>
      <c r="G271" s="19">
        <f t="shared" si="45"/>
        <v>51.39</v>
      </c>
      <c r="H271" s="69">
        <v>0</v>
      </c>
      <c r="I271" s="18">
        <v>1</v>
      </c>
      <c r="J271" s="71" t="str">
        <f t="shared" si="46"/>
        <v xml:space="preserve"> </v>
      </c>
      <c r="K271" s="73">
        <f t="shared" si="47"/>
        <v>51.39</v>
      </c>
      <c r="L271" s="398"/>
      <c r="M271" s="403" t="str">
        <f t="shared" si="48"/>
        <v/>
      </c>
      <c r="N271" s="398"/>
      <c r="O271" s="403" t="str">
        <f t="shared" si="49"/>
        <v/>
      </c>
    </row>
    <row r="272" spans="2:15">
      <c r="B272" s="14"/>
      <c r="C272" s="17" t="s">
        <v>397</v>
      </c>
      <c r="D272" s="70" t="s">
        <v>347</v>
      </c>
      <c r="E272" s="18">
        <v>6.5</v>
      </c>
      <c r="F272" s="18">
        <f t="shared" si="50"/>
        <v>3</v>
      </c>
      <c r="G272" s="19">
        <f t="shared" si="45"/>
        <v>19.5</v>
      </c>
      <c r="H272" s="69">
        <v>0</v>
      </c>
      <c r="I272" s="18">
        <v>1</v>
      </c>
      <c r="J272" s="71">
        <f t="shared" si="46"/>
        <v>19.5</v>
      </c>
      <c r="K272" s="73" t="str">
        <f t="shared" si="47"/>
        <v xml:space="preserve"> </v>
      </c>
      <c r="L272" s="398"/>
      <c r="M272" s="403" t="str">
        <f t="shared" si="48"/>
        <v/>
      </c>
      <c r="N272" s="398"/>
      <c r="O272" s="403" t="str">
        <f t="shared" si="49"/>
        <v/>
      </c>
    </row>
    <row r="273" spans="2:15">
      <c r="B273" s="14"/>
      <c r="C273" s="17" t="s">
        <v>426</v>
      </c>
      <c r="D273" s="70" t="s">
        <v>348</v>
      </c>
      <c r="E273" s="18">
        <v>17.16</v>
      </c>
      <c r="F273" s="18">
        <f t="shared" si="50"/>
        <v>3</v>
      </c>
      <c r="G273" s="19">
        <f t="shared" si="45"/>
        <v>51.480000000000004</v>
      </c>
      <c r="H273" s="69">
        <v>0</v>
      </c>
      <c r="I273" s="18">
        <v>1</v>
      </c>
      <c r="J273" s="71" t="str">
        <f t="shared" si="46"/>
        <v xml:space="preserve"> </v>
      </c>
      <c r="K273" s="73">
        <f t="shared" si="47"/>
        <v>51.480000000000004</v>
      </c>
      <c r="L273" s="398"/>
      <c r="M273" s="403" t="str">
        <f t="shared" si="48"/>
        <v/>
      </c>
      <c r="N273" s="398"/>
      <c r="O273" s="403" t="str">
        <f t="shared" si="49"/>
        <v/>
      </c>
    </row>
    <row r="274" spans="2:15">
      <c r="B274" s="14"/>
      <c r="C274" s="17" t="s">
        <v>397</v>
      </c>
      <c r="D274" s="70" t="s">
        <v>347</v>
      </c>
      <c r="E274" s="18">
        <v>6.3</v>
      </c>
      <c r="F274" s="18">
        <f t="shared" si="50"/>
        <v>3</v>
      </c>
      <c r="G274" s="19">
        <f t="shared" si="45"/>
        <v>18.899999999999999</v>
      </c>
      <c r="H274" s="69">
        <v>0</v>
      </c>
      <c r="I274" s="18">
        <v>1</v>
      </c>
      <c r="J274" s="71">
        <f t="shared" si="46"/>
        <v>18.899999999999999</v>
      </c>
      <c r="K274" s="73" t="str">
        <f t="shared" si="47"/>
        <v xml:space="preserve"> </v>
      </c>
      <c r="L274" s="398"/>
      <c r="M274" s="403" t="str">
        <f t="shared" si="48"/>
        <v/>
      </c>
      <c r="N274" s="398"/>
      <c r="O274" s="403" t="str">
        <f t="shared" si="49"/>
        <v/>
      </c>
    </row>
    <row r="275" spans="2:15">
      <c r="B275" s="14"/>
      <c r="C275" s="17" t="s">
        <v>427</v>
      </c>
      <c r="D275" s="70" t="s">
        <v>348</v>
      </c>
      <c r="E275" s="18">
        <v>26.85</v>
      </c>
      <c r="F275" s="18">
        <f t="shared" si="50"/>
        <v>3</v>
      </c>
      <c r="G275" s="19">
        <f t="shared" si="45"/>
        <v>80.550000000000011</v>
      </c>
      <c r="H275" s="69">
        <v>0</v>
      </c>
      <c r="I275" s="18">
        <v>1</v>
      </c>
      <c r="J275" s="71" t="str">
        <f t="shared" si="46"/>
        <v xml:space="preserve"> </v>
      </c>
      <c r="K275" s="73">
        <f t="shared" si="47"/>
        <v>80.550000000000011</v>
      </c>
      <c r="L275" s="398"/>
      <c r="M275" s="403" t="str">
        <f t="shared" si="48"/>
        <v/>
      </c>
      <c r="N275" s="398"/>
      <c r="O275" s="403" t="str">
        <f t="shared" si="49"/>
        <v/>
      </c>
    </row>
    <row r="276" spans="2:15">
      <c r="B276" s="14"/>
      <c r="C276" s="17" t="s">
        <v>428</v>
      </c>
      <c r="D276" s="70" t="s">
        <v>347</v>
      </c>
      <c r="E276" s="18">
        <v>8.1999999999999993</v>
      </c>
      <c r="F276" s="18">
        <f t="shared" si="50"/>
        <v>3</v>
      </c>
      <c r="G276" s="19">
        <f t="shared" si="45"/>
        <v>24.599999999999998</v>
      </c>
      <c r="H276" s="69">
        <v>0</v>
      </c>
      <c r="I276" s="18">
        <v>1</v>
      </c>
      <c r="J276" s="71">
        <f t="shared" si="46"/>
        <v>24.599999999999998</v>
      </c>
      <c r="K276" s="73" t="str">
        <f t="shared" si="47"/>
        <v xml:space="preserve"> </v>
      </c>
      <c r="L276" s="398"/>
      <c r="M276" s="403" t="str">
        <f t="shared" si="48"/>
        <v/>
      </c>
      <c r="N276" s="398"/>
      <c r="O276" s="403" t="str">
        <f t="shared" si="49"/>
        <v/>
      </c>
    </row>
    <row r="277" spans="2:15">
      <c r="B277" s="14"/>
      <c r="C277" s="17" t="s">
        <v>429</v>
      </c>
      <c r="D277" s="70" t="s">
        <v>348</v>
      </c>
      <c r="E277" s="18">
        <v>26.85</v>
      </c>
      <c r="F277" s="18">
        <f t="shared" si="50"/>
        <v>3</v>
      </c>
      <c r="G277" s="19">
        <f t="shared" si="45"/>
        <v>80.550000000000011</v>
      </c>
      <c r="H277" s="69">
        <v>0</v>
      </c>
      <c r="I277" s="18">
        <v>1</v>
      </c>
      <c r="J277" s="71" t="str">
        <f t="shared" si="46"/>
        <v xml:space="preserve"> </v>
      </c>
      <c r="K277" s="73">
        <f t="shared" si="47"/>
        <v>80.550000000000011</v>
      </c>
      <c r="L277" s="398"/>
      <c r="M277" s="403" t="str">
        <f t="shared" si="48"/>
        <v/>
      </c>
      <c r="N277" s="398" t="s">
        <v>952</v>
      </c>
      <c r="O277" s="403">
        <f t="shared" si="49"/>
        <v>80.550000000000011</v>
      </c>
    </row>
    <row r="278" spans="2:15">
      <c r="B278" s="14"/>
      <c r="C278" s="17" t="s">
        <v>428</v>
      </c>
      <c r="D278" s="70" t="s">
        <v>347</v>
      </c>
      <c r="E278" s="18">
        <v>8.1999999999999993</v>
      </c>
      <c r="F278" s="18">
        <f t="shared" si="50"/>
        <v>3</v>
      </c>
      <c r="G278" s="19">
        <f t="shared" si="45"/>
        <v>24.599999999999998</v>
      </c>
      <c r="H278" s="69">
        <v>0</v>
      </c>
      <c r="I278" s="18">
        <v>1</v>
      </c>
      <c r="J278" s="71">
        <f t="shared" si="46"/>
        <v>24.599999999999998</v>
      </c>
      <c r="K278" s="73" t="str">
        <f t="shared" si="47"/>
        <v xml:space="preserve"> </v>
      </c>
      <c r="L278" s="398"/>
      <c r="M278" s="403" t="str">
        <f t="shared" si="48"/>
        <v/>
      </c>
      <c r="N278" s="398"/>
      <c r="O278" s="403" t="str">
        <f t="shared" si="49"/>
        <v/>
      </c>
    </row>
    <row r="279" spans="2:15">
      <c r="B279" s="14"/>
      <c r="C279" s="17" t="s">
        <v>430</v>
      </c>
      <c r="D279" s="70" t="s">
        <v>348</v>
      </c>
      <c r="E279" s="18">
        <v>22</v>
      </c>
      <c r="F279" s="18">
        <f t="shared" si="50"/>
        <v>3</v>
      </c>
      <c r="G279" s="19">
        <f t="shared" si="45"/>
        <v>66</v>
      </c>
      <c r="H279" s="69">
        <v>0</v>
      </c>
      <c r="I279" s="18">
        <v>1</v>
      </c>
      <c r="J279" s="71" t="str">
        <f t="shared" si="46"/>
        <v xml:space="preserve"> </v>
      </c>
      <c r="K279" s="73">
        <f t="shared" si="47"/>
        <v>66</v>
      </c>
      <c r="L279" s="398"/>
      <c r="M279" s="403" t="str">
        <f t="shared" si="48"/>
        <v/>
      </c>
      <c r="N279" s="398"/>
      <c r="O279" s="403" t="str">
        <f t="shared" si="49"/>
        <v/>
      </c>
    </row>
    <row r="280" spans="2:15">
      <c r="B280" s="14"/>
      <c r="C280" s="17" t="s">
        <v>431</v>
      </c>
      <c r="D280" s="70" t="s">
        <v>347</v>
      </c>
      <c r="E280" s="18">
        <v>10.199999999999999</v>
      </c>
      <c r="F280" s="18">
        <f t="shared" si="50"/>
        <v>3</v>
      </c>
      <c r="G280" s="19">
        <f t="shared" si="45"/>
        <v>30.599999999999998</v>
      </c>
      <c r="H280" s="69">
        <v>0</v>
      </c>
      <c r="I280" s="18">
        <v>1</v>
      </c>
      <c r="J280" s="71">
        <f t="shared" si="46"/>
        <v>30.599999999999998</v>
      </c>
      <c r="K280" s="73" t="str">
        <f t="shared" si="47"/>
        <v xml:space="preserve"> </v>
      </c>
      <c r="L280" s="398"/>
      <c r="M280" s="403" t="str">
        <f t="shared" si="48"/>
        <v/>
      </c>
      <c r="N280" s="398"/>
      <c r="O280" s="403" t="str">
        <f t="shared" si="49"/>
        <v/>
      </c>
    </row>
    <row r="281" spans="2:15">
      <c r="B281" s="14"/>
      <c r="C281" s="17" t="s">
        <v>432</v>
      </c>
      <c r="D281" s="70" t="s">
        <v>347</v>
      </c>
      <c r="E281" s="18">
        <v>10.199999999999999</v>
      </c>
      <c r="F281" s="18">
        <f t="shared" si="50"/>
        <v>3</v>
      </c>
      <c r="G281" s="19">
        <f t="shared" si="45"/>
        <v>30.599999999999998</v>
      </c>
      <c r="H281" s="69">
        <v>0</v>
      </c>
      <c r="I281" s="18">
        <v>1</v>
      </c>
      <c r="J281" s="71">
        <f t="shared" si="46"/>
        <v>30.599999999999998</v>
      </c>
      <c r="K281" s="73" t="str">
        <f t="shared" si="47"/>
        <v xml:space="preserve"> </v>
      </c>
      <c r="L281" s="398"/>
      <c r="M281" s="403" t="str">
        <f t="shared" si="48"/>
        <v/>
      </c>
      <c r="N281" s="398"/>
      <c r="O281" s="403" t="str">
        <f t="shared" si="49"/>
        <v/>
      </c>
    </row>
    <row r="282" spans="2:15">
      <c r="B282" s="14"/>
      <c r="C282" s="17" t="s">
        <v>430</v>
      </c>
      <c r="D282" s="70" t="s">
        <v>348</v>
      </c>
      <c r="E282" s="18">
        <v>22</v>
      </c>
      <c r="F282" s="18">
        <f t="shared" si="50"/>
        <v>3</v>
      </c>
      <c r="G282" s="19">
        <f t="shared" si="45"/>
        <v>66</v>
      </c>
      <c r="H282" s="69">
        <v>0</v>
      </c>
      <c r="I282" s="18">
        <v>1</v>
      </c>
      <c r="J282" s="71" t="str">
        <f t="shared" si="46"/>
        <v xml:space="preserve"> </v>
      </c>
      <c r="K282" s="73">
        <f t="shared" si="47"/>
        <v>66</v>
      </c>
      <c r="L282" s="398"/>
      <c r="M282" s="403" t="str">
        <f t="shared" si="48"/>
        <v/>
      </c>
      <c r="N282" s="398"/>
      <c r="O282" s="403" t="str">
        <f t="shared" si="49"/>
        <v/>
      </c>
    </row>
    <row r="283" spans="2:15">
      <c r="B283" s="14"/>
      <c r="C283" s="17" t="s">
        <v>433</v>
      </c>
      <c r="D283" s="70" t="s">
        <v>348</v>
      </c>
      <c r="E283" s="18">
        <v>23.22</v>
      </c>
      <c r="F283" s="18">
        <f t="shared" si="50"/>
        <v>3</v>
      </c>
      <c r="G283" s="19">
        <f t="shared" si="45"/>
        <v>69.66</v>
      </c>
      <c r="H283" s="69">
        <v>0</v>
      </c>
      <c r="I283" s="18">
        <v>1</v>
      </c>
      <c r="J283" s="71" t="str">
        <f t="shared" si="46"/>
        <v xml:space="preserve"> </v>
      </c>
      <c r="K283" s="73">
        <f t="shared" si="47"/>
        <v>69.66</v>
      </c>
      <c r="L283" s="398"/>
      <c r="M283" s="403" t="str">
        <f t="shared" si="48"/>
        <v/>
      </c>
      <c r="N283" s="398"/>
      <c r="O283" s="403" t="str">
        <f t="shared" si="49"/>
        <v/>
      </c>
    </row>
    <row r="284" spans="2:15">
      <c r="B284" s="14"/>
      <c r="C284" s="17" t="s">
        <v>434</v>
      </c>
      <c r="D284" s="70" t="s">
        <v>348</v>
      </c>
      <c r="E284" s="18">
        <v>24.16</v>
      </c>
      <c r="F284" s="18">
        <f t="shared" si="50"/>
        <v>3</v>
      </c>
      <c r="G284" s="19">
        <f t="shared" si="45"/>
        <v>72.48</v>
      </c>
      <c r="H284" s="69">
        <v>0</v>
      </c>
      <c r="I284" s="18">
        <v>1</v>
      </c>
      <c r="J284" s="71" t="str">
        <f t="shared" si="46"/>
        <v xml:space="preserve"> </v>
      </c>
      <c r="K284" s="73">
        <f t="shared" si="47"/>
        <v>72.48</v>
      </c>
      <c r="L284" s="398"/>
      <c r="M284" s="403" t="str">
        <f t="shared" si="48"/>
        <v/>
      </c>
      <c r="N284" s="398"/>
      <c r="O284" s="403" t="str">
        <f t="shared" si="49"/>
        <v/>
      </c>
    </row>
    <row r="285" spans="2:15">
      <c r="B285" s="14"/>
      <c r="C285" s="17" t="s">
        <v>428</v>
      </c>
      <c r="D285" s="70" t="s">
        <v>347</v>
      </c>
      <c r="E285" s="18">
        <v>9.1999999999999993</v>
      </c>
      <c r="F285" s="18">
        <f t="shared" si="50"/>
        <v>3</v>
      </c>
      <c r="G285" s="19">
        <f t="shared" si="45"/>
        <v>27.599999999999998</v>
      </c>
      <c r="H285" s="69">
        <v>0</v>
      </c>
      <c r="I285" s="18">
        <v>1</v>
      </c>
      <c r="J285" s="71">
        <f t="shared" si="46"/>
        <v>27.599999999999998</v>
      </c>
      <c r="K285" s="73" t="str">
        <f t="shared" si="47"/>
        <v xml:space="preserve"> </v>
      </c>
      <c r="L285" s="398"/>
      <c r="M285" s="403" t="str">
        <f t="shared" si="48"/>
        <v/>
      </c>
      <c r="N285" s="398"/>
      <c r="O285" s="403" t="str">
        <f t="shared" si="49"/>
        <v/>
      </c>
    </row>
    <row r="286" spans="2:15">
      <c r="B286" s="14"/>
      <c r="C286" s="17" t="s">
        <v>435</v>
      </c>
      <c r="D286" s="70" t="s">
        <v>348</v>
      </c>
      <c r="E286" s="18">
        <v>21.8</v>
      </c>
      <c r="F286" s="18">
        <f t="shared" si="50"/>
        <v>3</v>
      </c>
      <c r="G286" s="19">
        <f t="shared" si="45"/>
        <v>65.400000000000006</v>
      </c>
      <c r="H286" s="69">
        <v>0</v>
      </c>
      <c r="I286" s="18">
        <v>1</v>
      </c>
      <c r="J286" s="71" t="str">
        <f t="shared" si="46"/>
        <v xml:space="preserve"> </v>
      </c>
      <c r="K286" s="73">
        <f t="shared" si="47"/>
        <v>65.400000000000006</v>
      </c>
      <c r="L286" s="398"/>
      <c r="M286" s="403" t="str">
        <f t="shared" si="48"/>
        <v/>
      </c>
      <c r="N286" s="398"/>
      <c r="O286" s="403" t="str">
        <f t="shared" si="49"/>
        <v/>
      </c>
    </row>
    <row r="287" spans="2:15">
      <c r="B287" s="14"/>
      <c r="C287" s="17" t="s">
        <v>436</v>
      </c>
      <c r="D287" s="70" t="s">
        <v>348</v>
      </c>
      <c r="E287" s="18">
        <f>15.2+24.75</f>
        <v>39.950000000000003</v>
      </c>
      <c r="F287" s="18">
        <f t="shared" si="50"/>
        <v>3</v>
      </c>
      <c r="G287" s="19">
        <f t="shared" si="45"/>
        <v>119.85000000000001</v>
      </c>
      <c r="H287" s="69">
        <v>0</v>
      </c>
      <c r="I287" s="18">
        <v>1</v>
      </c>
      <c r="J287" s="71" t="str">
        <f t="shared" si="46"/>
        <v xml:space="preserve"> </v>
      </c>
      <c r="K287" s="73">
        <f t="shared" si="47"/>
        <v>119.85000000000001</v>
      </c>
      <c r="L287" s="398"/>
      <c r="M287" s="403" t="str">
        <f t="shared" ref="M287:M318" si="51">IF(L287="x",G287,"")</f>
        <v/>
      </c>
      <c r="N287" s="398"/>
      <c r="O287" s="403" t="str">
        <f t="shared" ref="O287:O318" si="52">IF(N287="x",G287,"")</f>
        <v/>
      </c>
    </row>
    <row r="288" spans="2:15">
      <c r="B288" s="14"/>
      <c r="C288" s="17" t="s">
        <v>438</v>
      </c>
      <c r="D288" s="70" t="s">
        <v>348</v>
      </c>
      <c r="E288" s="18">
        <f>85.11+21.19</f>
        <v>106.3</v>
      </c>
      <c r="F288" s="18">
        <f t="shared" si="50"/>
        <v>3</v>
      </c>
      <c r="G288" s="19">
        <f t="shared" si="45"/>
        <v>318.89999999999998</v>
      </c>
      <c r="H288" s="69">
        <v>0</v>
      </c>
      <c r="I288" s="18">
        <v>1</v>
      </c>
      <c r="J288" s="71" t="str">
        <f t="shared" si="46"/>
        <v xml:space="preserve"> </v>
      </c>
      <c r="K288" s="73">
        <f t="shared" si="47"/>
        <v>318.89999999999998</v>
      </c>
      <c r="L288" s="398"/>
      <c r="M288" s="403" t="str">
        <f t="shared" si="51"/>
        <v/>
      </c>
      <c r="N288" s="398"/>
      <c r="O288" s="403" t="str">
        <f t="shared" si="52"/>
        <v/>
      </c>
    </row>
    <row r="289" spans="2:15">
      <c r="B289" s="14"/>
      <c r="C289" s="17" t="s">
        <v>439</v>
      </c>
      <c r="D289" s="70" t="s">
        <v>348</v>
      </c>
      <c r="E289" s="18">
        <v>22.42</v>
      </c>
      <c r="F289" s="18">
        <f t="shared" si="50"/>
        <v>3</v>
      </c>
      <c r="G289" s="19">
        <f t="shared" si="45"/>
        <v>67.260000000000005</v>
      </c>
      <c r="H289" s="69">
        <v>0</v>
      </c>
      <c r="I289" s="18">
        <v>1</v>
      </c>
      <c r="J289" s="71" t="str">
        <f t="shared" si="46"/>
        <v xml:space="preserve"> </v>
      </c>
      <c r="K289" s="73">
        <f t="shared" si="47"/>
        <v>67.260000000000005</v>
      </c>
      <c r="L289" s="398"/>
      <c r="M289" s="403" t="str">
        <f t="shared" si="51"/>
        <v/>
      </c>
      <c r="N289" s="398"/>
      <c r="O289" s="403" t="str">
        <f t="shared" si="52"/>
        <v/>
      </c>
    </row>
    <row r="290" spans="2:15">
      <c r="B290" s="14"/>
      <c r="C290" s="17" t="s">
        <v>428</v>
      </c>
      <c r="D290" s="70" t="s">
        <v>347</v>
      </c>
      <c r="E290" s="18">
        <v>9.1999999999999993</v>
      </c>
      <c r="F290" s="18">
        <f t="shared" si="50"/>
        <v>3</v>
      </c>
      <c r="G290" s="19">
        <f t="shared" si="45"/>
        <v>27.599999999999998</v>
      </c>
      <c r="H290" s="69">
        <v>0</v>
      </c>
      <c r="I290" s="18">
        <v>1</v>
      </c>
      <c r="J290" s="71">
        <f t="shared" si="46"/>
        <v>27.599999999999998</v>
      </c>
      <c r="K290" s="73" t="str">
        <f t="shared" si="47"/>
        <v xml:space="preserve"> </v>
      </c>
      <c r="L290" s="398"/>
      <c r="M290" s="403" t="str">
        <f t="shared" si="51"/>
        <v/>
      </c>
      <c r="N290" s="398"/>
      <c r="O290" s="403" t="str">
        <f t="shared" si="52"/>
        <v/>
      </c>
    </row>
    <row r="291" spans="2:15">
      <c r="B291" s="14"/>
      <c r="C291" s="17" t="s">
        <v>440</v>
      </c>
      <c r="D291" s="70" t="s">
        <v>348</v>
      </c>
      <c r="E291" s="18">
        <v>15.7</v>
      </c>
      <c r="F291" s="18">
        <f t="shared" si="50"/>
        <v>3</v>
      </c>
      <c r="G291" s="19">
        <f t="shared" si="45"/>
        <v>47.099999999999994</v>
      </c>
      <c r="H291" s="69">
        <v>0</v>
      </c>
      <c r="I291" s="18">
        <v>1</v>
      </c>
      <c r="J291" s="71" t="str">
        <f t="shared" si="46"/>
        <v xml:space="preserve"> </v>
      </c>
      <c r="K291" s="73">
        <f t="shared" si="47"/>
        <v>47.099999999999994</v>
      </c>
      <c r="L291" s="398"/>
      <c r="M291" s="403" t="str">
        <f t="shared" si="51"/>
        <v/>
      </c>
      <c r="N291" s="398"/>
      <c r="O291" s="403" t="str">
        <f t="shared" si="52"/>
        <v/>
      </c>
    </row>
    <row r="292" spans="2:15">
      <c r="B292" s="14"/>
      <c r="C292" s="17" t="s">
        <v>397</v>
      </c>
      <c r="D292" s="70" t="s">
        <v>347</v>
      </c>
      <c r="E292" s="18">
        <v>6.3</v>
      </c>
      <c r="F292" s="18">
        <f t="shared" si="50"/>
        <v>3</v>
      </c>
      <c r="G292" s="19">
        <f t="shared" si="45"/>
        <v>18.899999999999999</v>
      </c>
      <c r="H292" s="69">
        <v>0</v>
      </c>
      <c r="I292" s="18">
        <v>1</v>
      </c>
      <c r="J292" s="71">
        <f t="shared" si="46"/>
        <v>18.899999999999999</v>
      </c>
      <c r="K292" s="73" t="str">
        <f t="shared" si="47"/>
        <v xml:space="preserve"> </v>
      </c>
      <c r="L292" s="398"/>
      <c r="M292" s="403" t="str">
        <f t="shared" si="51"/>
        <v/>
      </c>
      <c r="N292" s="398"/>
      <c r="O292" s="403" t="str">
        <f t="shared" si="52"/>
        <v/>
      </c>
    </row>
    <row r="293" spans="2:15">
      <c r="B293" s="14"/>
      <c r="C293" s="17" t="s">
        <v>441</v>
      </c>
      <c r="D293" s="70" t="s">
        <v>348</v>
      </c>
      <c r="E293" s="18">
        <v>15.7</v>
      </c>
      <c r="F293" s="18">
        <f t="shared" si="50"/>
        <v>3</v>
      </c>
      <c r="G293" s="19">
        <f t="shared" si="45"/>
        <v>47.099999999999994</v>
      </c>
      <c r="H293" s="69">
        <v>0</v>
      </c>
      <c r="I293" s="18">
        <v>1</v>
      </c>
      <c r="J293" s="71" t="str">
        <f t="shared" si="46"/>
        <v xml:space="preserve"> </v>
      </c>
      <c r="K293" s="73">
        <f t="shared" si="47"/>
        <v>47.099999999999994</v>
      </c>
      <c r="L293" s="398"/>
      <c r="M293" s="403" t="str">
        <f t="shared" si="51"/>
        <v/>
      </c>
      <c r="N293" s="398"/>
      <c r="O293" s="403" t="str">
        <f t="shared" si="52"/>
        <v/>
      </c>
    </row>
    <row r="294" spans="2:15">
      <c r="B294" s="14"/>
      <c r="C294" s="17" t="s">
        <v>397</v>
      </c>
      <c r="D294" s="70" t="s">
        <v>347</v>
      </c>
      <c r="E294" s="18">
        <v>6.3</v>
      </c>
      <c r="F294" s="18">
        <f t="shared" si="50"/>
        <v>3</v>
      </c>
      <c r="G294" s="19">
        <f t="shared" si="45"/>
        <v>18.899999999999999</v>
      </c>
      <c r="H294" s="69">
        <v>0</v>
      </c>
      <c r="I294" s="18">
        <v>1</v>
      </c>
      <c r="J294" s="71">
        <f t="shared" si="46"/>
        <v>18.899999999999999</v>
      </c>
      <c r="K294" s="73" t="str">
        <f t="shared" si="47"/>
        <v xml:space="preserve"> </v>
      </c>
      <c r="L294" s="398"/>
      <c r="M294" s="403" t="str">
        <f t="shared" si="51"/>
        <v/>
      </c>
      <c r="N294" s="398"/>
      <c r="O294" s="403" t="str">
        <f t="shared" si="52"/>
        <v/>
      </c>
    </row>
    <row r="295" spans="2:15">
      <c r="B295" s="14"/>
      <c r="C295" s="17" t="s">
        <v>442</v>
      </c>
      <c r="D295" s="70" t="s">
        <v>348</v>
      </c>
      <c r="E295" s="18">
        <v>15.7</v>
      </c>
      <c r="F295" s="18">
        <f t="shared" si="50"/>
        <v>3</v>
      </c>
      <c r="G295" s="19">
        <f t="shared" si="45"/>
        <v>47.099999999999994</v>
      </c>
      <c r="H295" s="69">
        <v>0</v>
      </c>
      <c r="I295" s="18">
        <v>1</v>
      </c>
      <c r="J295" s="71" t="str">
        <f t="shared" si="46"/>
        <v xml:space="preserve"> </v>
      </c>
      <c r="K295" s="73">
        <f t="shared" si="47"/>
        <v>47.099999999999994</v>
      </c>
      <c r="L295" s="398"/>
      <c r="M295" s="403" t="str">
        <f t="shared" si="51"/>
        <v/>
      </c>
      <c r="N295" s="398"/>
      <c r="O295" s="403" t="str">
        <f t="shared" si="52"/>
        <v/>
      </c>
    </row>
    <row r="296" spans="2:15">
      <c r="B296" s="14"/>
      <c r="C296" s="17" t="s">
        <v>397</v>
      </c>
      <c r="D296" s="70" t="s">
        <v>347</v>
      </c>
      <c r="E296" s="18">
        <v>6.3</v>
      </c>
      <c r="F296" s="18">
        <f t="shared" si="50"/>
        <v>3</v>
      </c>
      <c r="G296" s="19">
        <f t="shared" si="45"/>
        <v>18.899999999999999</v>
      </c>
      <c r="H296" s="69">
        <v>0</v>
      </c>
      <c r="I296" s="18">
        <v>1</v>
      </c>
      <c r="J296" s="71">
        <f t="shared" si="46"/>
        <v>18.899999999999999</v>
      </c>
      <c r="K296" s="73" t="str">
        <f t="shared" si="47"/>
        <v xml:space="preserve"> </v>
      </c>
      <c r="L296" s="398"/>
      <c r="M296" s="403" t="str">
        <f t="shared" si="51"/>
        <v/>
      </c>
      <c r="N296" s="398"/>
      <c r="O296" s="403" t="str">
        <f t="shared" si="52"/>
        <v/>
      </c>
    </row>
    <row r="297" spans="2:15">
      <c r="B297" s="14"/>
      <c r="C297" s="17" t="s">
        <v>443</v>
      </c>
      <c r="D297" s="70" t="s">
        <v>348</v>
      </c>
      <c r="E297" s="18">
        <v>15.7</v>
      </c>
      <c r="F297" s="18">
        <f t="shared" si="50"/>
        <v>3</v>
      </c>
      <c r="G297" s="19">
        <f t="shared" si="45"/>
        <v>47.099999999999994</v>
      </c>
      <c r="H297" s="69">
        <v>0</v>
      </c>
      <c r="I297" s="18">
        <v>1</v>
      </c>
      <c r="J297" s="71" t="str">
        <f t="shared" si="46"/>
        <v xml:space="preserve"> </v>
      </c>
      <c r="K297" s="73">
        <f t="shared" si="47"/>
        <v>47.099999999999994</v>
      </c>
      <c r="L297" s="398"/>
      <c r="M297" s="403" t="str">
        <f t="shared" si="51"/>
        <v/>
      </c>
      <c r="N297" s="398"/>
      <c r="O297" s="403" t="str">
        <f t="shared" si="52"/>
        <v/>
      </c>
    </row>
    <row r="298" spans="2:15">
      <c r="B298" s="14"/>
      <c r="C298" s="17" t="s">
        <v>397</v>
      </c>
      <c r="D298" s="70" t="s">
        <v>347</v>
      </c>
      <c r="E298" s="18">
        <v>6.3</v>
      </c>
      <c r="F298" s="18">
        <f t="shared" si="50"/>
        <v>3</v>
      </c>
      <c r="G298" s="19">
        <f t="shared" si="45"/>
        <v>18.899999999999999</v>
      </c>
      <c r="H298" s="69">
        <v>0</v>
      </c>
      <c r="I298" s="18">
        <v>1</v>
      </c>
      <c r="J298" s="71">
        <f t="shared" si="46"/>
        <v>18.899999999999999</v>
      </c>
      <c r="K298" s="73" t="str">
        <f t="shared" si="47"/>
        <v xml:space="preserve"> </v>
      </c>
      <c r="L298" s="398"/>
      <c r="M298" s="403" t="str">
        <f t="shared" si="51"/>
        <v/>
      </c>
      <c r="N298" s="398"/>
      <c r="O298" s="403" t="str">
        <f t="shared" si="52"/>
        <v/>
      </c>
    </row>
    <row r="299" spans="2:15">
      <c r="B299" s="14"/>
      <c r="C299" s="17" t="s">
        <v>444</v>
      </c>
      <c r="D299" s="70" t="s">
        <v>347</v>
      </c>
      <c r="E299" s="18">
        <v>24.34</v>
      </c>
      <c r="F299" s="18">
        <f t="shared" si="50"/>
        <v>3</v>
      </c>
      <c r="G299" s="19">
        <f t="shared" si="45"/>
        <v>73.02</v>
      </c>
      <c r="H299" s="69">
        <v>0</v>
      </c>
      <c r="I299" s="18">
        <v>1</v>
      </c>
      <c r="J299" s="71">
        <f t="shared" si="46"/>
        <v>73.02</v>
      </c>
      <c r="K299" s="73" t="str">
        <f t="shared" si="47"/>
        <v xml:space="preserve"> </v>
      </c>
      <c r="L299" s="398"/>
      <c r="M299" s="403" t="str">
        <f t="shared" si="51"/>
        <v/>
      </c>
      <c r="N299" s="398"/>
      <c r="O299" s="403" t="str">
        <f t="shared" si="52"/>
        <v/>
      </c>
    </row>
    <row r="300" spans="2:15">
      <c r="B300" s="14"/>
      <c r="C300" s="17" t="s">
        <v>445</v>
      </c>
      <c r="D300" s="70" t="s">
        <v>347</v>
      </c>
      <c r="E300" s="18">
        <v>8.8000000000000007</v>
      </c>
      <c r="F300" s="18">
        <f t="shared" si="50"/>
        <v>3</v>
      </c>
      <c r="G300" s="19">
        <f t="shared" si="45"/>
        <v>26.400000000000002</v>
      </c>
      <c r="H300" s="69">
        <v>0</v>
      </c>
      <c r="I300" s="18">
        <v>1</v>
      </c>
      <c r="J300" s="71">
        <f t="shared" si="46"/>
        <v>26.400000000000002</v>
      </c>
      <c r="K300" s="73" t="str">
        <f t="shared" si="47"/>
        <v xml:space="preserve"> </v>
      </c>
      <c r="L300" s="398"/>
      <c r="M300" s="403" t="str">
        <f t="shared" si="51"/>
        <v/>
      </c>
      <c r="N300" s="398"/>
      <c r="O300" s="403" t="str">
        <f t="shared" si="52"/>
        <v/>
      </c>
    </row>
    <row r="301" spans="2:15">
      <c r="B301" s="14"/>
      <c r="C301" s="17" t="s">
        <v>446</v>
      </c>
      <c r="D301" s="70" t="s">
        <v>347</v>
      </c>
      <c r="E301" s="18">
        <v>22.85</v>
      </c>
      <c r="F301" s="18">
        <f t="shared" si="50"/>
        <v>3</v>
      </c>
      <c r="G301" s="19">
        <f t="shared" si="45"/>
        <v>68.550000000000011</v>
      </c>
      <c r="H301" s="69">
        <v>0</v>
      </c>
      <c r="I301" s="18">
        <v>1</v>
      </c>
      <c r="J301" s="71">
        <f t="shared" si="46"/>
        <v>68.550000000000011</v>
      </c>
      <c r="K301" s="73" t="str">
        <f t="shared" si="47"/>
        <v xml:space="preserve"> </v>
      </c>
      <c r="L301" s="398"/>
      <c r="M301" s="403" t="str">
        <f t="shared" si="51"/>
        <v/>
      </c>
      <c r="N301" s="398"/>
      <c r="O301" s="403" t="str">
        <f t="shared" si="52"/>
        <v/>
      </c>
    </row>
    <row r="302" spans="2:15">
      <c r="B302" s="14"/>
      <c r="C302" s="17" t="s">
        <v>447</v>
      </c>
      <c r="D302" s="70" t="s">
        <v>347</v>
      </c>
      <c r="E302" s="18">
        <v>8.8000000000000007</v>
      </c>
      <c r="F302" s="18">
        <f t="shared" si="50"/>
        <v>3</v>
      </c>
      <c r="G302" s="19">
        <f t="shared" si="45"/>
        <v>26.400000000000002</v>
      </c>
      <c r="H302" s="69">
        <v>0</v>
      </c>
      <c r="I302" s="18">
        <v>1</v>
      </c>
      <c r="J302" s="71">
        <f t="shared" si="46"/>
        <v>26.400000000000002</v>
      </c>
      <c r="K302" s="73" t="str">
        <f t="shared" si="47"/>
        <v xml:space="preserve"> </v>
      </c>
      <c r="L302" s="398"/>
      <c r="M302" s="403" t="str">
        <f t="shared" si="51"/>
        <v/>
      </c>
      <c r="N302" s="398"/>
      <c r="O302" s="403" t="str">
        <f t="shared" si="52"/>
        <v/>
      </c>
    </row>
    <row r="303" spans="2:15">
      <c r="B303" s="14"/>
      <c r="C303" s="17" t="s">
        <v>448</v>
      </c>
      <c r="D303" s="70" t="s">
        <v>348</v>
      </c>
      <c r="E303" s="18">
        <v>15.7</v>
      </c>
      <c r="F303" s="18">
        <f t="shared" si="50"/>
        <v>3</v>
      </c>
      <c r="G303" s="19">
        <f t="shared" si="45"/>
        <v>47.099999999999994</v>
      </c>
      <c r="H303" s="69">
        <v>0</v>
      </c>
      <c r="I303" s="18">
        <v>1</v>
      </c>
      <c r="J303" s="71" t="str">
        <f t="shared" si="46"/>
        <v xml:space="preserve"> </v>
      </c>
      <c r="K303" s="73">
        <f t="shared" si="47"/>
        <v>47.099999999999994</v>
      </c>
      <c r="L303" s="398"/>
      <c r="M303" s="403" t="str">
        <f t="shared" si="51"/>
        <v/>
      </c>
      <c r="N303" s="398"/>
      <c r="O303" s="403" t="str">
        <f t="shared" si="52"/>
        <v/>
      </c>
    </row>
    <row r="304" spans="2:15">
      <c r="B304" s="14"/>
      <c r="C304" s="17" t="s">
        <v>397</v>
      </c>
      <c r="D304" s="70" t="s">
        <v>347</v>
      </c>
      <c r="E304" s="18">
        <v>6.3</v>
      </c>
      <c r="F304" s="18">
        <f t="shared" si="50"/>
        <v>3</v>
      </c>
      <c r="G304" s="19">
        <f t="shared" si="45"/>
        <v>18.899999999999999</v>
      </c>
      <c r="H304" s="69">
        <v>0</v>
      </c>
      <c r="I304" s="18">
        <v>1</v>
      </c>
      <c r="J304" s="71">
        <f t="shared" si="46"/>
        <v>18.899999999999999</v>
      </c>
      <c r="K304" s="73" t="str">
        <f t="shared" si="47"/>
        <v xml:space="preserve"> </v>
      </c>
      <c r="L304" s="398"/>
      <c r="M304" s="403" t="str">
        <f t="shared" si="51"/>
        <v/>
      </c>
      <c r="N304" s="398"/>
      <c r="O304" s="403" t="str">
        <f t="shared" si="52"/>
        <v/>
      </c>
    </row>
    <row r="305" spans="2:15">
      <c r="B305" s="14"/>
      <c r="C305" s="17" t="s">
        <v>449</v>
      </c>
      <c r="D305" s="70" t="s">
        <v>348</v>
      </c>
      <c r="E305" s="18">
        <v>15.7</v>
      </c>
      <c r="F305" s="18">
        <f t="shared" si="50"/>
        <v>3</v>
      </c>
      <c r="G305" s="19">
        <f t="shared" si="45"/>
        <v>47.099999999999994</v>
      </c>
      <c r="H305" s="69">
        <v>0</v>
      </c>
      <c r="I305" s="18">
        <v>1</v>
      </c>
      <c r="J305" s="71" t="str">
        <f t="shared" si="46"/>
        <v xml:space="preserve"> </v>
      </c>
      <c r="K305" s="73">
        <f t="shared" si="47"/>
        <v>47.099999999999994</v>
      </c>
      <c r="L305" s="398"/>
      <c r="M305" s="403" t="str">
        <f t="shared" si="51"/>
        <v/>
      </c>
      <c r="N305" s="398"/>
      <c r="O305" s="403" t="str">
        <f t="shared" si="52"/>
        <v/>
      </c>
    </row>
    <row r="306" spans="2:15">
      <c r="B306" s="14"/>
      <c r="C306" s="17" t="s">
        <v>397</v>
      </c>
      <c r="D306" s="70" t="s">
        <v>347</v>
      </c>
      <c r="E306" s="18">
        <v>6.3</v>
      </c>
      <c r="F306" s="18">
        <f t="shared" si="50"/>
        <v>3</v>
      </c>
      <c r="G306" s="19">
        <f t="shared" si="45"/>
        <v>18.899999999999999</v>
      </c>
      <c r="H306" s="69">
        <v>0</v>
      </c>
      <c r="I306" s="18">
        <v>1</v>
      </c>
      <c r="J306" s="71">
        <f t="shared" si="46"/>
        <v>18.899999999999999</v>
      </c>
      <c r="K306" s="73" t="str">
        <f t="shared" si="47"/>
        <v xml:space="preserve"> </v>
      </c>
      <c r="L306" s="398"/>
      <c r="M306" s="403" t="str">
        <f t="shared" si="51"/>
        <v/>
      </c>
      <c r="N306" s="398"/>
      <c r="O306" s="403" t="str">
        <f t="shared" si="52"/>
        <v/>
      </c>
    </row>
    <row r="307" spans="2:15">
      <c r="B307" s="14"/>
      <c r="C307" s="17" t="s">
        <v>450</v>
      </c>
      <c r="D307" s="70" t="s">
        <v>348</v>
      </c>
      <c r="E307" s="18">
        <v>16.07</v>
      </c>
      <c r="F307" s="18">
        <f t="shared" si="50"/>
        <v>3</v>
      </c>
      <c r="G307" s="19">
        <f t="shared" si="45"/>
        <v>48.21</v>
      </c>
      <c r="H307" s="69">
        <v>0</v>
      </c>
      <c r="I307" s="18">
        <v>1</v>
      </c>
      <c r="J307" s="71" t="str">
        <f t="shared" si="46"/>
        <v xml:space="preserve"> </v>
      </c>
      <c r="K307" s="73">
        <f t="shared" si="47"/>
        <v>48.21</v>
      </c>
      <c r="L307" s="398"/>
      <c r="M307" s="403" t="str">
        <f t="shared" si="51"/>
        <v/>
      </c>
      <c r="N307" s="398"/>
      <c r="O307" s="403" t="str">
        <f t="shared" si="52"/>
        <v/>
      </c>
    </row>
    <row r="308" spans="2:15">
      <c r="B308" s="14"/>
      <c r="C308" s="17" t="s">
        <v>451</v>
      </c>
      <c r="D308" s="70" t="s">
        <v>348</v>
      </c>
      <c r="E308" s="18">
        <v>7.6</v>
      </c>
      <c r="F308" s="18">
        <f t="shared" si="50"/>
        <v>3</v>
      </c>
      <c r="G308" s="19">
        <f t="shared" si="45"/>
        <v>22.799999999999997</v>
      </c>
      <c r="H308" s="69">
        <v>0</v>
      </c>
      <c r="I308" s="18">
        <v>1</v>
      </c>
      <c r="J308" s="71" t="str">
        <f t="shared" si="46"/>
        <v xml:space="preserve"> </v>
      </c>
      <c r="K308" s="73">
        <f t="shared" si="47"/>
        <v>22.799999999999997</v>
      </c>
      <c r="L308" s="398"/>
      <c r="M308" s="403" t="str">
        <f t="shared" si="51"/>
        <v/>
      </c>
      <c r="N308" s="398"/>
      <c r="O308" s="403" t="str">
        <f t="shared" si="52"/>
        <v/>
      </c>
    </row>
    <row r="309" spans="2:15">
      <c r="B309" s="14"/>
      <c r="C309" s="17" t="s">
        <v>452</v>
      </c>
      <c r="D309" s="70" t="s">
        <v>348</v>
      </c>
      <c r="E309" s="18">
        <v>15.7</v>
      </c>
      <c r="F309" s="18">
        <f t="shared" si="50"/>
        <v>3</v>
      </c>
      <c r="G309" s="19">
        <f t="shared" si="45"/>
        <v>47.099999999999994</v>
      </c>
      <c r="H309" s="69">
        <v>0</v>
      </c>
      <c r="I309" s="18">
        <v>1</v>
      </c>
      <c r="J309" s="71" t="str">
        <f t="shared" si="46"/>
        <v xml:space="preserve"> </v>
      </c>
      <c r="K309" s="73">
        <f t="shared" si="47"/>
        <v>47.099999999999994</v>
      </c>
      <c r="L309" s="398"/>
      <c r="M309" s="403" t="str">
        <f t="shared" si="51"/>
        <v/>
      </c>
      <c r="N309" s="398"/>
      <c r="O309" s="403" t="str">
        <f t="shared" si="52"/>
        <v/>
      </c>
    </row>
    <row r="310" spans="2:15">
      <c r="B310" s="14"/>
      <c r="C310" s="17" t="s">
        <v>397</v>
      </c>
      <c r="D310" s="70" t="s">
        <v>347</v>
      </c>
      <c r="E310" s="18">
        <v>6.3</v>
      </c>
      <c r="F310" s="18">
        <f t="shared" si="50"/>
        <v>3</v>
      </c>
      <c r="G310" s="19">
        <f t="shared" si="45"/>
        <v>18.899999999999999</v>
      </c>
      <c r="H310" s="69">
        <v>0</v>
      </c>
      <c r="I310" s="18">
        <v>1</v>
      </c>
      <c r="J310" s="71">
        <f t="shared" si="46"/>
        <v>18.899999999999999</v>
      </c>
      <c r="K310" s="73" t="str">
        <f t="shared" si="47"/>
        <v xml:space="preserve"> </v>
      </c>
      <c r="L310" s="398"/>
      <c r="M310" s="403" t="str">
        <f t="shared" si="51"/>
        <v/>
      </c>
      <c r="N310" s="398"/>
      <c r="O310" s="403" t="str">
        <f t="shared" si="52"/>
        <v/>
      </c>
    </row>
    <row r="311" spans="2:15">
      <c r="B311" s="14"/>
      <c r="C311" s="17" t="s">
        <v>453</v>
      </c>
      <c r="D311" s="70" t="s">
        <v>348</v>
      </c>
      <c r="E311" s="18">
        <v>15.7</v>
      </c>
      <c r="F311" s="18">
        <f t="shared" si="50"/>
        <v>3</v>
      </c>
      <c r="G311" s="19">
        <f t="shared" si="45"/>
        <v>47.099999999999994</v>
      </c>
      <c r="H311" s="69">
        <v>0</v>
      </c>
      <c r="I311" s="18">
        <v>1</v>
      </c>
      <c r="J311" s="71" t="str">
        <f t="shared" si="46"/>
        <v xml:space="preserve"> </v>
      </c>
      <c r="K311" s="73">
        <f t="shared" si="47"/>
        <v>47.099999999999994</v>
      </c>
      <c r="L311" s="398"/>
      <c r="M311" s="403" t="str">
        <f t="shared" si="51"/>
        <v/>
      </c>
      <c r="N311" s="398"/>
      <c r="O311" s="403" t="str">
        <f t="shared" si="52"/>
        <v/>
      </c>
    </row>
    <row r="312" spans="2:15">
      <c r="B312" s="14"/>
      <c r="C312" s="17" t="s">
        <v>397</v>
      </c>
      <c r="D312" s="70" t="s">
        <v>347</v>
      </c>
      <c r="E312" s="18">
        <v>6.3</v>
      </c>
      <c r="F312" s="18">
        <f t="shared" si="50"/>
        <v>3</v>
      </c>
      <c r="G312" s="19">
        <f t="shared" si="45"/>
        <v>18.899999999999999</v>
      </c>
      <c r="H312" s="69">
        <v>0</v>
      </c>
      <c r="I312" s="18">
        <v>1</v>
      </c>
      <c r="J312" s="71">
        <f t="shared" si="46"/>
        <v>18.899999999999999</v>
      </c>
      <c r="K312" s="73" t="str">
        <f t="shared" si="47"/>
        <v xml:space="preserve"> </v>
      </c>
      <c r="L312" s="398"/>
      <c r="M312" s="403" t="str">
        <f t="shared" si="51"/>
        <v/>
      </c>
      <c r="N312" s="398"/>
      <c r="O312" s="403" t="str">
        <f t="shared" si="52"/>
        <v/>
      </c>
    </row>
    <row r="313" spans="2:15">
      <c r="B313" s="14"/>
      <c r="C313" s="17" t="s">
        <v>454</v>
      </c>
      <c r="D313" s="70" t="s">
        <v>348</v>
      </c>
      <c r="E313" s="18">
        <v>20.439999999999998</v>
      </c>
      <c r="F313" s="18">
        <f t="shared" si="50"/>
        <v>3</v>
      </c>
      <c r="G313" s="19">
        <f t="shared" si="45"/>
        <v>61.319999999999993</v>
      </c>
      <c r="H313" s="69">
        <v>0</v>
      </c>
      <c r="I313" s="18">
        <v>1</v>
      </c>
      <c r="J313" s="71" t="str">
        <f t="shared" si="46"/>
        <v xml:space="preserve"> </v>
      </c>
      <c r="K313" s="73">
        <f t="shared" si="47"/>
        <v>61.319999999999993</v>
      </c>
      <c r="L313" s="398"/>
      <c r="M313" s="403" t="str">
        <f t="shared" si="51"/>
        <v/>
      </c>
      <c r="N313" s="398"/>
      <c r="O313" s="403" t="str">
        <f t="shared" si="52"/>
        <v/>
      </c>
    </row>
    <row r="314" spans="2:15">
      <c r="B314" s="14"/>
      <c r="C314" s="17" t="s">
        <v>455</v>
      </c>
      <c r="D314" s="70" t="s">
        <v>348</v>
      </c>
      <c r="E314" s="18">
        <v>16.079999999999998</v>
      </c>
      <c r="F314" s="18">
        <f t="shared" si="50"/>
        <v>3</v>
      </c>
      <c r="G314" s="19">
        <f t="shared" si="45"/>
        <v>48.239999999999995</v>
      </c>
      <c r="H314" s="69">
        <v>0</v>
      </c>
      <c r="I314" s="18">
        <v>1</v>
      </c>
      <c r="J314" s="71" t="str">
        <f t="shared" si="46"/>
        <v xml:space="preserve"> </v>
      </c>
      <c r="K314" s="73">
        <f t="shared" si="47"/>
        <v>48.239999999999995</v>
      </c>
      <c r="L314" s="398"/>
      <c r="M314" s="403" t="str">
        <f t="shared" si="51"/>
        <v/>
      </c>
      <c r="N314" s="398"/>
      <c r="O314" s="403" t="str">
        <f t="shared" si="52"/>
        <v/>
      </c>
    </row>
    <row r="315" spans="2:15">
      <c r="B315" s="14"/>
      <c r="C315" s="17" t="s">
        <v>456</v>
      </c>
      <c r="D315" s="70" t="s">
        <v>348</v>
      </c>
      <c r="E315" s="18">
        <v>22.42</v>
      </c>
      <c r="F315" s="18">
        <f t="shared" si="50"/>
        <v>3</v>
      </c>
      <c r="G315" s="19">
        <f t="shared" si="45"/>
        <v>67.260000000000005</v>
      </c>
      <c r="H315" s="69">
        <v>0</v>
      </c>
      <c r="I315" s="18">
        <v>1</v>
      </c>
      <c r="J315" s="71" t="str">
        <f t="shared" si="46"/>
        <v xml:space="preserve"> </v>
      </c>
      <c r="K315" s="73">
        <f t="shared" si="47"/>
        <v>67.260000000000005</v>
      </c>
      <c r="L315" s="398"/>
      <c r="M315" s="403" t="str">
        <f t="shared" si="51"/>
        <v/>
      </c>
      <c r="N315" s="398"/>
      <c r="O315" s="403" t="str">
        <f t="shared" si="52"/>
        <v/>
      </c>
    </row>
    <row r="316" spans="2:15">
      <c r="B316" s="14"/>
      <c r="C316" s="17" t="s">
        <v>428</v>
      </c>
      <c r="D316" s="70" t="s">
        <v>347</v>
      </c>
      <c r="E316" s="18">
        <v>9.1999999999999993</v>
      </c>
      <c r="F316" s="18">
        <f t="shared" si="50"/>
        <v>3</v>
      </c>
      <c r="G316" s="19">
        <f t="shared" si="45"/>
        <v>27.599999999999998</v>
      </c>
      <c r="H316" s="69">
        <v>0</v>
      </c>
      <c r="I316" s="18">
        <v>1</v>
      </c>
      <c r="J316" s="71">
        <f t="shared" si="46"/>
        <v>27.599999999999998</v>
      </c>
      <c r="K316" s="73" t="str">
        <f t="shared" si="47"/>
        <v xml:space="preserve"> </v>
      </c>
      <c r="L316" s="398"/>
      <c r="M316" s="403" t="str">
        <f t="shared" si="51"/>
        <v/>
      </c>
      <c r="N316" s="398"/>
      <c r="O316" s="403" t="str">
        <f t="shared" si="52"/>
        <v/>
      </c>
    </row>
    <row r="317" spans="2:15">
      <c r="B317" s="14"/>
      <c r="C317" s="17" t="s">
        <v>529</v>
      </c>
      <c r="D317" s="70" t="s">
        <v>347</v>
      </c>
      <c r="E317" s="18">
        <v>14.1</v>
      </c>
      <c r="F317" s="18">
        <f t="shared" si="50"/>
        <v>3</v>
      </c>
      <c r="G317" s="19">
        <f t="shared" si="45"/>
        <v>42.3</v>
      </c>
      <c r="H317" s="69">
        <v>0</v>
      </c>
      <c r="I317" s="18">
        <v>1</v>
      </c>
      <c r="J317" s="71">
        <f t="shared" si="46"/>
        <v>42.3</v>
      </c>
      <c r="K317" s="73" t="str">
        <f t="shared" si="47"/>
        <v xml:space="preserve"> </v>
      </c>
      <c r="L317" s="398"/>
      <c r="M317" s="403" t="str">
        <f t="shared" si="51"/>
        <v/>
      </c>
      <c r="N317" s="398"/>
      <c r="O317" s="403" t="str">
        <f t="shared" si="52"/>
        <v/>
      </c>
    </row>
    <row r="318" spans="2:15">
      <c r="B318" s="14"/>
      <c r="C318" s="17" t="s">
        <v>307</v>
      </c>
      <c r="D318" s="70" t="s">
        <v>348</v>
      </c>
      <c r="E318" s="18">
        <v>11.8</v>
      </c>
      <c r="F318" s="18">
        <f t="shared" si="50"/>
        <v>3</v>
      </c>
      <c r="G318" s="19">
        <f t="shared" si="45"/>
        <v>35.400000000000006</v>
      </c>
      <c r="H318" s="69">
        <v>0</v>
      </c>
      <c r="I318" s="18">
        <v>1</v>
      </c>
      <c r="J318" s="71" t="str">
        <f t="shared" si="46"/>
        <v xml:space="preserve"> </v>
      </c>
      <c r="K318" s="73">
        <f t="shared" si="47"/>
        <v>35.400000000000006</v>
      </c>
      <c r="L318" s="398" t="s">
        <v>952</v>
      </c>
      <c r="M318" s="403">
        <f t="shared" si="51"/>
        <v>35.400000000000006</v>
      </c>
      <c r="N318" s="398"/>
      <c r="O318" s="403" t="str">
        <f t="shared" si="52"/>
        <v/>
      </c>
    </row>
    <row r="319" spans="2:15">
      <c r="B319" s="14"/>
      <c r="C319" s="17" t="s">
        <v>315</v>
      </c>
      <c r="D319" s="70" t="s">
        <v>348</v>
      </c>
      <c r="E319" s="18">
        <v>13.8</v>
      </c>
      <c r="F319" s="18">
        <f t="shared" si="50"/>
        <v>3</v>
      </c>
      <c r="G319" s="19">
        <f t="shared" ref="G319:G335" si="53">PRODUCT(E319,F319)</f>
        <v>41.400000000000006</v>
      </c>
      <c r="H319" s="69">
        <v>0</v>
      </c>
      <c r="I319" s="18">
        <v>1</v>
      </c>
      <c r="J319" s="71" t="str">
        <f t="shared" ref="J319:J335" si="54">IF(D319="Emboço",G319*I319," ")</f>
        <v xml:space="preserve"> </v>
      </c>
      <c r="K319" s="73">
        <f t="shared" ref="K319:K335" si="55">IF(D319="Reboco",G319*I319," ")</f>
        <v>41.400000000000006</v>
      </c>
      <c r="L319" s="398" t="s">
        <v>952</v>
      </c>
      <c r="M319" s="403">
        <f t="shared" ref="M319:M336" si="56">IF(L319="x",G319,"")</f>
        <v>41.400000000000006</v>
      </c>
      <c r="N319" s="398"/>
      <c r="O319" s="403" t="str">
        <f t="shared" ref="O319:O336" si="57">IF(N319="x",G319,"")</f>
        <v/>
      </c>
    </row>
    <row r="320" spans="2:15">
      <c r="B320" s="14"/>
      <c r="C320" s="17" t="s">
        <v>1183</v>
      </c>
      <c r="D320" s="70" t="s">
        <v>348</v>
      </c>
      <c r="E320" s="18">
        <v>36.85</v>
      </c>
      <c r="F320" s="18">
        <v>4.5</v>
      </c>
      <c r="G320" s="19">
        <f t="shared" si="53"/>
        <v>165.82500000000002</v>
      </c>
      <c r="H320" s="69">
        <v>0</v>
      </c>
      <c r="I320" s="18">
        <v>1</v>
      </c>
      <c r="J320" s="71" t="str">
        <f t="shared" si="54"/>
        <v xml:space="preserve"> </v>
      </c>
      <c r="K320" s="73">
        <f t="shared" si="55"/>
        <v>165.82500000000002</v>
      </c>
      <c r="L320" s="398" t="s">
        <v>952</v>
      </c>
      <c r="M320" s="403">
        <f t="shared" si="56"/>
        <v>165.82500000000002</v>
      </c>
      <c r="N320" s="398"/>
      <c r="O320" s="403" t="str">
        <f t="shared" si="57"/>
        <v/>
      </c>
    </row>
    <row r="321" spans="2:15">
      <c r="B321" s="14"/>
      <c r="C321" s="17" t="s">
        <v>457</v>
      </c>
      <c r="D321" s="70" t="s">
        <v>348</v>
      </c>
      <c r="E321" s="18">
        <v>20.240000000000002</v>
      </c>
      <c r="F321" s="18">
        <f t="shared" si="50"/>
        <v>3</v>
      </c>
      <c r="G321" s="19">
        <f t="shared" si="53"/>
        <v>60.720000000000006</v>
      </c>
      <c r="H321" s="69">
        <v>0</v>
      </c>
      <c r="I321" s="18">
        <v>1</v>
      </c>
      <c r="J321" s="71" t="str">
        <f t="shared" si="54"/>
        <v xml:space="preserve"> </v>
      </c>
      <c r="K321" s="73">
        <f t="shared" si="55"/>
        <v>60.720000000000006</v>
      </c>
      <c r="L321" s="398" t="s">
        <v>952</v>
      </c>
      <c r="M321" s="403">
        <f t="shared" si="56"/>
        <v>60.720000000000006</v>
      </c>
      <c r="N321" s="398"/>
      <c r="O321" s="403" t="str">
        <f t="shared" si="57"/>
        <v/>
      </c>
    </row>
    <row r="322" spans="2:15">
      <c r="B322" s="14"/>
      <c r="C322" s="17" t="s">
        <v>458</v>
      </c>
      <c r="D322" s="70" t="s">
        <v>348</v>
      </c>
      <c r="E322" s="18">
        <v>20.240000000000002</v>
      </c>
      <c r="F322" s="18">
        <f>$F$255</f>
        <v>3</v>
      </c>
      <c r="G322" s="19">
        <f t="shared" si="53"/>
        <v>60.720000000000006</v>
      </c>
      <c r="H322" s="69">
        <v>0</v>
      </c>
      <c r="I322" s="18">
        <v>1</v>
      </c>
      <c r="J322" s="71" t="str">
        <f t="shared" si="54"/>
        <v xml:space="preserve"> </v>
      </c>
      <c r="K322" s="73">
        <f t="shared" si="55"/>
        <v>60.720000000000006</v>
      </c>
      <c r="L322" s="398" t="s">
        <v>952</v>
      </c>
      <c r="M322" s="403">
        <f t="shared" si="56"/>
        <v>60.720000000000006</v>
      </c>
      <c r="N322" s="398"/>
      <c r="O322" s="403" t="str">
        <f t="shared" si="57"/>
        <v/>
      </c>
    </row>
    <row r="323" spans="2:15">
      <c r="B323" s="14"/>
      <c r="C323" s="17" t="s">
        <v>459</v>
      </c>
      <c r="D323" s="70" t="s">
        <v>348</v>
      </c>
      <c r="E323" s="18">
        <v>19.100000000000001</v>
      </c>
      <c r="F323" s="18">
        <f>$F$255</f>
        <v>3</v>
      </c>
      <c r="G323" s="19">
        <f t="shared" si="53"/>
        <v>57.300000000000004</v>
      </c>
      <c r="H323" s="69">
        <v>0</v>
      </c>
      <c r="I323" s="18">
        <v>1</v>
      </c>
      <c r="J323" s="71" t="str">
        <f t="shared" si="54"/>
        <v xml:space="preserve"> </v>
      </c>
      <c r="K323" s="73">
        <f t="shared" si="55"/>
        <v>57.300000000000004</v>
      </c>
      <c r="L323" s="398" t="s">
        <v>952</v>
      </c>
      <c r="M323" s="403">
        <f t="shared" si="56"/>
        <v>57.300000000000004</v>
      </c>
      <c r="N323" s="398"/>
      <c r="O323" s="403" t="str">
        <f t="shared" si="57"/>
        <v/>
      </c>
    </row>
    <row r="324" spans="2:15">
      <c r="B324" s="14"/>
      <c r="C324" s="17" t="s">
        <v>437</v>
      </c>
      <c r="D324" s="70" t="s">
        <v>348</v>
      </c>
      <c r="E324" s="18">
        <v>15</v>
      </c>
      <c r="F324" s="18">
        <v>4.5</v>
      </c>
      <c r="G324" s="19">
        <f t="shared" si="53"/>
        <v>67.5</v>
      </c>
      <c r="H324" s="69">
        <v>0</v>
      </c>
      <c r="I324" s="18">
        <v>1</v>
      </c>
      <c r="J324" s="71" t="str">
        <f t="shared" si="54"/>
        <v xml:space="preserve"> </v>
      </c>
      <c r="K324" s="73">
        <f t="shared" si="55"/>
        <v>67.5</v>
      </c>
      <c r="L324" s="398" t="s">
        <v>952</v>
      </c>
      <c r="M324" s="403">
        <f t="shared" si="56"/>
        <v>67.5</v>
      </c>
      <c r="N324" s="398"/>
      <c r="O324" s="403" t="str">
        <f t="shared" si="57"/>
        <v/>
      </c>
    </row>
    <row r="325" spans="2:15">
      <c r="B325" s="14"/>
      <c r="C325" s="17" t="s">
        <v>437</v>
      </c>
      <c r="D325" s="70" t="s">
        <v>348</v>
      </c>
      <c r="E325" s="18">
        <v>15</v>
      </c>
      <c r="F325" s="18">
        <v>1</v>
      </c>
      <c r="G325" s="19">
        <f t="shared" si="53"/>
        <v>15</v>
      </c>
      <c r="H325" s="69">
        <v>0</v>
      </c>
      <c r="I325" s="18">
        <v>1</v>
      </c>
      <c r="J325" s="71" t="str">
        <f t="shared" si="54"/>
        <v xml:space="preserve"> </v>
      </c>
      <c r="K325" s="73">
        <f t="shared" si="55"/>
        <v>15</v>
      </c>
      <c r="L325" s="398" t="s">
        <v>952</v>
      </c>
      <c r="M325" s="403">
        <f t="shared" si="56"/>
        <v>15</v>
      </c>
      <c r="N325" s="398"/>
      <c r="O325" s="403" t="str">
        <f t="shared" si="57"/>
        <v/>
      </c>
    </row>
    <row r="326" spans="2:15">
      <c r="B326" s="14"/>
      <c r="C326" s="17" t="s">
        <v>1184</v>
      </c>
      <c r="D326" s="70" t="s">
        <v>348</v>
      </c>
      <c r="E326" s="18">
        <v>7.44</v>
      </c>
      <c r="F326" s="18">
        <v>4.5</v>
      </c>
      <c r="G326" s="19">
        <f t="shared" si="53"/>
        <v>33.480000000000004</v>
      </c>
      <c r="H326" s="69">
        <v>0</v>
      </c>
      <c r="I326" s="18">
        <v>2</v>
      </c>
      <c r="J326" s="71" t="str">
        <f t="shared" si="54"/>
        <v xml:space="preserve"> </v>
      </c>
      <c r="K326" s="73">
        <f t="shared" si="55"/>
        <v>66.960000000000008</v>
      </c>
      <c r="L326" s="398" t="s">
        <v>952</v>
      </c>
      <c r="M326" s="403">
        <f t="shared" si="56"/>
        <v>33.480000000000004</v>
      </c>
      <c r="N326" s="398"/>
      <c r="O326" s="403" t="str">
        <f t="shared" si="57"/>
        <v/>
      </c>
    </row>
    <row r="327" spans="2:15">
      <c r="B327" s="14"/>
      <c r="C327" s="17" t="s">
        <v>1185</v>
      </c>
      <c r="D327" s="70" t="s">
        <v>348</v>
      </c>
      <c r="E327" s="18">
        <v>7.44</v>
      </c>
      <c r="F327" s="18">
        <v>4.5</v>
      </c>
      <c r="G327" s="19">
        <f t="shared" si="53"/>
        <v>33.480000000000004</v>
      </c>
      <c r="H327" s="69">
        <v>0</v>
      </c>
      <c r="I327" s="18">
        <v>2</v>
      </c>
      <c r="J327" s="71" t="str">
        <f t="shared" si="54"/>
        <v xml:space="preserve"> </v>
      </c>
      <c r="K327" s="73">
        <f t="shared" si="55"/>
        <v>66.960000000000008</v>
      </c>
      <c r="L327" s="398" t="s">
        <v>952</v>
      </c>
      <c r="M327" s="403">
        <f t="shared" si="56"/>
        <v>33.480000000000004</v>
      </c>
      <c r="N327" s="398"/>
      <c r="O327" s="403" t="str">
        <f t="shared" si="57"/>
        <v/>
      </c>
    </row>
    <row r="328" spans="2:15">
      <c r="B328" s="14"/>
      <c r="C328" s="26" t="s">
        <v>1186</v>
      </c>
      <c r="D328" s="70" t="s">
        <v>347</v>
      </c>
      <c r="E328" s="18">
        <v>27.35</v>
      </c>
      <c r="F328" s="18">
        <v>4.5</v>
      </c>
      <c r="G328" s="19">
        <f t="shared" si="53"/>
        <v>123.075</v>
      </c>
      <c r="H328" s="69">
        <v>0</v>
      </c>
      <c r="I328" s="18">
        <v>1</v>
      </c>
      <c r="J328" s="71">
        <f t="shared" si="54"/>
        <v>123.075</v>
      </c>
      <c r="K328" s="73" t="str">
        <f t="shared" si="55"/>
        <v xml:space="preserve"> </v>
      </c>
      <c r="L328" s="398"/>
      <c r="M328" s="403" t="str">
        <f t="shared" si="56"/>
        <v/>
      </c>
      <c r="N328" s="398"/>
      <c r="O328" s="403" t="str">
        <f t="shared" si="57"/>
        <v/>
      </c>
    </row>
    <row r="329" spans="2:15">
      <c r="B329" s="14"/>
      <c r="C329" s="26" t="s">
        <v>1186</v>
      </c>
      <c r="D329" s="70" t="s">
        <v>347</v>
      </c>
      <c r="E329" s="18">
        <v>19.7</v>
      </c>
      <c r="F329" s="18">
        <v>1</v>
      </c>
      <c r="G329" s="19">
        <f t="shared" si="53"/>
        <v>19.7</v>
      </c>
      <c r="H329" s="69">
        <v>0</v>
      </c>
      <c r="I329" s="18">
        <v>1</v>
      </c>
      <c r="J329" s="71">
        <f t="shared" si="54"/>
        <v>19.7</v>
      </c>
      <c r="K329" s="73" t="str">
        <f t="shared" si="55"/>
        <v xml:space="preserve"> </v>
      </c>
      <c r="L329" s="398"/>
      <c r="M329" s="403" t="str">
        <f t="shared" si="56"/>
        <v/>
      </c>
      <c r="N329" s="398"/>
      <c r="O329" s="403" t="str">
        <f t="shared" si="57"/>
        <v/>
      </c>
    </row>
    <row r="330" spans="2:15">
      <c r="B330" s="14"/>
      <c r="C330" s="26" t="s">
        <v>1187</v>
      </c>
      <c r="D330" s="70" t="s">
        <v>347</v>
      </c>
      <c r="E330" s="18">
        <f>23.8+10.35</f>
        <v>34.15</v>
      </c>
      <c r="F330" s="18">
        <v>4.5</v>
      </c>
      <c r="G330" s="19">
        <f t="shared" si="53"/>
        <v>153.67499999999998</v>
      </c>
      <c r="H330" s="69">
        <v>0</v>
      </c>
      <c r="I330" s="18">
        <v>1</v>
      </c>
      <c r="J330" s="71">
        <f t="shared" si="54"/>
        <v>153.67499999999998</v>
      </c>
      <c r="K330" s="73" t="str">
        <f t="shared" si="55"/>
        <v xml:space="preserve"> </v>
      </c>
      <c r="L330" s="398"/>
      <c r="M330" s="403" t="str">
        <f t="shared" si="56"/>
        <v/>
      </c>
      <c r="N330" s="398"/>
      <c r="O330" s="403" t="str">
        <f t="shared" si="57"/>
        <v/>
      </c>
    </row>
    <row r="331" spans="2:15">
      <c r="B331" s="14"/>
      <c r="C331" s="26" t="s">
        <v>1187</v>
      </c>
      <c r="D331" s="70" t="s">
        <v>347</v>
      </c>
      <c r="E331" s="18">
        <f>9.9+10.8</f>
        <v>20.700000000000003</v>
      </c>
      <c r="F331" s="18">
        <f>1.95+1</f>
        <v>2.95</v>
      </c>
      <c r="G331" s="19">
        <f t="shared" si="53"/>
        <v>61.065000000000012</v>
      </c>
      <c r="H331" s="69">
        <v>0</v>
      </c>
      <c r="I331" s="18">
        <v>1</v>
      </c>
      <c r="J331" s="71">
        <f t="shared" si="54"/>
        <v>61.065000000000012</v>
      </c>
      <c r="K331" s="73" t="str">
        <f t="shared" si="55"/>
        <v xml:space="preserve"> </v>
      </c>
      <c r="L331" s="398"/>
      <c r="M331" s="403" t="str">
        <f t="shared" si="56"/>
        <v/>
      </c>
      <c r="N331" s="398"/>
      <c r="O331" s="403" t="str">
        <f t="shared" si="57"/>
        <v/>
      </c>
    </row>
    <row r="332" spans="2:15">
      <c r="B332" s="14"/>
      <c r="C332" s="26" t="s">
        <v>1187</v>
      </c>
      <c r="D332" s="70" t="s">
        <v>347</v>
      </c>
      <c r="E332" s="18">
        <v>15.3</v>
      </c>
      <c r="F332" s="18">
        <v>1</v>
      </c>
      <c r="G332" s="19">
        <f t="shared" si="53"/>
        <v>15.3</v>
      </c>
      <c r="H332" s="69">
        <v>0</v>
      </c>
      <c r="I332" s="18">
        <v>1</v>
      </c>
      <c r="J332" s="71">
        <f t="shared" si="54"/>
        <v>15.3</v>
      </c>
      <c r="K332" s="73" t="str">
        <f t="shared" si="55"/>
        <v xml:space="preserve"> </v>
      </c>
      <c r="L332" s="398"/>
      <c r="M332" s="403" t="str">
        <f t="shared" si="56"/>
        <v/>
      </c>
      <c r="N332" s="398"/>
      <c r="O332" s="403" t="str">
        <f t="shared" si="57"/>
        <v/>
      </c>
    </row>
    <row r="333" spans="2:15">
      <c r="B333" s="14"/>
      <c r="C333" s="26" t="s">
        <v>1188</v>
      </c>
      <c r="D333" s="70" t="s">
        <v>347</v>
      </c>
      <c r="E333" s="18">
        <v>38.75</v>
      </c>
      <c r="F333" s="18">
        <f>1.95+1</f>
        <v>2.95</v>
      </c>
      <c r="G333" s="19">
        <f t="shared" si="53"/>
        <v>114.3125</v>
      </c>
      <c r="H333" s="69">
        <v>0</v>
      </c>
      <c r="I333" s="18">
        <v>1</v>
      </c>
      <c r="J333" s="71">
        <f t="shared" si="54"/>
        <v>114.3125</v>
      </c>
      <c r="K333" s="73" t="str">
        <f t="shared" si="55"/>
        <v xml:space="preserve"> </v>
      </c>
      <c r="L333" s="398"/>
      <c r="M333" s="403" t="str">
        <f t="shared" si="56"/>
        <v/>
      </c>
      <c r="N333" s="398"/>
      <c r="O333" s="403" t="str">
        <f t="shared" si="57"/>
        <v/>
      </c>
    </row>
    <row r="334" spans="2:15">
      <c r="B334" s="14"/>
      <c r="C334" s="26" t="s">
        <v>1189</v>
      </c>
      <c r="D334" s="70" t="s">
        <v>347</v>
      </c>
      <c r="E334" s="18">
        <v>16.5</v>
      </c>
      <c r="F334" s="18">
        <v>4.5</v>
      </c>
      <c r="G334" s="19">
        <f t="shared" si="53"/>
        <v>74.25</v>
      </c>
      <c r="H334" s="69">
        <v>0</v>
      </c>
      <c r="I334" s="18">
        <v>1</v>
      </c>
      <c r="J334" s="71">
        <f t="shared" si="54"/>
        <v>74.25</v>
      </c>
      <c r="K334" s="73" t="str">
        <f t="shared" si="55"/>
        <v xml:space="preserve"> </v>
      </c>
      <c r="L334" s="398"/>
      <c r="M334" s="403" t="str">
        <f t="shared" si="56"/>
        <v/>
      </c>
      <c r="N334" s="398"/>
      <c r="O334" s="403" t="str">
        <f t="shared" si="57"/>
        <v/>
      </c>
    </row>
    <row r="335" spans="2:15">
      <c r="B335" s="14"/>
      <c r="C335" s="26" t="s">
        <v>1189</v>
      </c>
      <c r="D335" s="70" t="s">
        <v>347</v>
      </c>
      <c r="E335" s="18">
        <v>32.450000000000003</v>
      </c>
      <c r="F335" s="18">
        <f>1.95+1</f>
        <v>2.95</v>
      </c>
      <c r="G335" s="19">
        <f t="shared" si="53"/>
        <v>95.72750000000002</v>
      </c>
      <c r="H335" s="69">
        <v>0</v>
      </c>
      <c r="I335" s="18">
        <v>1</v>
      </c>
      <c r="J335" s="71">
        <f t="shared" si="54"/>
        <v>95.72750000000002</v>
      </c>
      <c r="K335" s="73" t="str">
        <f t="shared" si="55"/>
        <v xml:space="preserve"> </v>
      </c>
      <c r="L335" s="398"/>
      <c r="M335" s="403" t="str">
        <f t="shared" si="56"/>
        <v/>
      </c>
      <c r="N335" s="398"/>
      <c r="O335" s="403" t="str">
        <f t="shared" si="57"/>
        <v/>
      </c>
    </row>
    <row r="336" spans="2:15">
      <c r="L336" s="398"/>
      <c r="M336" s="403" t="str">
        <f t="shared" si="56"/>
        <v/>
      </c>
      <c r="N336" s="398"/>
      <c r="O336" s="403" t="str">
        <f t="shared" si="57"/>
        <v/>
      </c>
    </row>
    <row r="337" spans="2:15">
      <c r="B337" s="14" t="s">
        <v>152</v>
      </c>
      <c r="C337" s="1004" t="s">
        <v>150</v>
      </c>
      <c r="D337" s="1004"/>
      <c r="E337" s="1004"/>
      <c r="F337" s="1004"/>
      <c r="G337" s="1004"/>
      <c r="H337" s="1004"/>
      <c r="I337" s="1004"/>
      <c r="J337" s="76">
        <f>SUM(J338:J408)</f>
        <v>1232.8825000000002</v>
      </c>
      <c r="K337" s="400">
        <f>SUM(K338:K408)</f>
        <v>4065.4050000000002</v>
      </c>
      <c r="L337" s="398"/>
      <c r="M337" s="400">
        <f>SUM(M338:M408)</f>
        <v>968.92500000000007</v>
      </c>
      <c r="N337" s="398"/>
      <c r="O337" s="400">
        <f>SUM(O338:O408)</f>
        <v>774.0300000000002</v>
      </c>
    </row>
    <row r="338" spans="2:15">
      <c r="B338" s="14"/>
      <c r="C338" s="17" t="s">
        <v>295</v>
      </c>
      <c r="D338" s="70" t="s">
        <v>348</v>
      </c>
      <c r="E338" s="18">
        <f>77.75+68.75</f>
        <v>146.5</v>
      </c>
      <c r="F338" s="18">
        <f>$I$24</f>
        <v>3</v>
      </c>
      <c r="G338" s="19">
        <f t="shared" ref="G338:G408" si="58">PRODUCT(E338,F338)</f>
        <v>439.5</v>
      </c>
      <c r="H338" s="69">
        <v>0</v>
      </c>
      <c r="I338" s="18">
        <v>1</v>
      </c>
      <c r="J338" s="71" t="str">
        <f t="shared" ref="J338:J401" si="59">IF(D338="Emboço",G338*I338," ")</f>
        <v xml:space="preserve"> </v>
      </c>
      <c r="K338" s="73">
        <f t="shared" ref="K338:K401" si="60">IF(D338="Reboco",G338*I338," ")</f>
        <v>439.5</v>
      </c>
      <c r="L338" s="398" t="s">
        <v>952</v>
      </c>
      <c r="M338" s="403">
        <f t="shared" ref="M338:M369" si="61">IF(L338="x",G338,"")</f>
        <v>439.5</v>
      </c>
      <c r="N338" s="398"/>
      <c r="O338" s="403" t="str">
        <f t="shared" ref="O338:O369" si="62">IF(N338="x",G338,"")</f>
        <v/>
      </c>
    </row>
    <row r="339" spans="2:15">
      <c r="B339" s="14"/>
      <c r="C339" s="17" t="s">
        <v>408</v>
      </c>
      <c r="D339" s="70" t="s">
        <v>348</v>
      </c>
      <c r="E339" s="18">
        <v>28.06</v>
      </c>
      <c r="F339" s="18">
        <f t="shared" ref="F339:F391" si="63">$F$338</f>
        <v>3</v>
      </c>
      <c r="G339" s="19">
        <f t="shared" si="58"/>
        <v>84.179999999999993</v>
      </c>
      <c r="H339" s="69">
        <v>0</v>
      </c>
      <c r="I339" s="18">
        <v>1</v>
      </c>
      <c r="J339" s="71" t="str">
        <f t="shared" si="59"/>
        <v xml:space="preserve"> </v>
      </c>
      <c r="K339" s="73">
        <f t="shared" si="60"/>
        <v>84.179999999999993</v>
      </c>
      <c r="L339" s="398"/>
      <c r="M339" s="403" t="str">
        <f t="shared" si="61"/>
        <v/>
      </c>
      <c r="N339" s="398"/>
      <c r="O339" s="403" t="str">
        <f t="shared" si="62"/>
        <v/>
      </c>
    </row>
    <row r="340" spans="2:15">
      <c r="B340" s="14"/>
      <c r="C340" s="17" t="s">
        <v>460</v>
      </c>
      <c r="D340" s="70" t="s">
        <v>347</v>
      </c>
      <c r="E340" s="18">
        <v>6.76</v>
      </c>
      <c r="F340" s="18">
        <f t="shared" si="63"/>
        <v>3</v>
      </c>
      <c r="G340" s="19">
        <f t="shared" si="58"/>
        <v>20.28</v>
      </c>
      <c r="H340" s="69">
        <v>0</v>
      </c>
      <c r="I340" s="18">
        <v>1</v>
      </c>
      <c r="J340" s="71">
        <f t="shared" si="59"/>
        <v>20.28</v>
      </c>
      <c r="K340" s="73" t="str">
        <f t="shared" si="60"/>
        <v xml:space="preserve"> </v>
      </c>
      <c r="L340" s="398"/>
      <c r="M340" s="403" t="str">
        <f t="shared" si="61"/>
        <v/>
      </c>
      <c r="N340" s="398"/>
      <c r="O340" s="403" t="str">
        <f t="shared" si="62"/>
        <v/>
      </c>
    </row>
    <row r="341" spans="2:15">
      <c r="B341" s="14"/>
      <c r="C341" s="17" t="s">
        <v>461</v>
      </c>
      <c r="D341" s="70" t="s">
        <v>347</v>
      </c>
      <c r="E341" s="18">
        <v>6.76</v>
      </c>
      <c r="F341" s="18">
        <f t="shared" si="63"/>
        <v>3</v>
      </c>
      <c r="G341" s="19">
        <f t="shared" si="58"/>
        <v>20.28</v>
      </c>
      <c r="H341" s="69">
        <v>0</v>
      </c>
      <c r="I341" s="18">
        <v>1</v>
      </c>
      <c r="J341" s="71">
        <f t="shared" si="59"/>
        <v>20.28</v>
      </c>
      <c r="K341" s="73" t="str">
        <f t="shared" si="60"/>
        <v xml:space="preserve"> </v>
      </c>
      <c r="L341" s="398"/>
      <c r="M341" s="403" t="str">
        <f t="shared" si="61"/>
        <v/>
      </c>
      <c r="N341" s="398"/>
      <c r="O341" s="403" t="str">
        <f t="shared" si="62"/>
        <v/>
      </c>
    </row>
    <row r="342" spans="2:15">
      <c r="B342" s="14"/>
      <c r="C342" s="17" t="s">
        <v>296</v>
      </c>
      <c r="D342" s="70" t="s">
        <v>348</v>
      </c>
      <c r="E342" s="18">
        <v>64.38</v>
      </c>
      <c r="F342" s="18">
        <f t="shared" si="63"/>
        <v>3</v>
      </c>
      <c r="G342" s="19">
        <f t="shared" si="58"/>
        <v>193.14</v>
      </c>
      <c r="H342" s="69">
        <v>0</v>
      </c>
      <c r="I342" s="18">
        <v>1</v>
      </c>
      <c r="J342" s="71" t="str">
        <f t="shared" si="59"/>
        <v xml:space="preserve"> </v>
      </c>
      <c r="K342" s="73">
        <f t="shared" si="60"/>
        <v>193.14</v>
      </c>
      <c r="L342" s="398"/>
      <c r="M342" s="403" t="str">
        <f t="shared" si="61"/>
        <v/>
      </c>
      <c r="N342" s="398"/>
      <c r="O342" s="403" t="str">
        <f t="shared" si="62"/>
        <v/>
      </c>
    </row>
    <row r="343" spans="2:15">
      <c r="B343" s="14"/>
      <c r="C343" s="17" t="s">
        <v>408</v>
      </c>
      <c r="D343" s="70" t="s">
        <v>348</v>
      </c>
      <c r="E343" s="18">
        <v>36.619999999999997</v>
      </c>
      <c r="F343" s="18">
        <f t="shared" si="63"/>
        <v>3</v>
      </c>
      <c r="G343" s="19">
        <f t="shared" si="58"/>
        <v>109.85999999999999</v>
      </c>
      <c r="H343" s="69">
        <v>0</v>
      </c>
      <c r="I343" s="18">
        <v>1</v>
      </c>
      <c r="J343" s="71" t="str">
        <f t="shared" si="59"/>
        <v xml:space="preserve"> </v>
      </c>
      <c r="K343" s="73">
        <f t="shared" si="60"/>
        <v>109.85999999999999</v>
      </c>
      <c r="L343" s="398"/>
      <c r="M343" s="403" t="str">
        <f t="shared" si="61"/>
        <v/>
      </c>
      <c r="N343" s="398"/>
      <c r="O343" s="403" t="str">
        <f t="shared" si="62"/>
        <v/>
      </c>
    </row>
    <row r="344" spans="2:15">
      <c r="B344" s="14"/>
      <c r="C344" s="17" t="s">
        <v>357</v>
      </c>
      <c r="D344" s="70" t="s">
        <v>347</v>
      </c>
      <c r="E344" s="18">
        <v>7.1</v>
      </c>
      <c r="F344" s="18">
        <f t="shared" si="63"/>
        <v>3</v>
      </c>
      <c r="G344" s="19">
        <f t="shared" si="58"/>
        <v>21.299999999999997</v>
      </c>
      <c r="H344" s="69">
        <v>0</v>
      </c>
      <c r="I344" s="18">
        <v>1</v>
      </c>
      <c r="J344" s="71">
        <f t="shared" si="59"/>
        <v>21.299999999999997</v>
      </c>
      <c r="K344" s="73" t="str">
        <f t="shared" si="60"/>
        <v xml:space="preserve"> </v>
      </c>
      <c r="L344" s="398"/>
      <c r="M344" s="403" t="str">
        <f t="shared" si="61"/>
        <v/>
      </c>
      <c r="N344" s="398"/>
      <c r="O344" s="403" t="str">
        <f t="shared" si="62"/>
        <v/>
      </c>
    </row>
    <row r="345" spans="2:15">
      <c r="B345" s="14"/>
      <c r="C345" s="17" t="s">
        <v>356</v>
      </c>
      <c r="D345" s="70" t="s">
        <v>347</v>
      </c>
      <c r="E345" s="18">
        <v>7.1</v>
      </c>
      <c r="F345" s="18">
        <f t="shared" si="63"/>
        <v>3</v>
      </c>
      <c r="G345" s="19">
        <f t="shared" si="58"/>
        <v>21.299999999999997</v>
      </c>
      <c r="H345" s="69">
        <v>0</v>
      </c>
      <c r="I345" s="18">
        <v>1</v>
      </c>
      <c r="J345" s="71">
        <f t="shared" si="59"/>
        <v>21.299999999999997</v>
      </c>
      <c r="K345" s="73" t="str">
        <f t="shared" si="60"/>
        <v xml:space="preserve"> </v>
      </c>
      <c r="L345" s="398"/>
      <c r="M345" s="403" t="str">
        <f t="shared" si="61"/>
        <v/>
      </c>
      <c r="N345" s="398"/>
      <c r="O345" s="403" t="str">
        <f t="shared" si="62"/>
        <v/>
      </c>
    </row>
    <row r="346" spans="2:15">
      <c r="B346" s="14"/>
      <c r="C346" s="17" t="s">
        <v>462</v>
      </c>
      <c r="D346" s="70" t="s">
        <v>348</v>
      </c>
      <c r="E346" s="18">
        <v>111.75</v>
      </c>
      <c r="F346" s="18">
        <f t="shared" si="63"/>
        <v>3</v>
      </c>
      <c r="G346" s="19">
        <f t="shared" si="58"/>
        <v>335.25</v>
      </c>
      <c r="H346" s="69">
        <v>0</v>
      </c>
      <c r="I346" s="18">
        <v>1</v>
      </c>
      <c r="J346" s="71" t="str">
        <f t="shared" si="59"/>
        <v xml:space="preserve"> </v>
      </c>
      <c r="K346" s="73">
        <f t="shared" si="60"/>
        <v>335.25</v>
      </c>
      <c r="L346" s="398"/>
      <c r="M346" s="403" t="str">
        <f t="shared" si="61"/>
        <v/>
      </c>
      <c r="N346" s="398"/>
      <c r="O346" s="403" t="str">
        <f t="shared" si="62"/>
        <v/>
      </c>
    </row>
    <row r="347" spans="2:15">
      <c r="B347" s="14"/>
      <c r="C347" s="17" t="s">
        <v>463</v>
      </c>
      <c r="D347" s="70" t="s">
        <v>348</v>
      </c>
      <c r="E347" s="18">
        <v>17.84</v>
      </c>
      <c r="F347" s="18">
        <f t="shared" si="63"/>
        <v>3</v>
      </c>
      <c r="G347" s="19">
        <f t="shared" si="58"/>
        <v>53.519999999999996</v>
      </c>
      <c r="H347" s="69">
        <v>0</v>
      </c>
      <c r="I347" s="18">
        <v>1</v>
      </c>
      <c r="J347" s="71" t="str">
        <f t="shared" si="59"/>
        <v xml:space="preserve"> </v>
      </c>
      <c r="K347" s="73">
        <f t="shared" si="60"/>
        <v>53.519999999999996</v>
      </c>
      <c r="L347" s="398"/>
      <c r="M347" s="403" t="str">
        <f t="shared" si="61"/>
        <v/>
      </c>
      <c r="N347" s="398"/>
      <c r="O347" s="403" t="str">
        <f t="shared" si="62"/>
        <v/>
      </c>
    </row>
    <row r="348" spans="2:15">
      <c r="B348" s="14"/>
      <c r="C348" s="17" t="s">
        <v>464</v>
      </c>
      <c r="D348" s="70" t="s">
        <v>348</v>
      </c>
      <c r="E348" s="18">
        <v>19.75</v>
      </c>
      <c r="F348" s="18">
        <f t="shared" si="63"/>
        <v>3</v>
      </c>
      <c r="G348" s="19">
        <f t="shared" si="58"/>
        <v>59.25</v>
      </c>
      <c r="H348" s="69">
        <v>0</v>
      </c>
      <c r="I348" s="18">
        <v>1</v>
      </c>
      <c r="J348" s="71" t="str">
        <f t="shared" si="59"/>
        <v xml:space="preserve"> </v>
      </c>
      <c r="K348" s="73">
        <f t="shared" si="60"/>
        <v>59.25</v>
      </c>
      <c r="L348" s="398"/>
      <c r="M348" s="403" t="str">
        <f t="shared" si="61"/>
        <v/>
      </c>
      <c r="N348" s="398"/>
      <c r="O348" s="403" t="str">
        <f t="shared" si="62"/>
        <v/>
      </c>
    </row>
    <row r="349" spans="2:15">
      <c r="B349" s="14"/>
      <c r="C349" s="17" t="s">
        <v>465</v>
      </c>
      <c r="D349" s="70" t="s">
        <v>347</v>
      </c>
      <c r="E349" s="18">
        <v>27.8</v>
      </c>
      <c r="F349" s="18">
        <f t="shared" si="63"/>
        <v>3</v>
      </c>
      <c r="G349" s="19">
        <f t="shared" si="58"/>
        <v>83.4</v>
      </c>
      <c r="H349" s="69">
        <v>0</v>
      </c>
      <c r="I349" s="18">
        <v>1</v>
      </c>
      <c r="J349" s="71">
        <f t="shared" si="59"/>
        <v>83.4</v>
      </c>
      <c r="K349" s="73" t="str">
        <f t="shared" si="60"/>
        <v xml:space="preserve"> </v>
      </c>
      <c r="L349" s="398"/>
      <c r="M349" s="403" t="str">
        <f t="shared" si="61"/>
        <v/>
      </c>
      <c r="N349" s="398"/>
      <c r="O349" s="403" t="str">
        <f t="shared" si="62"/>
        <v/>
      </c>
    </row>
    <row r="350" spans="2:15">
      <c r="B350" s="14"/>
      <c r="C350" s="17" t="s">
        <v>466</v>
      </c>
      <c r="D350" s="70" t="s">
        <v>347</v>
      </c>
      <c r="E350" s="18">
        <v>24.3</v>
      </c>
      <c r="F350" s="18">
        <f t="shared" si="63"/>
        <v>3</v>
      </c>
      <c r="G350" s="19">
        <f t="shared" si="58"/>
        <v>72.900000000000006</v>
      </c>
      <c r="H350" s="69">
        <v>0</v>
      </c>
      <c r="I350" s="18">
        <v>1</v>
      </c>
      <c r="J350" s="71">
        <f t="shared" si="59"/>
        <v>72.900000000000006</v>
      </c>
      <c r="K350" s="73" t="str">
        <f t="shared" si="60"/>
        <v xml:space="preserve"> </v>
      </c>
      <c r="L350" s="398"/>
      <c r="M350" s="403" t="str">
        <f t="shared" si="61"/>
        <v/>
      </c>
      <c r="N350" s="398"/>
      <c r="O350" s="403" t="str">
        <f t="shared" si="62"/>
        <v/>
      </c>
    </row>
    <row r="351" spans="2:15">
      <c r="B351" s="14"/>
      <c r="C351" s="17" t="s">
        <v>467</v>
      </c>
      <c r="D351" s="70" t="s">
        <v>348</v>
      </c>
      <c r="E351" s="18">
        <v>14.72</v>
      </c>
      <c r="F351" s="18">
        <f t="shared" si="63"/>
        <v>3</v>
      </c>
      <c r="G351" s="19">
        <f t="shared" si="58"/>
        <v>44.160000000000004</v>
      </c>
      <c r="H351" s="69">
        <v>0</v>
      </c>
      <c r="I351" s="18">
        <v>1</v>
      </c>
      <c r="J351" s="71" t="str">
        <f t="shared" si="59"/>
        <v xml:space="preserve"> </v>
      </c>
      <c r="K351" s="73">
        <f t="shared" si="60"/>
        <v>44.160000000000004</v>
      </c>
      <c r="L351" s="398"/>
      <c r="M351" s="403" t="str">
        <f t="shared" si="61"/>
        <v/>
      </c>
      <c r="N351" s="398"/>
      <c r="O351" s="403" t="str">
        <f t="shared" si="62"/>
        <v/>
      </c>
    </row>
    <row r="352" spans="2:15">
      <c r="B352" s="14"/>
      <c r="C352" s="17" t="s">
        <v>423</v>
      </c>
      <c r="D352" s="70" t="s">
        <v>348</v>
      </c>
      <c r="E352" s="18">
        <v>16.18</v>
      </c>
      <c r="F352" s="18">
        <f t="shared" si="63"/>
        <v>3</v>
      </c>
      <c r="G352" s="19">
        <f t="shared" si="58"/>
        <v>48.54</v>
      </c>
      <c r="H352" s="69">
        <v>0</v>
      </c>
      <c r="I352" s="18">
        <v>1</v>
      </c>
      <c r="J352" s="71" t="str">
        <f t="shared" si="59"/>
        <v xml:space="preserve"> </v>
      </c>
      <c r="K352" s="73">
        <f t="shared" si="60"/>
        <v>48.54</v>
      </c>
      <c r="L352" s="398"/>
      <c r="M352" s="403" t="str">
        <f t="shared" si="61"/>
        <v/>
      </c>
      <c r="N352" s="398"/>
      <c r="O352" s="403" t="str">
        <f t="shared" si="62"/>
        <v/>
      </c>
    </row>
    <row r="353" spans="2:15">
      <c r="B353" s="14"/>
      <c r="C353" s="17" t="s">
        <v>315</v>
      </c>
      <c r="D353" s="70" t="s">
        <v>348</v>
      </c>
      <c r="E353" s="18">
        <v>16.649999999999999</v>
      </c>
      <c r="F353" s="18">
        <f t="shared" si="63"/>
        <v>3</v>
      </c>
      <c r="G353" s="19">
        <f t="shared" si="58"/>
        <v>49.949999999999996</v>
      </c>
      <c r="H353" s="69">
        <v>0</v>
      </c>
      <c r="I353" s="18">
        <v>1</v>
      </c>
      <c r="J353" s="71" t="str">
        <f t="shared" si="59"/>
        <v xml:space="preserve"> </v>
      </c>
      <c r="K353" s="73">
        <f t="shared" si="60"/>
        <v>49.949999999999996</v>
      </c>
      <c r="L353" s="398"/>
      <c r="M353" s="403" t="str">
        <f t="shared" si="61"/>
        <v/>
      </c>
      <c r="N353" s="398"/>
      <c r="O353" s="403" t="str">
        <f t="shared" si="62"/>
        <v/>
      </c>
    </row>
    <row r="354" spans="2:15">
      <c r="B354" s="14"/>
      <c r="C354" s="17" t="s">
        <v>468</v>
      </c>
      <c r="D354" s="70" t="s">
        <v>348</v>
      </c>
      <c r="E354" s="18">
        <v>24.619999999999997</v>
      </c>
      <c r="F354" s="18">
        <f t="shared" si="63"/>
        <v>3</v>
      </c>
      <c r="G354" s="19">
        <f t="shared" si="58"/>
        <v>73.859999999999985</v>
      </c>
      <c r="H354" s="69">
        <v>0</v>
      </c>
      <c r="I354" s="18">
        <v>1</v>
      </c>
      <c r="J354" s="71" t="str">
        <f t="shared" si="59"/>
        <v xml:space="preserve"> </v>
      </c>
      <c r="K354" s="73">
        <f t="shared" si="60"/>
        <v>73.859999999999985</v>
      </c>
      <c r="L354" s="398"/>
      <c r="M354" s="403" t="str">
        <f t="shared" si="61"/>
        <v/>
      </c>
      <c r="N354" s="398"/>
      <c r="O354" s="403" t="str">
        <f t="shared" si="62"/>
        <v/>
      </c>
    </row>
    <row r="355" spans="2:15">
      <c r="B355" s="14"/>
      <c r="C355" s="17" t="s">
        <v>468</v>
      </c>
      <c r="D355" s="70" t="s">
        <v>348</v>
      </c>
      <c r="E355" s="18">
        <v>24.32</v>
      </c>
      <c r="F355" s="18">
        <f t="shared" si="63"/>
        <v>3</v>
      </c>
      <c r="G355" s="19">
        <f t="shared" si="58"/>
        <v>72.960000000000008</v>
      </c>
      <c r="H355" s="69">
        <v>0</v>
      </c>
      <c r="I355" s="18">
        <v>1</v>
      </c>
      <c r="J355" s="71" t="str">
        <f t="shared" si="59"/>
        <v xml:space="preserve"> </v>
      </c>
      <c r="K355" s="73">
        <f t="shared" si="60"/>
        <v>72.960000000000008</v>
      </c>
      <c r="L355" s="398"/>
      <c r="M355" s="403" t="str">
        <f t="shared" si="61"/>
        <v/>
      </c>
      <c r="N355" s="398"/>
      <c r="O355" s="403" t="str">
        <f t="shared" si="62"/>
        <v/>
      </c>
    </row>
    <row r="356" spans="2:15">
      <c r="B356" s="14"/>
      <c r="C356" s="17" t="s">
        <v>469</v>
      </c>
      <c r="D356" s="70" t="s">
        <v>348</v>
      </c>
      <c r="E356" s="18">
        <v>25.72</v>
      </c>
      <c r="F356" s="18">
        <f t="shared" si="63"/>
        <v>3</v>
      </c>
      <c r="G356" s="19">
        <f t="shared" si="58"/>
        <v>77.16</v>
      </c>
      <c r="H356" s="69">
        <v>0</v>
      </c>
      <c r="I356" s="18">
        <v>1</v>
      </c>
      <c r="J356" s="71" t="str">
        <f t="shared" si="59"/>
        <v xml:space="preserve"> </v>
      </c>
      <c r="K356" s="73">
        <f t="shared" si="60"/>
        <v>77.16</v>
      </c>
      <c r="L356" s="398"/>
      <c r="M356" s="403" t="str">
        <f t="shared" si="61"/>
        <v/>
      </c>
      <c r="N356" s="398"/>
      <c r="O356" s="403" t="str">
        <f t="shared" si="62"/>
        <v/>
      </c>
    </row>
    <row r="357" spans="2:15">
      <c r="B357" s="14"/>
      <c r="C357" s="17" t="s">
        <v>407</v>
      </c>
      <c r="D357" s="70" t="s">
        <v>348</v>
      </c>
      <c r="E357" s="18">
        <v>14.35</v>
      </c>
      <c r="F357" s="18">
        <f t="shared" si="63"/>
        <v>3</v>
      </c>
      <c r="G357" s="19">
        <f t="shared" si="58"/>
        <v>43.05</v>
      </c>
      <c r="H357" s="69">
        <v>0</v>
      </c>
      <c r="I357" s="18">
        <v>1</v>
      </c>
      <c r="J357" s="71" t="str">
        <f t="shared" si="59"/>
        <v xml:space="preserve"> </v>
      </c>
      <c r="K357" s="73">
        <f t="shared" si="60"/>
        <v>43.05</v>
      </c>
      <c r="L357" s="398"/>
      <c r="M357" s="403" t="str">
        <f t="shared" si="61"/>
        <v/>
      </c>
      <c r="N357" s="398"/>
      <c r="O357" s="403" t="str">
        <f t="shared" si="62"/>
        <v/>
      </c>
    </row>
    <row r="358" spans="2:15">
      <c r="B358" s="14"/>
      <c r="C358" s="17" t="s">
        <v>471</v>
      </c>
      <c r="D358" s="70" t="s">
        <v>348</v>
      </c>
      <c r="E358" s="18">
        <v>14.35</v>
      </c>
      <c r="F358" s="18">
        <f t="shared" si="63"/>
        <v>3</v>
      </c>
      <c r="G358" s="19">
        <f t="shared" si="58"/>
        <v>43.05</v>
      </c>
      <c r="H358" s="69">
        <v>0</v>
      </c>
      <c r="I358" s="18">
        <v>1</v>
      </c>
      <c r="J358" s="71" t="str">
        <f t="shared" si="59"/>
        <v xml:space="preserve"> </v>
      </c>
      <c r="K358" s="73">
        <f t="shared" si="60"/>
        <v>43.05</v>
      </c>
      <c r="L358" s="398"/>
      <c r="M358" s="403" t="str">
        <f t="shared" si="61"/>
        <v/>
      </c>
      <c r="N358" s="398" t="s">
        <v>952</v>
      </c>
      <c r="O358" s="403">
        <f t="shared" si="62"/>
        <v>43.05</v>
      </c>
    </row>
    <row r="359" spans="2:15">
      <c r="B359" s="14"/>
      <c r="C359" s="17" t="s">
        <v>462</v>
      </c>
      <c r="D359" s="70" t="s">
        <v>348</v>
      </c>
      <c r="E359" s="18">
        <v>106.52</v>
      </c>
      <c r="F359" s="18">
        <f t="shared" si="63"/>
        <v>3</v>
      </c>
      <c r="G359" s="19">
        <f t="shared" si="58"/>
        <v>319.56</v>
      </c>
      <c r="H359" s="69">
        <v>0</v>
      </c>
      <c r="I359" s="18">
        <v>1</v>
      </c>
      <c r="J359" s="71" t="str">
        <f t="shared" si="59"/>
        <v xml:space="preserve"> </v>
      </c>
      <c r="K359" s="73">
        <f t="shared" si="60"/>
        <v>319.56</v>
      </c>
      <c r="L359" s="398"/>
      <c r="M359" s="403" t="str">
        <f t="shared" si="61"/>
        <v/>
      </c>
      <c r="N359" s="398" t="s">
        <v>952</v>
      </c>
      <c r="O359" s="403">
        <f t="shared" si="62"/>
        <v>319.56</v>
      </c>
    </row>
    <row r="360" spans="2:15">
      <c r="B360" s="14"/>
      <c r="C360" s="17" t="s">
        <v>472</v>
      </c>
      <c r="D360" s="70" t="s">
        <v>347</v>
      </c>
      <c r="E360" s="18">
        <v>15.5</v>
      </c>
      <c r="F360" s="18">
        <f t="shared" si="63"/>
        <v>3</v>
      </c>
      <c r="G360" s="19">
        <f t="shared" si="58"/>
        <v>46.5</v>
      </c>
      <c r="H360" s="69">
        <v>0</v>
      </c>
      <c r="I360" s="18">
        <v>1</v>
      </c>
      <c r="J360" s="71">
        <f t="shared" si="59"/>
        <v>46.5</v>
      </c>
      <c r="K360" s="73" t="str">
        <f t="shared" si="60"/>
        <v xml:space="preserve"> </v>
      </c>
      <c r="L360" s="398"/>
      <c r="M360" s="403" t="str">
        <f t="shared" si="61"/>
        <v/>
      </c>
      <c r="N360" s="398"/>
      <c r="O360" s="403" t="str">
        <f t="shared" si="62"/>
        <v/>
      </c>
    </row>
    <row r="361" spans="2:15">
      <c r="B361" s="14"/>
      <c r="C361" s="17" t="s">
        <v>473</v>
      </c>
      <c r="D361" s="70" t="s">
        <v>348</v>
      </c>
      <c r="E361" s="18">
        <v>14.8</v>
      </c>
      <c r="F361" s="18">
        <f t="shared" si="63"/>
        <v>3</v>
      </c>
      <c r="G361" s="19">
        <f t="shared" si="58"/>
        <v>44.400000000000006</v>
      </c>
      <c r="H361" s="69">
        <v>0</v>
      </c>
      <c r="I361" s="18">
        <v>1</v>
      </c>
      <c r="J361" s="71" t="str">
        <f t="shared" si="59"/>
        <v xml:space="preserve"> </v>
      </c>
      <c r="K361" s="73">
        <f t="shared" si="60"/>
        <v>44.400000000000006</v>
      </c>
      <c r="L361" s="398"/>
      <c r="M361" s="403" t="str">
        <f t="shared" si="61"/>
        <v/>
      </c>
      <c r="N361" s="398"/>
      <c r="O361" s="403" t="str">
        <f t="shared" si="62"/>
        <v/>
      </c>
    </row>
    <row r="362" spans="2:15">
      <c r="B362" s="14"/>
      <c r="C362" s="17" t="s">
        <v>474</v>
      </c>
      <c r="D362" s="70" t="s">
        <v>348</v>
      </c>
      <c r="E362" s="18">
        <v>25</v>
      </c>
      <c r="F362" s="18">
        <f t="shared" si="63"/>
        <v>3</v>
      </c>
      <c r="G362" s="19">
        <f t="shared" si="58"/>
        <v>75</v>
      </c>
      <c r="H362" s="69">
        <v>0</v>
      </c>
      <c r="I362" s="18">
        <v>1</v>
      </c>
      <c r="J362" s="71" t="str">
        <f t="shared" si="59"/>
        <v xml:space="preserve"> </v>
      </c>
      <c r="K362" s="73">
        <f t="shared" si="60"/>
        <v>75</v>
      </c>
      <c r="L362" s="398"/>
      <c r="M362" s="403" t="str">
        <f t="shared" si="61"/>
        <v/>
      </c>
      <c r="N362" s="398"/>
      <c r="O362" s="403" t="str">
        <f t="shared" si="62"/>
        <v/>
      </c>
    </row>
    <row r="363" spans="2:15">
      <c r="B363" s="14"/>
      <c r="C363" s="17" t="s">
        <v>476</v>
      </c>
      <c r="D363" s="70" t="s">
        <v>347</v>
      </c>
      <c r="E363" s="18">
        <v>24.22</v>
      </c>
      <c r="F363" s="18">
        <f t="shared" si="63"/>
        <v>3</v>
      </c>
      <c r="G363" s="19">
        <f t="shared" si="58"/>
        <v>72.66</v>
      </c>
      <c r="H363" s="69">
        <v>0</v>
      </c>
      <c r="I363" s="18">
        <v>1</v>
      </c>
      <c r="J363" s="71">
        <f t="shared" si="59"/>
        <v>72.66</v>
      </c>
      <c r="K363" s="73" t="str">
        <f t="shared" si="60"/>
        <v xml:space="preserve"> </v>
      </c>
      <c r="L363" s="398"/>
      <c r="M363" s="403" t="str">
        <f t="shared" si="61"/>
        <v/>
      </c>
      <c r="N363" s="398"/>
      <c r="O363" s="403" t="str">
        <f t="shared" si="62"/>
        <v/>
      </c>
    </row>
    <row r="364" spans="2:15">
      <c r="B364" s="14"/>
      <c r="C364" s="17" t="s">
        <v>477</v>
      </c>
      <c r="D364" s="70" t="s">
        <v>348</v>
      </c>
      <c r="E364" s="18">
        <v>21.8</v>
      </c>
      <c r="F364" s="18">
        <f t="shared" si="63"/>
        <v>3</v>
      </c>
      <c r="G364" s="19">
        <f t="shared" si="58"/>
        <v>65.400000000000006</v>
      </c>
      <c r="H364" s="69">
        <v>0</v>
      </c>
      <c r="I364" s="18">
        <v>1</v>
      </c>
      <c r="J364" s="71" t="str">
        <f t="shared" si="59"/>
        <v xml:space="preserve"> </v>
      </c>
      <c r="K364" s="73">
        <f t="shared" si="60"/>
        <v>65.400000000000006</v>
      </c>
      <c r="L364" s="398"/>
      <c r="M364" s="403" t="str">
        <f t="shared" si="61"/>
        <v/>
      </c>
      <c r="N364" s="398"/>
      <c r="O364" s="403" t="str">
        <f t="shared" si="62"/>
        <v/>
      </c>
    </row>
    <row r="365" spans="2:15">
      <c r="B365" s="14"/>
      <c r="C365" s="17" t="s">
        <v>428</v>
      </c>
      <c r="D365" s="70" t="s">
        <v>347</v>
      </c>
      <c r="E365" s="18">
        <v>9.1999999999999993</v>
      </c>
      <c r="F365" s="18">
        <f t="shared" si="63"/>
        <v>3</v>
      </c>
      <c r="G365" s="19">
        <f t="shared" si="58"/>
        <v>27.599999999999998</v>
      </c>
      <c r="H365" s="69">
        <v>0</v>
      </c>
      <c r="I365" s="18">
        <v>1</v>
      </c>
      <c r="J365" s="71">
        <f t="shared" si="59"/>
        <v>27.599999999999998</v>
      </c>
      <c r="K365" s="73" t="str">
        <f t="shared" si="60"/>
        <v xml:space="preserve"> </v>
      </c>
      <c r="L365" s="398"/>
      <c r="M365" s="403" t="str">
        <f t="shared" si="61"/>
        <v/>
      </c>
      <c r="N365" s="398"/>
      <c r="O365" s="403" t="str">
        <f t="shared" si="62"/>
        <v/>
      </c>
    </row>
    <row r="366" spans="2:15">
      <c r="B366" s="14"/>
      <c r="C366" s="26" t="s">
        <v>478</v>
      </c>
      <c r="D366" s="70" t="s">
        <v>348</v>
      </c>
      <c r="E366" s="18">
        <v>21.8</v>
      </c>
      <c r="F366" s="18">
        <f t="shared" si="63"/>
        <v>3</v>
      </c>
      <c r="G366" s="19">
        <f t="shared" si="58"/>
        <v>65.400000000000006</v>
      </c>
      <c r="H366" s="69">
        <v>0</v>
      </c>
      <c r="I366" s="18">
        <v>1</v>
      </c>
      <c r="J366" s="71" t="str">
        <f t="shared" si="59"/>
        <v xml:space="preserve"> </v>
      </c>
      <c r="K366" s="73">
        <f t="shared" si="60"/>
        <v>65.400000000000006</v>
      </c>
      <c r="L366" s="398"/>
      <c r="M366" s="403" t="str">
        <f t="shared" si="61"/>
        <v/>
      </c>
      <c r="N366" s="398"/>
      <c r="O366" s="403" t="str">
        <f t="shared" si="62"/>
        <v/>
      </c>
    </row>
    <row r="367" spans="2:15">
      <c r="B367" s="14"/>
      <c r="C367" s="17" t="s">
        <v>428</v>
      </c>
      <c r="D367" s="70" t="s">
        <v>347</v>
      </c>
      <c r="E367" s="18">
        <v>9.1999999999999993</v>
      </c>
      <c r="F367" s="18">
        <f t="shared" si="63"/>
        <v>3</v>
      </c>
      <c r="G367" s="19">
        <f t="shared" si="58"/>
        <v>27.599999999999998</v>
      </c>
      <c r="H367" s="69">
        <v>0</v>
      </c>
      <c r="I367" s="18">
        <v>1</v>
      </c>
      <c r="J367" s="71">
        <f t="shared" si="59"/>
        <v>27.599999999999998</v>
      </c>
      <c r="K367" s="73" t="str">
        <f t="shared" si="60"/>
        <v xml:space="preserve"> </v>
      </c>
      <c r="L367" s="398"/>
      <c r="M367" s="403" t="str">
        <f t="shared" si="61"/>
        <v/>
      </c>
      <c r="N367" s="398"/>
      <c r="O367" s="403" t="str">
        <f t="shared" si="62"/>
        <v/>
      </c>
    </row>
    <row r="368" spans="2:15">
      <c r="B368" s="14"/>
      <c r="C368" s="17" t="s">
        <v>479</v>
      </c>
      <c r="D368" s="70" t="s">
        <v>348</v>
      </c>
      <c r="E368" s="18">
        <v>21.78</v>
      </c>
      <c r="F368" s="18">
        <f t="shared" si="63"/>
        <v>3</v>
      </c>
      <c r="G368" s="19">
        <f t="shared" si="58"/>
        <v>65.34</v>
      </c>
      <c r="H368" s="69">
        <v>0</v>
      </c>
      <c r="I368" s="18">
        <v>1</v>
      </c>
      <c r="J368" s="71" t="str">
        <f t="shared" si="59"/>
        <v xml:space="preserve"> </v>
      </c>
      <c r="K368" s="73">
        <f t="shared" si="60"/>
        <v>65.34</v>
      </c>
      <c r="L368" s="398"/>
      <c r="M368" s="403" t="str">
        <f t="shared" si="61"/>
        <v/>
      </c>
      <c r="N368" s="398"/>
      <c r="O368" s="403" t="str">
        <f t="shared" si="62"/>
        <v/>
      </c>
    </row>
    <row r="369" spans="2:15">
      <c r="B369" s="14"/>
      <c r="C369" s="17" t="s">
        <v>428</v>
      </c>
      <c r="D369" s="70" t="s">
        <v>347</v>
      </c>
      <c r="E369" s="18">
        <v>9.1999999999999993</v>
      </c>
      <c r="F369" s="18">
        <f t="shared" si="63"/>
        <v>3</v>
      </c>
      <c r="G369" s="19">
        <f t="shared" si="58"/>
        <v>27.599999999999998</v>
      </c>
      <c r="H369" s="69">
        <v>0</v>
      </c>
      <c r="I369" s="18">
        <v>1</v>
      </c>
      <c r="J369" s="71">
        <f t="shared" si="59"/>
        <v>27.599999999999998</v>
      </c>
      <c r="K369" s="73" t="str">
        <f t="shared" si="60"/>
        <v xml:space="preserve"> </v>
      </c>
      <c r="L369" s="398"/>
      <c r="M369" s="403" t="str">
        <f t="shared" si="61"/>
        <v/>
      </c>
      <c r="N369" s="398"/>
      <c r="O369" s="403" t="str">
        <f t="shared" si="62"/>
        <v/>
      </c>
    </row>
    <row r="370" spans="2:15">
      <c r="B370" s="14"/>
      <c r="C370" s="17" t="s">
        <v>480</v>
      </c>
      <c r="D370" s="70" t="s">
        <v>348</v>
      </c>
      <c r="E370" s="18">
        <v>21.78</v>
      </c>
      <c r="F370" s="18">
        <f t="shared" si="63"/>
        <v>3</v>
      </c>
      <c r="G370" s="19">
        <f t="shared" si="58"/>
        <v>65.34</v>
      </c>
      <c r="H370" s="69">
        <v>0</v>
      </c>
      <c r="I370" s="18">
        <v>1</v>
      </c>
      <c r="J370" s="71" t="str">
        <f t="shared" si="59"/>
        <v xml:space="preserve"> </v>
      </c>
      <c r="K370" s="73">
        <f t="shared" si="60"/>
        <v>65.34</v>
      </c>
      <c r="L370" s="398"/>
      <c r="M370" s="403" t="str">
        <f t="shared" ref="M370:M401" si="64">IF(L370="x",G370,"")</f>
        <v/>
      </c>
      <c r="N370" s="398"/>
      <c r="O370" s="403" t="str">
        <f t="shared" ref="O370:O401" si="65">IF(N370="x",G370,"")</f>
        <v/>
      </c>
    </row>
    <row r="371" spans="2:15">
      <c r="B371" s="14"/>
      <c r="C371" s="17" t="s">
        <v>428</v>
      </c>
      <c r="D371" s="70" t="s">
        <v>347</v>
      </c>
      <c r="E371" s="18">
        <v>9.1999999999999993</v>
      </c>
      <c r="F371" s="18">
        <f t="shared" si="63"/>
        <v>3</v>
      </c>
      <c r="G371" s="19">
        <f t="shared" si="58"/>
        <v>27.599999999999998</v>
      </c>
      <c r="H371" s="69">
        <v>0</v>
      </c>
      <c r="I371" s="18">
        <v>1</v>
      </c>
      <c r="J371" s="71">
        <f t="shared" si="59"/>
        <v>27.599999999999998</v>
      </c>
      <c r="K371" s="73" t="str">
        <f t="shared" si="60"/>
        <v xml:space="preserve"> </v>
      </c>
      <c r="L371" s="398"/>
      <c r="M371" s="403" t="str">
        <f t="shared" si="64"/>
        <v/>
      </c>
      <c r="N371" s="398"/>
      <c r="O371" s="403" t="str">
        <f t="shared" si="65"/>
        <v/>
      </c>
    </row>
    <row r="372" spans="2:15">
      <c r="B372" s="14"/>
      <c r="C372" s="141" t="s">
        <v>481</v>
      </c>
      <c r="D372" s="70" t="s">
        <v>348</v>
      </c>
      <c r="E372" s="18">
        <v>18.239999999999998</v>
      </c>
      <c r="F372" s="18">
        <f t="shared" si="63"/>
        <v>3</v>
      </c>
      <c r="G372" s="19">
        <f t="shared" si="58"/>
        <v>54.72</v>
      </c>
      <c r="H372" s="69">
        <v>0</v>
      </c>
      <c r="I372" s="18">
        <v>1</v>
      </c>
      <c r="J372" s="71" t="str">
        <f t="shared" si="59"/>
        <v xml:space="preserve"> </v>
      </c>
      <c r="K372" s="73">
        <f t="shared" si="60"/>
        <v>54.72</v>
      </c>
      <c r="L372" s="398"/>
      <c r="M372" s="403" t="str">
        <f t="shared" si="64"/>
        <v/>
      </c>
      <c r="N372" s="398" t="s">
        <v>952</v>
      </c>
      <c r="O372" s="403">
        <f t="shared" si="65"/>
        <v>54.72</v>
      </c>
    </row>
    <row r="373" spans="2:15">
      <c r="B373" s="14"/>
      <c r="C373" s="141" t="s">
        <v>482</v>
      </c>
      <c r="D373" s="70" t="s">
        <v>348</v>
      </c>
      <c r="E373" s="18">
        <v>18.239999999999998</v>
      </c>
      <c r="F373" s="18">
        <f t="shared" si="63"/>
        <v>3</v>
      </c>
      <c r="G373" s="19">
        <f t="shared" si="58"/>
        <v>54.72</v>
      </c>
      <c r="H373" s="69">
        <v>0</v>
      </c>
      <c r="I373" s="18">
        <v>1</v>
      </c>
      <c r="J373" s="71" t="str">
        <f t="shared" si="59"/>
        <v xml:space="preserve"> </v>
      </c>
      <c r="K373" s="73">
        <f t="shared" si="60"/>
        <v>54.72</v>
      </c>
      <c r="L373" s="398"/>
      <c r="M373" s="403" t="str">
        <f t="shared" si="64"/>
        <v/>
      </c>
      <c r="N373" s="398" t="s">
        <v>952</v>
      </c>
      <c r="O373" s="403">
        <f t="shared" si="65"/>
        <v>54.72</v>
      </c>
    </row>
    <row r="374" spans="2:15">
      <c r="B374" s="14"/>
      <c r="C374" s="141" t="s">
        <v>483</v>
      </c>
      <c r="D374" s="70" t="s">
        <v>348</v>
      </c>
      <c r="E374" s="18">
        <v>17.91</v>
      </c>
      <c r="F374" s="18">
        <f t="shared" si="63"/>
        <v>3</v>
      </c>
      <c r="G374" s="19">
        <f t="shared" si="58"/>
        <v>53.730000000000004</v>
      </c>
      <c r="H374" s="69">
        <v>0</v>
      </c>
      <c r="I374" s="18">
        <v>1</v>
      </c>
      <c r="J374" s="71" t="str">
        <f t="shared" si="59"/>
        <v xml:space="preserve"> </v>
      </c>
      <c r="K374" s="73">
        <f t="shared" si="60"/>
        <v>53.730000000000004</v>
      </c>
      <c r="L374" s="398"/>
      <c r="M374" s="403" t="str">
        <f t="shared" si="64"/>
        <v/>
      </c>
      <c r="N374" s="398" t="s">
        <v>952</v>
      </c>
      <c r="O374" s="403">
        <f t="shared" si="65"/>
        <v>53.730000000000004</v>
      </c>
    </row>
    <row r="375" spans="2:15">
      <c r="B375" s="14"/>
      <c r="C375" s="141" t="s">
        <v>484</v>
      </c>
      <c r="D375" s="70" t="s">
        <v>348</v>
      </c>
      <c r="E375" s="18">
        <v>17.91</v>
      </c>
      <c r="F375" s="18">
        <f t="shared" si="63"/>
        <v>3</v>
      </c>
      <c r="G375" s="19">
        <f t="shared" si="58"/>
        <v>53.730000000000004</v>
      </c>
      <c r="H375" s="69">
        <v>0</v>
      </c>
      <c r="I375" s="18">
        <v>1</v>
      </c>
      <c r="J375" s="71" t="str">
        <f t="shared" si="59"/>
        <v xml:space="preserve"> </v>
      </c>
      <c r="K375" s="73">
        <f t="shared" si="60"/>
        <v>53.730000000000004</v>
      </c>
      <c r="L375" s="398"/>
      <c r="M375" s="403" t="str">
        <f t="shared" si="64"/>
        <v/>
      </c>
      <c r="N375" s="398" t="s">
        <v>952</v>
      </c>
      <c r="O375" s="403">
        <f t="shared" si="65"/>
        <v>53.730000000000004</v>
      </c>
    </row>
    <row r="376" spans="2:15">
      <c r="B376" s="14"/>
      <c r="C376" s="141" t="s">
        <v>485</v>
      </c>
      <c r="D376" s="70" t="s">
        <v>348</v>
      </c>
      <c r="E376" s="18">
        <v>17.91</v>
      </c>
      <c r="F376" s="18">
        <f t="shared" si="63"/>
        <v>3</v>
      </c>
      <c r="G376" s="19">
        <f t="shared" si="58"/>
        <v>53.730000000000004</v>
      </c>
      <c r="H376" s="69">
        <v>0</v>
      </c>
      <c r="I376" s="18">
        <v>1</v>
      </c>
      <c r="J376" s="71" t="str">
        <f t="shared" si="59"/>
        <v xml:space="preserve"> </v>
      </c>
      <c r="K376" s="73">
        <f t="shared" si="60"/>
        <v>53.730000000000004</v>
      </c>
      <c r="L376" s="398"/>
      <c r="M376" s="403" t="str">
        <f t="shared" si="64"/>
        <v/>
      </c>
      <c r="N376" s="398" t="s">
        <v>952</v>
      </c>
      <c r="O376" s="403">
        <f t="shared" si="65"/>
        <v>53.730000000000004</v>
      </c>
    </row>
    <row r="377" spans="2:15">
      <c r="B377" s="14"/>
      <c r="C377" s="141" t="s">
        <v>486</v>
      </c>
      <c r="D377" s="70" t="s">
        <v>348</v>
      </c>
      <c r="E377" s="18">
        <v>17.91</v>
      </c>
      <c r="F377" s="18">
        <f t="shared" si="63"/>
        <v>3</v>
      </c>
      <c r="G377" s="19">
        <f t="shared" si="58"/>
        <v>53.730000000000004</v>
      </c>
      <c r="H377" s="69">
        <v>0</v>
      </c>
      <c r="I377" s="18">
        <v>1</v>
      </c>
      <c r="J377" s="71" t="str">
        <f t="shared" si="59"/>
        <v xml:space="preserve"> </v>
      </c>
      <c r="K377" s="73">
        <f t="shared" si="60"/>
        <v>53.730000000000004</v>
      </c>
      <c r="L377" s="398"/>
      <c r="M377" s="403" t="str">
        <f t="shared" si="64"/>
        <v/>
      </c>
      <c r="N377" s="398" t="s">
        <v>952</v>
      </c>
      <c r="O377" s="403">
        <f t="shared" si="65"/>
        <v>53.730000000000004</v>
      </c>
    </row>
    <row r="378" spans="2:15">
      <c r="B378" s="14"/>
      <c r="C378" s="17" t="s">
        <v>487</v>
      </c>
      <c r="D378" s="70" t="s">
        <v>348</v>
      </c>
      <c r="E378" s="18">
        <v>51.36</v>
      </c>
      <c r="F378" s="18">
        <f t="shared" si="63"/>
        <v>3</v>
      </c>
      <c r="G378" s="19">
        <f t="shared" si="58"/>
        <v>154.07999999999998</v>
      </c>
      <c r="H378" s="69">
        <v>0</v>
      </c>
      <c r="I378" s="18">
        <v>1</v>
      </c>
      <c r="J378" s="71" t="str">
        <f t="shared" si="59"/>
        <v xml:space="preserve"> </v>
      </c>
      <c r="K378" s="73">
        <f t="shared" si="60"/>
        <v>154.07999999999998</v>
      </c>
      <c r="L378" s="398"/>
      <c r="M378" s="403" t="str">
        <f t="shared" si="64"/>
        <v/>
      </c>
      <c r="N378" s="398"/>
      <c r="O378" s="403" t="str">
        <f t="shared" si="65"/>
        <v/>
      </c>
    </row>
    <row r="379" spans="2:15">
      <c r="B379" s="14"/>
      <c r="C379" s="26" t="s">
        <v>474</v>
      </c>
      <c r="D379" s="70" t="s">
        <v>348</v>
      </c>
      <c r="E379" s="18">
        <v>18.05</v>
      </c>
      <c r="F379" s="18">
        <f t="shared" si="63"/>
        <v>3</v>
      </c>
      <c r="G379" s="19">
        <f t="shared" si="58"/>
        <v>54.150000000000006</v>
      </c>
      <c r="H379" s="69">
        <v>0</v>
      </c>
      <c r="I379" s="18">
        <v>1</v>
      </c>
      <c r="J379" s="71" t="str">
        <f t="shared" si="59"/>
        <v xml:space="preserve"> </v>
      </c>
      <c r="K379" s="73">
        <f t="shared" si="60"/>
        <v>54.150000000000006</v>
      </c>
      <c r="L379" s="398"/>
      <c r="M379" s="403" t="str">
        <f t="shared" si="64"/>
        <v/>
      </c>
      <c r="N379" s="398"/>
      <c r="O379" s="403" t="str">
        <f t="shared" si="65"/>
        <v/>
      </c>
    </row>
    <row r="380" spans="2:15">
      <c r="B380" s="14"/>
      <c r="C380" s="17" t="s">
        <v>488</v>
      </c>
      <c r="D380" s="70" t="s">
        <v>348</v>
      </c>
      <c r="E380" s="18">
        <v>21.8</v>
      </c>
      <c r="F380" s="18">
        <f t="shared" si="63"/>
        <v>3</v>
      </c>
      <c r="G380" s="19">
        <f t="shared" si="58"/>
        <v>65.400000000000006</v>
      </c>
      <c r="H380" s="69">
        <v>0</v>
      </c>
      <c r="I380" s="18">
        <v>1</v>
      </c>
      <c r="J380" s="71" t="str">
        <f t="shared" si="59"/>
        <v xml:space="preserve"> </v>
      </c>
      <c r="K380" s="73">
        <f t="shared" si="60"/>
        <v>65.400000000000006</v>
      </c>
      <c r="L380" s="398"/>
      <c r="M380" s="403" t="str">
        <f t="shared" si="64"/>
        <v/>
      </c>
      <c r="N380" s="398"/>
      <c r="O380" s="403" t="str">
        <f t="shared" si="65"/>
        <v/>
      </c>
    </row>
    <row r="381" spans="2:15">
      <c r="B381" s="14"/>
      <c r="C381" s="17" t="s">
        <v>428</v>
      </c>
      <c r="D381" s="70" t="s">
        <v>347</v>
      </c>
      <c r="E381" s="18">
        <v>9.1999999999999993</v>
      </c>
      <c r="F381" s="18">
        <f t="shared" si="63"/>
        <v>3</v>
      </c>
      <c r="G381" s="19">
        <f t="shared" si="58"/>
        <v>27.599999999999998</v>
      </c>
      <c r="H381" s="69">
        <v>0</v>
      </c>
      <c r="I381" s="18">
        <v>1</v>
      </c>
      <c r="J381" s="71">
        <f t="shared" si="59"/>
        <v>27.599999999999998</v>
      </c>
      <c r="K381" s="73" t="str">
        <f t="shared" si="60"/>
        <v xml:space="preserve"> </v>
      </c>
      <c r="L381" s="398"/>
      <c r="M381" s="403" t="str">
        <f t="shared" si="64"/>
        <v/>
      </c>
      <c r="N381" s="398"/>
      <c r="O381" s="403" t="str">
        <f t="shared" si="65"/>
        <v/>
      </c>
    </row>
    <row r="382" spans="2:15">
      <c r="B382" s="14"/>
      <c r="C382" s="17" t="s">
        <v>489</v>
      </c>
      <c r="D382" s="70" t="s">
        <v>348</v>
      </c>
      <c r="E382" s="18">
        <v>21.8</v>
      </c>
      <c r="F382" s="18">
        <f t="shared" si="63"/>
        <v>3</v>
      </c>
      <c r="G382" s="19">
        <f t="shared" si="58"/>
        <v>65.400000000000006</v>
      </c>
      <c r="H382" s="69">
        <v>0</v>
      </c>
      <c r="I382" s="18">
        <v>1</v>
      </c>
      <c r="J382" s="71" t="str">
        <f t="shared" si="59"/>
        <v xml:space="preserve"> </v>
      </c>
      <c r="K382" s="73">
        <f t="shared" si="60"/>
        <v>65.400000000000006</v>
      </c>
      <c r="L382" s="398"/>
      <c r="M382" s="403" t="str">
        <f t="shared" si="64"/>
        <v/>
      </c>
      <c r="N382" s="398"/>
      <c r="O382" s="403" t="str">
        <f t="shared" si="65"/>
        <v/>
      </c>
    </row>
    <row r="383" spans="2:15">
      <c r="B383" s="14"/>
      <c r="C383" s="17" t="s">
        <v>428</v>
      </c>
      <c r="D383" s="70" t="s">
        <v>347</v>
      </c>
      <c r="E383" s="18">
        <v>9.1999999999999993</v>
      </c>
      <c r="F383" s="18">
        <f t="shared" si="63"/>
        <v>3</v>
      </c>
      <c r="G383" s="19">
        <f t="shared" si="58"/>
        <v>27.599999999999998</v>
      </c>
      <c r="H383" s="69">
        <v>0</v>
      </c>
      <c r="I383" s="18">
        <v>1</v>
      </c>
      <c r="J383" s="71">
        <f t="shared" si="59"/>
        <v>27.599999999999998</v>
      </c>
      <c r="K383" s="73" t="str">
        <f t="shared" si="60"/>
        <v xml:space="preserve"> </v>
      </c>
      <c r="L383" s="398"/>
      <c r="M383" s="403" t="str">
        <f t="shared" si="64"/>
        <v/>
      </c>
      <c r="N383" s="398"/>
      <c r="O383" s="403" t="str">
        <f t="shared" si="65"/>
        <v/>
      </c>
    </row>
    <row r="384" spans="2:15">
      <c r="B384" s="14"/>
      <c r="C384" s="17" t="s">
        <v>490</v>
      </c>
      <c r="D384" s="70" t="s">
        <v>348</v>
      </c>
      <c r="E384" s="18">
        <v>21.8</v>
      </c>
      <c r="F384" s="18">
        <f t="shared" si="63"/>
        <v>3</v>
      </c>
      <c r="G384" s="19">
        <f t="shared" si="58"/>
        <v>65.400000000000006</v>
      </c>
      <c r="H384" s="69">
        <v>0</v>
      </c>
      <c r="I384" s="18">
        <v>1</v>
      </c>
      <c r="J384" s="71" t="str">
        <f t="shared" si="59"/>
        <v xml:space="preserve"> </v>
      </c>
      <c r="K384" s="73">
        <f t="shared" si="60"/>
        <v>65.400000000000006</v>
      </c>
      <c r="L384" s="398"/>
      <c r="M384" s="403" t="str">
        <f t="shared" si="64"/>
        <v/>
      </c>
      <c r="N384" s="398"/>
      <c r="O384" s="403" t="str">
        <f t="shared" si="65"/>
        <v/>
      </c>
    </row>
    <row r="385" spans="2:15">
      <c r="B385" s="14"/>
      <c r="C385" s="17" t="s">
        <v>428</v>
      </c>
      <c r="D385" s="70" t="s">
        <v>347</v>
      </c>
      <c r="E385" s="18">
        <v>9.1999999999999993</v>
      </c>
      <c r="F385" s="18">
        <f t="shared" si="63"/>
        <v>3</v>
      </c>
      <c r="G385" s="19">
        <f t="shared" si="58"/>
        <v>27.599999999999998</v>
      </c>
      <c r="H385" s="69">
        <v>0</v>
      </c>
      <c r="I385" s="18">
        <v>1</v>
      </c>
      <c r="J385" s="71">
        <f t="shared" si="59"/>
        <v>27.599999999999998</v>
      </c>
      <c r="K385" s="73" t="str">
        <f t="shared" si="60"/>
        <v xml:space="preserve"> </v>
      </c>
      <c r="L385" s="398"/>
      <c r="M385" s="403" t="str">
        <f t="shared" si="64"/>
        <v/>
      </c>
      <c r="N385" s="398"/>
      <c r="O385" s="403" t="str">
        <f t="shared" si="65"/>
        <v/>
      </c>
    </row>
    <row r="386" spans="2:15">
      <c r="B386" s="14"/>
      <c r="C386" s="17" t="s">
        <v>491</v>
      </c>
      <c r="D386" s="70" t="s">
        <v>348</v>
      </c>
      <c r="E386" s="18">
        <v>21.8</v>
      </c>
      <c r="F386" s="18">
        <f t="shared" si="63"/>
        <v>3</v>
      </c>
      <c r="G386" s="19">
        <f t="shared" si="58"/>
        <v>65.400000000000006</v>
      </c>
      <c r="H386" s="69">
        <v>0</v>
      </c>
      <c r="I386" s="18">
        <v>1</v>
      </c>
      <c r="J386" s="71" t="str">
        <f t="shared" si="59"/>
        <v xml:space="preserve"> </v>
      </c>
      <c r="K386" s="73">
        <f t="shared" si="60"/>
        <v>65.400000000000006</v>
      </c>
      <c r="L386" s="398"/>
      <c r="M386" s="403" t="str">
        <f t="shared" si="64"/>
        <v/>
      </c>
      <c r="N386" s="398"/>
      <c r="O386" s="403" t="str">
        <f t="shared" si="65"/>
        <v/>
      </c>
    </row>
    <row r="387" spans="2:15">
      <c r="B387" s="14"/>
      <c r="C387" s="17" t="s">
        <v>428</v>
      </c>
      <c r="D387" s="70" t="s">
        <v>347</v>
      </c>
      <c r="E387" s="18">
        <v>9.1999999999999993</v>
      </c>
      <c r="F387" s="18">
        <f t="shared" si="63"/>
        <v>3</v>
      </c>
      <c r="G387" s="19">
        <f t="shared" si="58"/>
        <v>27.599999999999998</v>
      </c>
      <c r="H387" s="69">
        <v>0</v>
      </c>
      <c r="I387" s="18">
        <v>1</v>
      </c>
      <c r="J387" s="71">
        <f t="shared" si="59"/>
        <v>27.599999999999998</v>
      </c>
      <c r="K387" s="73" t="str">
        <f t="shared" si="60"/>
        <v xml:space="preserve"> </v>
      </c>
      <c r="L387" s="398"/>
      <c r="M387" s="403" t="str">
        <f t="shared" si="64"/>
        <v/>
      </c>
      <c r="N387" s="398"/>
      <c r="O387" s="403" t="str">
        <f t="shared" si="65"/>
        <v/>
      </c>
    </row>
    <row r="388" spans="2:15">
      <c r="B388" s="14"/>
      <c r="C388" s="17" t="s">
        <v>473</v>
      </c>
      <c r="D388" s="70" t="s">
        <v>348</v>
      </c>
      <c r="E388" s="18">
        <v>14.4</v>
      </c>
      <c r="F388" s="18">
        <f t="shared" si="63"/>
        <v>3</v>
      </c>
      <c r="G388" s="19">
        <f t="shared" si="58"/>
        <v>43.2</v>
      </c>
      <c r="H388" s="69">
        <v>0</v>
      </c>
      <c r="I388" s="18">
        <v>1</v>
      </c>
      <c r="J388" s="71" t="str">
        <f t="shared" si="59"/>
        <v xml:space="preserve"> </v>
      </c>
      <c r="K388" s="73">
        <f t="shared" si="60"/>
        <v>43.2</v>
      </c>
      <c r="L388" s="398"/>
      <c r="M388" s="403" t="str">
        <f t="shared" si="64"/>
        <v/>
      </c>
      <c r="N388" s="398"/>
      <c r="O388" s="403" t="str">
        <f t="shared" si="65"/>
        <v/>
      </c>
    </row>
    <row r="389" spans="2:15">
      <c r="B389" s="14"/>
      <c r="C389" s="17" t="s">
        <v>423</v>
      </c>
      <c r="D389" s="70" t="s">
        <v>348</v>
      </c>
      <c r="E389" s="18">
        <v>13.05</v>
      </c>
      <c r="F389" s="18">
        <f t="shared" si="63"/>
        <v>3</v>
      </c>
      <c r="G389" s="19">
        <f t="shared" si="58"/>
        <v>39.150000000000006</v>
      </c>
      <c r="H389" s="69">
        <v>0</v>
      </c>
      <c r="I389" s="18">
        <v>1</v>
      </c>
      <c r="J389" s="71" t="str">
        <f t="shared" si="59"/>
        <v xml:space="preserve"> </v>
      </c>
      <c r="K389" s="73">
        <f t="shared" si="60"/>
        <v>39.150000000000006</v>
      </c>
      <c r="L389" s="398"/>
      <c r="M389" s="403" t="str">
        <f t="shared" si="64"/>
        <v/>
      </c>
      <c r="N389" s="398"/>
      <c r="O389" s="403" t="str">
        <f t="shared" si="65"/>
        <v/>
      </c>
    </row>
    <row r="390" spans="2:15">
      <c r="B390" s="14"/>
      <c r="C390" s="17" t="s">
        <v>474</v>
      </c>
      <c r="D390" s="70" t="s">
        <v>348</v>
      </c>
      <c r="E390" s="18">
        <v>14.05</v>
      </c>
      <c r="F390" s="18">
        <f t="shared" si="63"/>
        <v>3</v>
      </c>
      <c r="G390" s="19">
        <f t="shared" si="58"/>
        <v>42.150000000000006</v>
      </c>
      <c r="H390" s="69">
        <v>0</v>
      </c>
      <c r="I390" s="18">
        <v>1</v>
      </c>
      <c r="J390" s="71" t="str">
        <f t="shared" si="59"/>
        <v xml:space="preserve"> </v>
      </c>
      <c r="K390" s="73">
        <f t="shared" si="60"/>
        <v>42.150000000000006</v>
      </c>
      <c r="L390" s="398"/>
      <c r="M390" s="403" t="str">
        <f t="shared" si="64"/>
        <v/>
      </c>
      <c r="N390" s="398"/>
      <c r="O390" s="403" t="str">
        <f t="shared" si="65"/>
        <v/>
      </c>
    </row>
    <row r="391" spans="2:15">
      <c r="B391" s="14"/>
      <c r="C391" s="17" t="s">
        <v>492</v>
      </c>
      <c r="D391" s="70" t="s">
        <v>348</v>
      </c>
      <c r="E391" s="18">
        <v>29.02</v>
      </c>
      <c r="F391" s="18">
        <f t="shared" si="63"/>
        <v>3</v>
      </c>
      <c r="G391" s="19">
        <f t="shared" si="58"/>
        <v>87.06</v>
      </c>
      <c r="H391" s="69">
        <v>0</v>
      </c>
      <c r="I391" s="18">
        <v>1</v>
      </c>
      <c r="J391" s="71" t="str">
        <f t="shared" si="59"/>
        <v xml:space="preserve"> </v>
      </c>
      <c r="K391" s="73">
        <f t="shared" si="60"/>
        <v>87.06</v>
      </c>
      <c r="L391" s="398"/>
      <c r="M391" s="403" t="str">
        <f t="shared" si="64"/>
        <v/>
      </c>
      <c r="N391" s="398" t="s">
        <v>952</v>
      </c>
      <c r="O391" s="403">
        <f t="shared" si="65"/>
        <v>87.06</v>
      </c>
    </row>
    <row r="392" spans="2:15">
      <c r="B392" s="14"/>
      <c r="C392" s="135" t="s">
        <v>1183</v>
      </c>
      <c r="D392" s="70" t="s">
        <v>348</v>
      </c>
      <c r="E392" s="18">
        <v>36.85</v>
      </c>
      <c r="F392" s="18">
        <v>4.5</v>
      </c>
      <c r="G392" s="19">
        <f t="shared" si="58"/>
        <v>165.82500000000002</v>
      </c>
      <c r="H392" s="69">
        <v>0</v>
      </c>
      <c r="I392" s="18">
        <v>1</v>
      </c>
      <c r="J392" s="71" t="str">
        <f t="shared" si="59"/>
        <v xml:space="preserve"> </v>
      </c>
      <c r="K392" s="73">
        <f t="shared" si="60"/>
        <v>165.82500000000002</v>
      </c>
      <c r="L392" s="398" t="s">
        <v>952</v>
      </c>
      <c r="M392" s="403">
        <f t="shared" si="64"/>
        <v>165.82500000000002</v>
      </c>
      <c r="N392" s="398"/>
      <c r="O392" s="403" t="str">
        <f t="shared" si="65"/>
        <v/>
      </c>
    </row>
    <row r="393" spans="2:15">
      <c r="B393" s="14"/>
      <c r="C393" s="135" t="s">
        <v>307</v>
      </c>
      <c r="D393" s="70" t="s">
        <v>348</v>
      </c>
      <c r="E393" s="18">
        <v>11.8</v>
      </c>
      <c r="F393" s="18">
        <f>$F$338</f>
        <v>3</v>
      </c>
      <c r="G393" s="19">
        <f t="shared" si="58"/>
        <v>35.400000000000006</v>
      </c>
      <c r="H393" s="69">
        <v>0</v>
      </c>
      <c r="I393" s="18">
        <v>2</v>
      </c>
      <c r="J393" s="71" t="str">
        <f t="shared" si="59"/>
        <v xml:space="preserve"> </v>
      </c>
      <c r="K393" s="73">
        <f t="shared" si="60"/>
        <v>70.800000000000011</v>
      </c>
      <c r="L393" s="398" t="s">
        <v>952</v>
      </c>
      <c r="M393" s="403">
        <f t="shared" si="64"/>
        <v>35.400000000000006</v>
      </c>
      <c r="N393" s="398"/>
      <c r="O393" s="403" t="str">
        <f t="shared" si="65"/>
        <v/>
      </c>
    </row>
    <row r="394" spans="2:15">
      <c r="B394" s="14"/>
      <c r="C394" s="135" t="s">
        <v>457</v>
      </c>
      <c r="D394" s="70" t="s">
        <v>348</v>
      </c>
      <c r="E394" s="18">
        <v>20.240000000000002</v>
      </c>
      <c r="F394" s="18">
        <f>$F$338</f>
        <v>3</v>
      </c>
      <c r="G394" s="19">
        <f t="shared" si="58"/>
        <v>60.720000000000006</v>
      </c>
      <c r="H394" s="69">
        <v>0</v>
      </c>
      <c r="I394" s="18">
        <v>1</v>
      </c>
      <c r="J394" s="71" t="str">
        <f t="shared" si="59"/>
        <v xml:space="preserve"> </v>
      </c>
      <c r="K394" s="73">
        <f t="shared" si="60"/>
        <v>60.720000000000006</v>
      </c>
      <c r="L394" s="398" t="s">
        <v>952</v>
      </c>
      <c r="M394" s="403">
        <f t="shared" si="64"/>
        <v>60.720000000000006</v>
      </c>
      <c r="N394" s="398"/>
      <c r="O394" s="403" t="str">
        <f t="shared" si="65"/>
        <v/>
      </c>
    </row>
    <row r="395" spans="2:15">
      <c r="B395" s="14"/>
      <c r="C395" s="135" t="s">
        <v>458</v>
      </c>
      <c r="D395" s="70" t="s">
        <v>348</v>
      </c>
      <c r="E395" s="18">
        <v>20.240000000000002</v>
      </c>
      <c r="F395" s="18">
        <f>$F$338</f>
        <v>3</v>
      </c>
      <c r="G395" s="19">
        <f t="shared" si="58"/>
        <v>60.720000000000006</v>
      </c>
      <c r="H395" s="69">
        <v>0</v>
      </c>
      <c r="I395" s="18">
        <v>1</v>
      </c>
      <c r="J395" s="71" t="str">
        <f t="shared" si="59"/>
        <v xml:space="preserve"> </v>
      </c>
      <c r="K395" s="73">
        <f t="shared" si="60"/>
        <v>60.720000000000006</v>
      </c>
      <c r="L395" s="398" t="s">
        <v>952</v>
      </c>
      <c r="M395" s="403">
        <f t="shared" si="64"/>
        <v>60.720000000000006</v>
      </c>
      <c r="N395" s="398"/>
      <c r="O395" s="403" t="str">
        <f t="shared" si="65"/>
        <v/>
      </c>
    </row>
    <row r="396" spans="2:15">
      <c r="B396" s="14"/>
      <c r="C396" s="135" t="s">
        <v>459</v>
      </c>
      <c r="D396" s="70" t="s">
        <v>348</v>
      </c>
      <c r="E396" s="18">
        <v>19.100000000000001</v>
      </c>
      <c r="F396" s="18">
        <f>$F$338</f>
        <v>3</v>
      </c>
      <c r="G396" s="19">
        <f t="shared" si="58"/>
        <v>57.300000000000004</v>
      </c>
      <c r="H396" s="69">
        <v>0</v>
      </c>
      <c r="I396" s="18">
        <v>1</v>
      </c>
      <c r="J396" s="71" t="str">
        <f t="shared" si="59"/>
        <v xml:space="preserve"> </v>
      </c>
      <c r="K396" s="73">
        <f t="shared" si="60"/>
        <v>57.300000000000004</v>
      </c>
      <c r="L396" s="398" t="s">
        <v>952</v>
      </c>
      <c r="M396" s="403">
        <f t="shared" si="64"/>
        <v>57.300000000000004</v>
      </c>
      <c r="N396" s="398"/>
      <c r="O396" s="403" t="str">
        <f t="shared" si="65"/>
        <v/>
      </c>
    </row>
    <row r="397" spans="2:15">
      <c r="B397" s="14"/>
      <c r="C397" s="135" t="s">
        <v>437</v>
      </c>
      <c r="D397" s="70" t="s">
        <v>348</v>
      </c>
      <c r="E397" s="18">
        <v>15</v>
      </c>
      <c r="F397" s="18">
        <v>4.5</v>
      </c>
      <c r="G397" s="19">
        <f t="shared" si="58"/>
        <v>67.5</v>
      </c>
      <c r="H397" s="69">
        <v>0</v>
      </c>
      <c r="I397" s="18">
        <v>1</v>
      </c>
      <c r="J397" s="71" t="str">
        <f t="shared" si="59"/>
        <v xml:space="preserve"> </v>
      </c>
      <c r="K397" s="73">
        <f t="shared" si="60"/>
        <v>67.5</v>
      </c>
      <c r="L397" s="398" t="s">
        <v>952</v>
      </c>
      <c r="M397" s="403">
        <f t="shared" si="64"/>
        <v>67.5</v>
      </c>
      <c r="N397" s="398"/>
      <c r="O397" s="403" t="str">
        <f t="shared" si="65"/>
        <v/>
      </c>
    </row>
    <row r="398" spans="2:15">
      <c r="B398" s="14"/>
      <c r="C398" s="135" t="s">
        <v>437</v>
      </c>
      <c r="D398" s="70" t="s">
        <v>348</v>
      </c>
      <c r="E398" s="18">
        <v>15</v>
      </c>
      <c r="F398" s="18">
        <v>1</v>
      </c>
      <c r="G398" s="19">
        <f t="shared" si="58"/>
        <v>15</v>
      </c>
      <c r="H398" s="69">
        <v>0</v>
      </c>
      <c r="I398" s="18">
        <v>1</v>
      </c>
      <c r="J398" s="71" t="str">
        <f t="shared" si="59"/>
        <v xml:space="preserve"> </v>
      </c>
      <c r="K398" s="73">
        <f t="shared" si="60"/>
        <v>15</v>
      </c>
      <c r="L398" s="398" t="s">
        <v>952</v>
      </c>
      <c r="M398" s="403">
        <f t="shared" si="64"/>
        <v>15</v>
      </c>
      <c r="N398" s="398"/>
      <c r="O398" s="403" t="str">
        <f t="shared" si="65"/>
        <v/>
      </c>
    </row>
    <row r="399" spans="2:15">
      <c r="B399" s="14"/>
      <c r="C399" s="135" t="s">
        <v>1184</v>
      </c>
      <c r="D399" s="70" t="s">
        <v>348</v>
      </c>
      <c r="E399" s="18">
        <v>7.44</v>
      </c>
      <c r="F399" s="18">
        <v>4.5</v>
      </c>
      <c r="G399" s="19">
        <f t="shared" si="58"/>
        <v>33.480000000000004</v>
      </c>
      <c r="H399" s="69">
        <v>0</v>
      </c>
      <c r="I399" s="18">
        <v>2</v>
      </c>
      <c r="J399" s="71" t="str">
        <f t="shared" si="59"/>
        <v xml:space="preserve"> </v>
      </c>
      <c r="K399" s="73">
        <f t="shared" si="60"/>
        <v>66.960000000000008</v>
      </c>
      <c r="L399" s="398" t="s">
        <v>952</v>
      </c>
      <c r="M399" s="403">
        <f t="shared" si="64"/>
        <v>33.480000000000004</v>
      </c>
      <c r="N399" s="398"/>
      <c r="O399" s="403" t="str">
        <f t="shared" si="65"/>
        <v/>
      </c>
    </row>
    <row r="400" spans="2:15">
      <c r="B400" s="14"/>
      <c r="C400" s="135" t="s">
        <v>1185</v>
      </c>
      <c r="D400" s="70" t="s">
        <v>348</v>
      </c>
      <c r="E400" s="18">
        <v>7.44</v>
      </c>
      <c r="F400" s="18">
        <v>4.5</v>
      </c>
      <c r="G400" s="19">
        <f t="shared" si="58"/>
        <v>33.480000000000004</v>
      </c>
      <c r="H400" s="69">
        <v>0</v>
      </c>
      <c r="I400" s="18">
        <v>2</v>
      </c>
      <c r="J400" s="71" t="str">
        <f t="shared" si="59"/>
        <v xml:space="preserve"> </v>
      </c>
      <c r="K400" s="73">
        <f t="shared" si="60"/>
        <v>66.960000000000008</v>
      </c>
      <c r="L400" s="398" t="s">
        <v>952</v>
      </c>
      <c r="M400" s="403">
        <f t="shared" si="64"/>
        <v>33.480000000000004</v>
      </c>
      <c r="N400" s="398"/>
      <c r="O400" s="403" t="str">
        <f t="shared" si="65"/>
        <v/>
      </c>
    </row>
    <row r="401" spans="2:15">
      <c r="B401" s="14"/>
      <c r="C401" s="135" t="s">
        <v>1190</v>
      </c>
      <c r="D401" s="70" t="s">
        <v>347</v>
      </c>
      <c r="E401" s="18">
        <v>27.35</v>
      </c>
      <c r="F401" s="18">
        <v>4.5</v>
      </c>
      <c r="G401" s="19">
        <f t="shared" si="58"/>
        <v>123.075</v>
      </c>
      <c r="H401" s="69">
        <v>0</v>
      </c>
      <c r="I401" s="18">
        <v>1</v>
      </c>
      <c r="J401" s="71">
        <f t="shared" si="59"/>
        <v>123.075</v>
      </c>
      <c r="K401" s="73" t="str">
        <f t="shared" si="60"/>
        <v xml:space="preserve"> </v>
      </c>
      <c r="L401" s="398"/>
      <c r="M401" s="403" t="str">
        <f t="shared" si="64"/>
        <v/>
      </c>
      <c r="N401" s="398"/>
      <c r="O401" s="403" t="str">
        <f t="shared" si="65"/>
        <v/>
      </c>
    </row>
    <row r="402" spans="2:15">
      <c r="B402" s="14"/>
      <c r="C402" s="135" t="s">
        <v>1190</v>
      </c>
      <c r="D402" s="70" t="s">
        <v>347</v>
      </c>
      <c r="E402" s="18">
        <v>19.7</v>
      </c>
      <c r="F402" s="18">
        <v>1</v>
      </c>
      <c r="G402" s="19">
        <f t="shared" si="58"/>
        <v>19.7</v>
      </c>
      <c r="H402" s="69">
        <v>0</v>
      </c>
      <c r="I402" s="18">
        <v>1</v>
      </c>
      <c r="J402" s="71">
        <f t="shared" ref="J402:J408" si="66">IF(D402="Emboço",G402*I402," ")</f>
        <v>19.7</v>
      </c>
      <c r="K402" s="73" t="str">
        <f t="shared" ref="K402:K408" si="67">IF(D402="Reboco",G402*I402," ")</f>
        <v xml:space="preserve"> </v>
      </c>
      <c r="L402" s="398"/>
      <c r="M402" s="403" t="str">
        <f t="shared" ref="M402:M409" si="68">IF(L402="x",G402,"")</f>
        <v/>
      </c>
      <c r="N402" s="398"/>
      <c r="O402" s="403" t="str">
        <f t="shared" ref="O402:O409" si="69">IF(N402="x",G402,"")</f>
        <v/>
      </c>
    </row>
    <row r="403" spans="2:15">
      <c r="B403" s="14"/>
      <c r="C403" s="135" t="s">
        <v>1191</v>
      </c>
      <c r="D403" s="70" t="s">
        <v>347</v>
      </c>
      <c r="E403" s="18">
        <f>23.8+10.35</f>
        <v>34.15</v>
      </c>
      <c r="F403" s="18">
        <v>4.5</v>
      </c>
      <c r="G403" s="19">
        <f t="shared" si="58"/>
        <v>153.67499999999998</v>
      </c>
      <c r="H403" s="69">
        <v>0</v>
      </c>
      <c r="I403" s="18">
        <v>1</v>
      </c>
      <c r="J403" s="71">
        <f t="shared" si="66"/>
        <v>153.67499999999998</v>
      </c>
      <c r="K403" s="73" t="str">
        <f t="shared" si="67"/>
        <v xml:space="preserve"> </v>
      </c>
      <c r="L403" s="398"/>
      <c r="M403" s="403" t="str">
        <f t="shared" si="68"/>
        <v/>
      </c>
      <c r="N403" s="398"/>
      <c r="O403" s="403" t="str">
        <f t="shared" si="69"/>
        <v/>
      </c>
    </row>
    <row r="404" spans="2:15">
      <c r="B404" s="14"/>
      <c r="C404" s="135" t="s">
        <v>1191</v>
      </c>
      <c r="D404" s="70" t="s">
        <v>347</v>
      </c>
      <c r="E404" s="18">
        <f>9.9+10.8</f>
        <v>20.700000000000003</v>
      </c>
      <c r="F404" s="18">
        <f>1.95+1</f>
        <v>2.95</v>
      </c>
      <c r="G404" s="19">
        <f t="shared" si="58"/>
        <v>61.065000000000012</v>
      </c>
      <c r="H404" s="69">
        <v>0</v>
      </c>
      <c r="I404" s="18">
        <v>1</v>
      </c>
      <c r="J404" s="71">
        <f t="shared" si="66"/>
        <v>61.065000000000012</v>
      </c>
      <c r="K404" s="73" t="str">
        <f t="shared" si="67"/>
        <v xml:space="preserve"> </v>
      </c>
      <c r="L404" s="398"/>
      <c r="M404" s="403" t="str">
        <f t="shared" si="68"/>
        <v/>
      </c>
      <c r="N404" s="398"/>
      <c r="O404" s="403" t="str">
        <f t="shared" si="69"/>
        <v/>
      </c>
    </row>
    <row r="405" spans="2:15">
      <c r="B405" s="14"/>
      <c r="C405" s="135" t="s">
        <v>1191</v>
      </c>
      <c r="D405" s="70" t="s">
        <v>347</v>
      </c>
      <c r="E405" s="18">
        <v>15.3</v>
      </c>
      <c r="F405" s="18">
        <v>1</v>
      </c>
      <c r="G405" s="19">
        <f t="shared" si="58"/>
        <v>15.3</v>
      </c>
      <c r="H405" s="69">
        <v>0</v>
      </c>
      <c r="I405" s="18">
        <v>1</v>
      </c>
      <c r="J405" s="71">
        <f t="shared" si="66"/>
        <v>15.3</v>
      </c>
      <c r="K405" s="73" t="str">
        <f t="shared" si="67"/>
        <v xml:space="preserve"> </v>
      </c>
      <c r="L405" s="398"/>
      <c r="M405" s="403" t="str">
        <f t="shared" si="68"/>
        <v/>
      </c>
      <c r="N405" s="398"/>
      <c r="O405" s="403" t="str">
        <f t="shared" si="69"/>
        <v/>
      </c>
    </row>
    <row r="406" spans="2:15">
      <c r="B406" s="14"/>
      <c r="C406" s="135" t="s">
        <v>1192</v>
      </c>
      <c r="D406" s="70" t="s">
        <v>347</v>
      </c>
      <c r="E406" s="18">
        <v>38.75</v>
      </c>
      <c r="F406" s="18">
        <f>1.95+1</f>
        <v>2.95</v>
      </c>
      <c r="G406" s="19">
        <f t="shared" si="58"/>
        <v>114.3125</v>
      </c>
      <c r="H406" s="69">
        <v>0</v>
      </c>
      <c r="I406" s="18">
        <v>1</v>
      </c>
      <c r="J406" s="71">
        <f t="shared" si="66"/>
        <v>114.3125</v>
      </c>
      <c r="K406" s="73" t="str">
        <f t="shared" si="67"/>
        <v xml:space="preserve"> </v>
      </c>
      <c r="L406" s="398"/>
      <c r="M406" s="403" t="str">
        <f t="shared" si="68"/>
        <v/>
      </c>
      <c r="N406" s="398"/>
      <c r="O406" s="403" t="str">
        <f t="shared" si="69"/>
        <v/>
      </c>
    </row>
    <row r="407" spans="2:15">
      <c r="B407" s="14"/>
      <c r="C407" s="135" t="s">
        <v>1193</v>
      </c>
      <c r="D407" s="70" t="s">
        <v>347</v>
      </c>
      <c r="E407" s="18">
        <v>14.15</v>
      </c>
      <c r="F407" s="18">
        <v>4.5</v>
      </c>
      <c r="G407" s="19">
        <f t="shared" si="58"/>
        <v>63.675000000000004</v>
      </c>
      <c r="H407" s="69">
        <v>0</v>
      </c>
      <c r="I407" s="18">
        <v>1</v>
      </c>
      <c r="J407" s="71">
        <f t="shared" si="66"/>
        <v>63.675000000000004</v>
      </c>
      <c r="K407" s="73" t="str">
        <f t="shared" si="67"/>
        <v xml:space="preserve"> </v>
      </c>
      <c r="L407" s="398"/>
      <c r="M407" s="403" t="str">
        <f t="shared" si="68"/>
        <v/>
      </c>
      <c r="N407" s="398"/>
      <c r="O407" s="403" t="str">
        <f t="shared" si="69"/>
        <v/>
      </c>
    </row>
    <row r="408" spans="2:15">
      <c r="B408" s="14"/>
      <c r="C408" s="135" t="s">
        <v>1193</v>
      </c>
      <c r="D408" s="70" t="s">
        <v>347</v>
      </c>
      <c r="E408" s="18">
        <v>34.799999999999997</v>
      </c>
      <c r="F408" s="18">
        <f>1.95+1</f>
        <v>2.95</v>
      </c>
      <c r="G408" s="19">
        <f t="shared" si="58"/>
        <v>102.66</v>
      </c>
      <c r="H408" s="69">
        <v>0</v>
      </c>
      <c r="I408" s="18">
        <v>1</v>
      </c>
      <c r="J408" s="71">
        <f t="shared" si="66"/>
        <v>102.66</v>
      </c>
      <c r="K408" s="73" t="str">
        <f t="shared" si="67"/>
        <v xml:space="preserve"> </v>
      </c>
      <c r="L408" s="398"/>
      <c r="M408" s="403" t="str">
        <f t="shared" si="68"/>
        <v/>
      </c>
      <c r="N408" s="398"/>
      <c r="O408" s="403" t="str">
        <f t="shared" si="69"/>
        <v/>
      </c>
    </row>
    <row r="409" spans="2:15">
      <c r="L409" s="398"/>
      <c r="M409" s="403" t="str">
        <f t="shared" si="68"/>
        <v/>
      </c>
      <c r="N409" s="398"/>
      <c r="O409" s="403" t="str">
        <f t="shared" si="69"/>
        <v/>
      </c>
    </row>
    <row r="410" spans="2:15">
      <c r="B410" s="14" t="s">
        <v>154</v>
      </c>
      <c r="C410" s="1004" t="s">
        <v>153</v>
      </c>
      <c r="D410" s="1004"/>
      <c r="E410" s="1004"/>
      <c r="F410" s="1004"/>
      <c r="G410" s="1004"/>
      <c r="H410" s="1004"/>
      <c r="I410" s="1004"/>
      <c r="J410" s="76">
        <f>SUM(J411:J471)</f>
        <v>1097.9725000000001</v>
      </c>
      <c r="K410" s="400">
        <f>SUM(K411:K471)</f>
        <v>3631.7849999999999</v>
      </c>
      <c r="L410" s="398"/>
      <c r="M410" s="400">
        <f>SUM(M411:M471)</f>
        <v>1011.825</v>
      </c>
      <c r="N410" s="398"/>
      <c r="O410" s="400">
        <f>SUM(O411:O471)</f>
        <v>1006.2</v>
      </c>
    </row>
    <row r="411" spans="2:15">
      <c r="B411" s="14"/>
      <c r="C411" s="17" t="s">
        <v>396</v>
      </c>
      <c r="D411" s="70" t="s">
        <v>347</v>
      </c>
      <c r="E411" s="18">
        <v>15.32</v>
      </c>
      <c r="F411" s="18">
        <f>$I$24</f>
        <v>3</v>
      </c>
      <c r="G411" s="19">
        <f t="shared" ref="G411:G471" si="70">PRODUCT(E411,F411)</f>
        <v>45.96</v>
      </c>
      <c r="H411" s="69">
        <v>0</v>
      </c>
      <c r="I411" s="18">
        <v>1</v>
      </c>
      <c r="J411" s="71">
        <f t="shared" ref="J411:J471" si="71">IF(D411="Emboço",G411*I411," ")</f>
        <v>45.96</v>
      </c>
      <c r="K411" s="73" t="str">
        <f t="shared" ref="K411:K471" si="72">IF(D411="Reboco",G411*I411," ")</f>
        <v xml:space="preserve"> </v>
      </c>
      <c r="L411" s="398"/>
      <c r="M411" s="403" t="str">
        <f t="shared" ref="M411:M442" si="73">IF(L411="x",G411,"")</f>
        <v/>
      </c>
      <c r="N411" s="398"/>
      <c r="O411" s="403" t="str">
        <f t="shared" ref="O411:O442" si="74">IF(N411="x",G411,"")</f>
        <v/>
      </c>
    </row>
    <row r="412" spans="2:15">
      <c r="B412" s="14"/>
      <c r="C412" s="17" t="s">
        <v>428</v>
      </c>
      <c r="D412" s="70" t="s">
        <v>347</v>
      </c>
      <c r="E412" s="18">
        <v>9.5399999999999991</v>
      </c>
      <c r="F412" s="18">
        <f t="shared" ref="F412:F458" si="75">$F$411</f>
        <v>3</v>
      </c>
      <c r="G412" s="19">
        <f t="shared" si="70"/>
        <v>28.619999999999997</v>
      </c>
      <c r="H412" s="69">
        <v>0</v>
      </c>
      <c r="I412" s="18">
        <v>1</v>
      </c>
      <c r="J412" s="71">
        <f t="shared" si="71"/>
        <v>28.619999999999997</v>
      </c>
      <c r="K412" s="73" t="str">
        <f t="shared" si="72"/>
        <v xml:space="preserve"> </v>
      </c>
      <c r="L412" s="398"/>
      <c r="M412" s="403" t="str">
        <f t="shared" si="73"/>
        <v/>
      </c>
      <c r="N412" s="398"/>
      <c r="O412" s="403" t="str">
        <f t="shared" si="74"/>
        <v/>
      </c>
    </row>
    <row r="413" spans="2:15">
      <c r="B413" s="14"/>
      <c r="C413" s="17" t="s">
        <v>428</v>
      </c>
      <c r="D413" s="70" t="s">
        <v>347</v>
      </c>
      <c r="E413" s="18">
        <v>9.5399999999999991</v>
      </c>
      <c r="F413" s="18">
        <f t="shared" si="75"/>
        <v>3</v>
      </c>
      <c r="G413" s="19">
        <f t="shared" si="70"/>
        <v>28.619999999999997</v>
      </c>
      <c r="H413" s="69">
        <v>0</v>
      </c>
      <c r="I413" s="18">
        <v>1</v>
      </c>
      <c r="J413" s="71">
        <f t="shared" si="71"/>
        <v>28.619999999999997</v>
      </c>
      <c r="K413" s="73" t="str">
        <f t="shared" si="72"/>
        <v xml:space="preserve"> </v>
      </c>
      <c r="L413" s="398"/>
      <c r="M413" s="403" t="str">
        <f t="shared" si="73"/>
        <v/>
      </c>
      <c r="N413" s="398"/>
      <c r="O413" s="403" t="str">
        <f t="shared" si="74"/>
        <v/>
      </c>
    </row>
    <row r="414" spans="2:15">
      <c r="B414" s="14"/>
      <c r="C414" s="17" t="s">
        <v>476</v>
      </c>
      <c r="D414" s="70" t="s">
        <v>347</v>
      </c>
      <c r="E414" s="18">
        <v>9.7800000000000011</v>
      </c>
      <c r="F414" s="18">
        <f t="shared" si="75"/>
        <v>3</v>
      </c>
      <c r="G414" s="19">
        <f t="shared" si="70"/>
        <v>29.340000000000003</v>
      </c>
      <c r="H414" s="69">
        <v>0</v>
      </c>
      <c r="I414" s="18">
        <v>1</v>
      </c>
      <c r="J414" s="71">
        <f t="shared" si="71"/>
        <v>29.340000000000003</v>
      </c>
      <c r="K414" s="73" t="str">
        <f t="shared" si="72"/>
        <v xml:space="preserve"> </v>
      </c>
      <c r="L414" s="398"/>
      <c r="M414" s="403" t="str">
        <f t="shared" si="73"/>
        <v/>
      </c>
      <c r="N414" s="398"/>
      <c r="O414" s="403" t="str">
        <f t="shared" si="74"/>
        <v/>
      </c>
    </row>
    <row r="415" spans="2:15">
      <c r="B415" s="14"/>
      <c r="C415" s="17" t="s">
        <v>430</v>
      </c>
      <c r="D415" s="70" t="s">
        <v>348</v>
      </c>
      <c r="E415" s="18">
        <v>17.05</v>
      </c>
      <c r="F415" s="18">
        <f t="shared" si="75"/>
        <v>3</v>
      </c>
      <c r="G415" s="19">
        <f t="shared" si="70"/>
        <v>51.150000000000006</v>
      </c>
      <c r="H415" s="69">
        <v>0</v>
      </c>
      <c r="I415" s="18">
        <v>1</v>
      </c>
      <c r="J415" s="71" t="str">
        <f t="shared" si="71"/>
        <v xml:space="preserve"> </v>
      </c>
      <c r="K415" s="73">
        <f t="shared" si="72"/>
        <v>51.150000000000006</v>
      </c>
      <c r="L415" s="398"/>
      <c r="M415" s="403" t="str">
        <f t="shared" si="73"/>
        <v/>
      </c>
      <c r="N415" s="398"/>
      <c r="O415" s="403" t="str">
        <f t="shared" si="74"/>
        <v/>
      </c>
    </row>
    <row r="416" spans="2:15">
      <c r="B416" s="14"/>
      <c r="C416" s="17" t="s">
        <v>430</v>
      </c>
      <c r="D416" s="70" t="s">
        <v>348</v>
      </c>
      <c r="E416" s="18">
        <v>17.05</v>
      </c>
      <c r="F416" s="18">
        <f t="shared" si="75"/>
        <v>3</v>
      </c>
      <c r="G416" s="19">
        <f t="shared" si="70"/>
        <v>51.150000000000006</v>
      </c>
      <c r="H416" s="69">
        <v>0</v>
      </c>
      <c r="I416" s="18">
        <v>1</v>
      </c>
      <c r="J416" s="71" t="str">
        <f t="shared" si="71"/>
        <v xml:space="preserve"> </v>
      </c>
      <c r="K416" s="73">
        <f t="shared" si="72"/>
        <v>51.150000000000006</v>
      </c>
      <c r="L416" s="398"/>
      <c r="M416" s="403" t="str">
        <f t="shared" si="73"/>
        <v/>
      </c>
      <c r="N416" s="398"/>
      <c r="O416" s="403" t="str">
        <f t="shared" si="74"/>
        <v/>
      </c>
    </row>
    <row r="417" spans="2:15">
      <c r="B417" s="14"/>
      <c r="C417" s="17" t="s">
        <v>315</v>
      </c>
      <c r="D417" s="70" t="s">
        <v>348</v>
      </c>
      <c r="E417" s="18">
        <v>18.010000000000002</v>
      </c>
      <c r="F417" s="18">
        <f t="shared" si="75"/>
        <v>3</v>
      </c>
      <c r="G417" s="19">
        <f t="shared" si="70"/>
        <v>54.03</v>
      </c>
      <c r="H417" s="69">
        <v>0</v>
      </c>
      <c r="I417" s="18">
        <v>1</v>
      </c>
      <c r="J417" s="71" t="str">
        <f t="shared" si="71"/>
        <v xml:space="preserve"> </v>
      </c>
      <c r="K417" s="73">
        <f t="shared" si="72"/>
        <v>54.03</v>
      </c>
      <c r="L417" s="398"/>
      <c r="M417" s="403" t="str">
        <f t="shared" si="73"/>
        <v/>
      </c>
      <c r="N417" s="398"/>
      <c r="O417" s="403" t="str">
        <f t="shared" si="74"/>
        <v/>
      </c>
    </row>
    <row r="418" spans="2:15">
      <c r="B418" s="14"/>
      <c r="C418" s="17" t="s">
        <v>495</v>
      </c>
      <c r="D418" s="70" t="s">
        <v>348</v>
      </c>
      <c r="E418" s="18">
        <v>13.85</v>
      </c>
      <c r="F418" s="18">
        <f t="shared" si="75"/>
        <v>3</v>
      </c>
      <c r="G418" s="19">
        <f t="shared" si="70"/>
        <v>41.55</v>
      </c>
      <c r="H418" s="69">
        <v>0</v>
      </c>
      <c r="I418" s="18">
        <v>1</v>
      </c>
      <c r="J418" s="71" t="str">
        <f t="shared" si="71"/>
        <v xml:space="preserve"> </v>
      </c>
      <c r="K418" s="73">
        <f t="shared" si="72"/>
        <v>41.55</v>
      </c>
      <c r="L418" s="398"/>
      <c r="M418" s="403" t="str">
        <f t="shared" si="73"/>
        <v/>
      </c>
      <c r="N418" s="398"/>
      <c r="O418" s="403" t="str">
        <f t="shared" si="74"/>
        <v/>
      </c>
    </row>
    <row r="419" spans="2:15">
      <c r="B419" s="14"/>
      <c r="C419" s="17" t="s">
        <v>496</v>
      </c>
      <c r="D419" s="70" t="s">
        <v>347</v>
      </c>
      <c r="E419" s="18">
        <v>12.7</v>
      </c>
      <c r="F419" s="18">
        <f t="shared" si="75"/>
        <v>3</v>
      </c>
      <c r="G419" s="19">
        <f t="shared" si="70"/>
        <v>38.099999999999994</v>
      </c>
      <c r="H419" s="69">
        <v>0</v>
      </c>
      <c r="I419" s="18">
        <v>1</v>
      </c>
      <c r="J419" s="71">
        <f t="shared" si="71"/>
        <v>38.099999999999994</v>
      </c>
      <c r="K419" s="73" t="str">
        <f t="shared" si="72"/>
        <v xml:space="preserve"> </v>
      </c>
      <c r="L419" s="398"/>
      <c r="M419" s="403" t="str">
        <f t="shared" si="73"/>
        <v/>
      </c>
      <c r="N419" s="398"/>
      <c r="O419" s="403" t="str">
        <f t="shared" si="74"/>
        <v/>
      </c>
    </row>
    <row r="420" spans="2:15">
      <c r="B420" s="14"/>
      <c r="C420" s="17" t="s">
        <v>497</v>
      </c>
      <c r="D420" s="70" t="s">
        <v>348</v>
      </c>
      <c r="E420" s="18">
        <v>13</v>
      </c>
      <c r="F420" s="18">
        <f t="shared" si="75"/>
        <v>3</v>
      </c>
      <c r="G420" s="19">
        <f t="shared" si="70"/>
        <v>39</v>
      </c>
      <c r="H420" s="69">
        <v>0</v>
      </c>
      <c r="I420" s="18">
        <v>1</v>
      </c>
      <c r="J420" s="71" t="str">
        <f t="shared" si="71"/>
        <v xml:space="preserve"> </v>
      </c>
      <c r="K420" s="73">
        <f t="shared" si="72"/>
        <v>39</v>
      </c>
      <c r="L420" s="398"/>
      <c r="M420" s="403" t="str">
        <f t="shared" si="73"/>
        <v/>
      </c>
      <c r="N420" s="398"/>
      <c r="O420" s="403" t="str">
        <f t="shared" si="74"/>
        <v/>
      </c>
    </row>
    <row r="421" spans="2:15">
      <c r="B421" s="14"/>
      <c r="C421" s="17" t="s">
        <v>495</v>
      </c>
      <c r="D421" s="70" t="s">
        <v>348</v>
      </c>
      <c r="E421" s="18">
        <v>13.85</v>
      </c>
      <c r="F421" s="18">
        <f t="shared" si="75"/>
        <v>3</v>
      </c>
      <c r="G421" s="19">
        <f t="shared" si="70"/>
        <v>41.55</v>
      </c>
      <c r="H421" s="69">
        <v>0</v>
      </c>
      <c r="I421" s="18">
        <v>1</v>
      </c>
      <c r="J421" s="71" t="str">
        <f t="shared" si="71"/>
        <v xml:space="preserve"> </v>
      </c>
      <c r="K421" s="73">
        <f t="shared" si="72"/>
        <v>41.55</v>
      </c>
      <c r="L421" s="398"/>
      <c r="M421" s="403" t="str">
        <f t="shared" si="73"/>
        <v/>
      </c>
      <c r="N421" s="398"/>
      <c r="O421" s="403" t="str">
        <f t="shared" si="74"/>
        <v/>
      </c>
    </row>
    <row r="422" spans="2:15">
      <c r="B422" s="14"/>
      <c r="C422" s="17" t="s">
        <v>308</v>
      </c>
      <c r="D422" s="70" t="s">
        <v>347</v>
      </c>
      <c r="E422" s="18">
        <v>8.6999999999999993</v>
      </c>
      <c r="F422" s="18">
        <f t="shared" si="75"/>
        <v>3</v>
      </c>
      <c r="G422" s="19">
        <f t="shared" si="70"/>
        <v>26.099999999999998</v>
      </c>
      <c r="H422" s="69">
        <v>0</v>
      </c>
      <c r="I422" s="18">
        <v>1</v>
      </c>
      <c r="J422" s="71">
        <f t="shared" si="71"/>
        <v>26.099999999999998</v>
      </c>
      <c r="K422" s="73" t="str">
        <f t="shared" si="72"/>
        <v xml:space="preserve"> </v>
      </c>
      <c r="L422" s="398"/>
      <c r="M422" s="403" t="str">
        <f t="shared" si="73"/>
        <v/>
      </c>
      <c r="N422" s="398"/>
      <c r="O422" s="403" t="str">
        <f t="shared" si="74"/>
        <v/>
      </c>
    </row>
    <row r="423" spans="2:15">
      <c r="B423" s="14"/>
      <c r="C423" s="17" t="s">
        <v>499</v>
      </c>
      <c r="D423" s="70" t="s">
        <v>347</v>
      </c>
      <c r="E423" s="18">
        <v>12.260000000000002</v>
      </c>
      <c r="F423" s="18">
        <f t="shared" si="75"/>
        <v>3</v>
      </c>
      <c r="G423" s="19">
        <f t="shared" si="70"/>
        <v>36.78</v>
      </c>
      <c r="H423" s="69">
        <v>0</v>
      </c>
      <c r="I423" s="18">
        <v>1</v>
      </c>
      <c r="J423" s="71">
        <f t="shared" si="71"/>
        <v>36.78</v>
      </c>
      <c r="K423" s="73" t="str">
        <f t="shared" si="72"/>
        <v xml:space="preserve"> </v>
      </c>
      <c r="L423" s="398"/>
      <c r="M423" s="403" t="str">
        <f t="shared" si="73"/>
        <v/>
      </c>
      <c r="N423" s="398"/>
      <c r="O423" s="403" t="str">
        <f t="shared" si="74"/>
        <v/>
      </c>
    </row>
    <row r="424" spans="2:15">
      <c r="B424" s="14"/>
      <c r="C424" s="17" t="s">
        <v>500</v>
      </c>
      <c r="D424" s="70" t="s">
        <v>348</v>
      </c>
      <c r="E424" s="18">
        <v>19.61</v>
      </c>
      <c r="F424" s="18">
        <f t="shared" si="75"/>
        <v>3</v>
      </c>
      <c r="G424" s="19">
        <f t="shared" si="70"/>
        <v>58.83</v>
      </c>
      <c r="H424" s="69">
        <v>0</v>
      </c>
      <c r="I424" s="18">
        <v>1</v>
      </c>
      <c r="J424" s="71" t="str">
        <f t="shared" si="71"/>
        <v xml:space="preserve"> </v>
      </c>
      <c r="K424" s="73">
        <f t="shared" si="72"/>
        <v>58.83</v>
      </c>
      <c r="L424" s="398"/>
      <c r="M424" s="403" t="str">
        <f t="shared" si="73"/>
        <v/>
      </c>
      <c r="N424" s="398"/>
      <c r="O424" s="403" t="str">
        <f t="shared" si="74"/>
        <v/>
      </c>
    </row>
    <row r="425" spans="2:15">
      <c r="B425" s="14"/>
      <c r="C425" s="17" t="s">
        <v>325</v>
      </c>
      <c r="D425" s="70" t="s">
        <v>348</v>
      </c>
      <c r="E425" s="18">
        <v>87.95</v>
      </c>
      <c r="F425" s="18">
        <f t="shared" si="75"/>
        <v>3</v>
      </c>
      <c r="G425" s="19">
        <f t="shared" si="70"/>
        <v>263.85000000000002</v>
      </c>
      <c r="H425" s="69">
        <v>0</v>
      </c>
      <c r="I425" s="18">
        <v>1</v>
      </c>
      <c r="J425" s="71" t="str">
        <f t="shared" si="71"/>
        <v xml:space="preserve"> </v>
      </c>
      <c r="K425" s="73">
        <f t="shared" si="72"/>
        <v>263.85000000000002</v>
      </c>
      <c r="L425" s="398"/>
      <c r="M425" s="403" t="str">
        <f t="shared" si="73"/>
        <v/>
      </c>
      <c r="N425" s="398"/>
      <c r="O425" s="403" t="str">
        <f t="shared" si="74"/>
        <v/>
      </c>
    </row>
    <row r="426" spans="2:15">
      <c r="B426" s="14"/>
      <c r="C426" s="17" t="s">
        <v>430</v>
      </c>
      <c r="D426" s="70" t="s">
        <v>348</v>
      </c>
      <c r="E426" s="18">
        <v>17.05</v>
      </c>
      <c r="F426" s="18">
        <f t="shared" si="75"/>
        <v>3</v>
      </c>
      <c r="G426" s="19">
        <f t="shared" si="70"/>
        <v>51.150000000000006</v>
      </c>
      <c r="H426" s="69">
        <v>0</v>
      </c>
      <c r="I426" s="18">
        <v>1</v>
      </c>
      <c r="J426" s="71" t="str">
        <f t="shared" si="71"/>
        <v xml:space="preserve"> </v>
      </c>
      <c r="K426" s="73">
        <f t="shared" si="72"/>
        <v>51.150000000000006</v>
      </c>
      <c r="L426" s="398"/>
      <c r="M426" s="403" t="str">
        <f t="shared" si="73"/>
        <v/>
      </c>
      <c r="N426" s="398"/>
      <c r="O426" s="403" t="str">
        <f t="shared" si="74"/>
        <v/>
      </c>
    </row>
    <row r="427" spans="2:15">
      <c r="B427" s="14"/>
      <c r="C427" s="17" t="s">
        <v>428</v>
      </c>
      <c r="D427" s="70" t="s">
        <v>347</v>
      </c>
      <c r="E427" s="18">
        <v>9.5399999999999991</v>
      </c>
      <c r="F427" s="18">
        <f t="shared" si="75"/>
        <v>3</v>
      </c>
      <c r="G427" s="19">
        <f t="shared" si="70"/>
        <v>28.619999999999997</v>
      </c>
      <c r="H427" s="69">
        <v>0</v>
      </c>
      <c r="I427" s="18">
        <v>1</v>
      </c>
      <c r="J427" s="71">
        <f t="shared" si="71"/>
        <v>28.619999999999997</v>
      </c>
      <c r="K427" s="73" t="str">
        <f t="shared" si="72"/>
        <v xml:space="preserve"> </v>
      </c>
      <c r="L427" s="398"/>
      <c r="M427" s="403" t="str">
        <f t="shared" si="73"/>
        <v/>
      </c>
      <c r="N427" s="398"/>
      <c r="O427" s="403" t="str">
        <f t="shared" si="74"/>
        <v/>
      </c>
    </row>
    <row r="428" spans="2:15">
      <c r="B428" s="14"/>
      <c r="C428" s="17" t="s">
        <v>430</v>
      </c>
      <c r="D428" s="70" t="s">
        <v>348</v>
      </c>
      <c r="E428" s="18">
        <v>17.05</v>
      </c>
      <c r="F428" s="18">
        <f t="shared" si="75"/>
        <v>3</v>
      </c>
      <c r="G428" s="19">
        <f t="shared" si="70"/>
        <v>51.150000000000006</v>
      </c>
      <c r="H428" s="69">
        <v>0</v>
      </c>
      <c r="I428" s="18">
        <v>1</v>
      </c>
      <c r="J428" s="71" t="str">
        <f t="shared" si="71"/>
        <v xml:space="preserve"> </v>
      </c>
      <c r="K428" s="73">
        <f t="shared" si="72"/>
        <v>51.150000000000006</v>
      </c>
      <c r="L428" s="398"/>
      <c r="M428" s="403" t="str">
        <f t="shared" si="73"/>
        <v/>
      </c>
      <c r="N428" s="398"/>
      <c r="O428" s="403" t="str">
        <f t="shared" si="74"/>
        <v/>
      </c>
    </row>
    <row r="429" spans="2:15">
      <c r="B429" s="14"/>
      <c r="C429" s="17" t="s">
        <v>428</v>
      </c>
      <c r="D429" s="70" t="s">
        <v>347</v>
      </c>
      <c r="E429" s="18">
        <v>9.5399999999999991</v>
      </c>
      <c r="F429" s="18">
        <f t="shared" si="75"/>
        <v>3</v>
      </c>
      <c r="G429" s="19">
        <f t="shared" si="70"/>
        <v>28.619999999999997</v>
      </c>
      <c r="H429" s="69">
        <v>0</v>
      </c>
      <c r="I429" s="18">
        <v>1</v>
      </c>
      <c r="J429" s="71">
        <f t="shared" si="71"/>
        <v>28.619999999999997</v>
      </c>
      <c r="K429" s="73" t="str">
        <f t="shared" si="72"/>
        <v xml:space="preserve"> </v>
      </c>
      <c r="L429" s="398"/>
      <c r="M429" s="403" t="str">
        <f t="shared" si="73"/>
        <v/>
      </c>
      <c r="N429" s="398"/>
      <c r="O429" s="403" t="str">
        <f t="shared" si="74"/>
        <v/>
      </c>
    </row>
    <row r="430" spans="2:15">
      <c r="B430" s="14"/>
      <c r="C430" s="17" t="s">
        <v>396</v>
      </c>
      <c r="D430" s="70" t="s">
        <v>348</v>
      </c>
      <c r="E430" s="18">
        <v>15.32</v>
      </c>
      <c r="F430" s="18">
        <f t="shared" si="75"/>
        <v>3</v>
      </c>
      <c r="G430" s="19">
        <f t="shared" si="70"/>
        <v>45.96</v>
      </c>
      <c r="H430" s="69">
        <v>0</v>
      </c>
      <c r="I430" s="18">
        <v>1</v>
      </c>
      <c r="J430" s="71" t="str">
        <f t="shared" si="71"/>
        <v xml:space="preserve"> </v>
      </c>
      <c r="K430" s="73">
        <f t="shared" si="72"/>
        <v>45.96</v>
      </c>
      <c r="L430" s="398"/>
      <c r="M430" s="403" t="str">
        <f t="shared" si="73"/>
        <v/>
      </c>
      <c r="N430" s="398"/>
      <c r="O430" s="403" t="str">
        <f t="shared" si="74"/>
        <v/>
      </c>
    </row>
    <row r="431" spans="2:15">
      <c r="B431" s="14"/>
      <c r="C431" s="17" t="s">
        <v>476</v>
      </c>
      <c r="D431" s="70" t="s">
        <v>347</v>
      </c>
      <c r="E431" s="18">
        <v>9.8000000000000007</v>
      </c>
      <c r="F431" s="18">
        <f t="shared" si="75"/>
        <v>3</v>
      </c>
      <c r="G431" s="19">
        <f t="shared" si="70"/>
        <v>29.400000000000002</v>
      </c>
      <c r="H431" s="69">
        <v>0</v>
      </c>
      <c r="I431" s="18">
        <v>1</v>
      </c>
      <c r="J431" s="71">
        <f t="shared" si="71"/>
        <v>29.400000000000002</v>
      </c>
      <c r="K431" s="73" t="str">
        <f t="shared" si="72"/>
        <v xml:space="preserve"> </v>
      </c>
      <c r="L431" s="398"/>
      <c r="M431" s="403" t="str">
        <f t="shared" si="73"/>
        <v/>
      </c>
      <c r="N431" s="398"/>
      <c r="O431" s="403" t="str">
        <f t="shared" si="74"/>
        <v/>
      </c>
    </row>
    <row r="432" spans="2:15">
      <c r="B432" s="14"/>
      <c r="C432" s="17" t="s">
        <v>501</v>
      </c>
      <c r="D432" s="70" t="s">
        <v>348</v>
      </c>
      <c r="E432" s="18">
        <v>10.14</v>
      </c>
      <c r="F432" s="18">
        <f t="shared" si="75"/>
        <v>3</v>
      </c>
      <c r="G432" s="19">
        <f t="shared" si="70"/>
        <v>30.42</v>
      </c>
      <c r="H432" s="69">
        <v>0</v>
      </c>
      <c r="I432" s="18">
        <v>1</v>
      </c>
      <c r="J432" s="71" t="str">
        <f t="shared" si="71"/>
        <v xml:space="preserve"> </v>
      </c>
      <c r="K432" s="73">
        <f t="shared" si="72"/>
        <v>30.42</v>
      </c>
      <c r="L432" s="398"/>
      <c r="M432" s="403" t="str">
        <f t="shared" si="73"/>
        <v/>
      </c>
      <c r="N432" s="398"/>
      <c r="O432" s="403" t="str">
        <f t="shared" si="74"/>
        <v/>
      </c>
    </row>
    <row r="433" spans="2:15">
      <c r="B433" s="14"/>
      <c r="C433" s="17" t="s">
        <v>421</v>
      </c>
      <c r="D433" s="70" t="s">
        <v>348</v>
      </c>
      <c r="E433" s="18">
        <v>13.2</v>
      </c>
      <c r="F433" s="18">
        <f t="shared" si="75"/>
        <v>3</v>
      </c>
      <c r="G433" s="19">
        <f t="shared" si="70"/>
        <v>39.599999999999994</v>
      </c>
      <c r="H433" s="69">
        <v>0</v>
      </c>
      <c r="I433" s="18">
        <v>1</v>
      </c>
      <c r="J433" s="71" t="str">
        <f t="shared" si="71"/>
        <v xml:space="preserve"> </v>
      </c>
      <c r="K433" s="73">
        <f t="shared" si="72"/>
        <v>39.599999999999994</v>
      </c>
      <c r="L433" s="398"/>
      <c r="M433" s="403" t="str">
        <f t="shared" si="73"/>
        <v/>
      </c>
      <c r="N433" s="398"/>
      <c r="O433" s="403" t="str">
        <f t="shared" si="74"/>
        <v/>
      </c>
    </row>
    <row r="434" spans="2:15">
      <c r="B434" s="14"/>
      <c r="C434" s="17" t="s">
        <v>502</v>
      </c>
      <c r="D434" s="70" t="s">
        <v>348</v>
      </c>
      <c r="E434" s="18">
        <v>119</v>
      </c>
      <c r="F434" s="18">
        <f t="shared" si="75"/>
        <v>3</v>
      </c>
      <c r="G434" s="19">
        <f t="shared" si="70"/>
        <v>357</v>
      </c>
      <c r="H434" s="69">
        <v>0</v>
      </c>
      <c r="I434" s="18">
        <v>1</v>
      </c>
      <c r="J434" s="71" t="str">
        <f t="shared" si="71"/>
        <v xml:space="preserve"> </v>
      </c>
      <c r="K434" s="73">
        <f t="shared" si="72"/>
        <v>357</v>
      </c>
      <c r="L434" s="398"/>
      <c r="M434" s="403" t="str">
        <f t="shared" si="73"/>
        <v/>
      </c>
      <c r="N434" s="398" t="s">
        <v>952</v>
      </c>
      <c r="O434" s="403">
        <f t="shared" si="74"/>
        <v>357</v>
      </c>
    </row>
    <row r="435" spans="2:15">
      <c r="B435" s="14"/>
      <c r="C435" s="26" t="s">
        <v>503</v>
      </c>
      <c r="D435" s="70" t="s">
        <v>348</v>
      </c>
      <c r="E435" s="18">
        <v>74.599999999999994</v>
      </c>
      <c r="F435" s="18">
        <f t="shared" si="75"/>
        <v>3</v>
      </c>
      <c r="G435" s="19">
        <f t="shared" si="70"/>
        <v>223.79999999999998</v>
      </c>
      <c r="H435" s="69">
        <v>0</v>
      </c>
      <c r="I435" s="18">
        <v>1</v>
      </c>
      <c r="J435" s="71" t="str">
        <f t="shared" si="71"/>
        <v xml:space="preserve"> </v>
      </c>
      <c r="K435" s="73">
        <f t="shared" si="72"/>
        <v>223.79999999999998</v>
      </c>
      <c r="L435" s="398"/>
      <c r="M435" s="403" t="str">
        <f t="shared" si="73"/>
        <v/>
      </c>
      <c r="N435" s="398" t="s">
        <v>952</v>
      </c>
      <c r="O435" s="403">
        <f t="shared" si="74"/>
        <v>223.79999999999998</v>
      </c>
    </row>
    <row r="436" spans="2:15">
      <c r="B436" s="14"/>
      <c r="C436" s="17" t="s">
        <v>421</v>
      </c>
      <c r="D436" s="70" t="s">
        <v>348</v>
      </c>
      <c r="E436" s="18">
        <v>11.25</v>
      </c>
      <c r="F436" s="18">
        <f t="shared" si="75"/>
        <v>3</v>
      </c>
      <c r="G436" s="19">
        <f t="shared" si="70"/>
        <v>33.75</v>
      </c>
      <c r="H436" s="69">
        <v>0</v>
      </c>
      <c r="I436" s="18">
        <v>1</v>
      </c>
      <c r="J436" s="71" t="str">
        <f t="shared" si="71"/>
        <v xml:space="preserve"> </v>
      </c>
      <c r="K436" s="73">
        <f t="shared" si="72"/>
        <v>33.75</v>
      </c>
      <c r="L436" s="398"/>
      <c r="M436" s="403" t="str">
        <f t="shared" si="73"/>
        <v/>
      </c>
      <c r="N436" s="398"/>
      <c r="O436" s="403" t="str">
        <f t="shared" si="74"/>
        <v/>
      </c>
    </row>
    <row r="437" spans="2:15">
      <c r="B437" s="14"/>
      <c r="C437" s="17" t="s">
        <v>428</v>
      </c>
      <c r="D437" s="70" t="s">
        <v>347</v>
      </c>
      <c r="E437" s="18">
        <v>9.1999999999999993</v>
      </c>
      <c r="F437" s="18">
        <f t="shared" si="75"/>
        <v>3</v>
      </c>
      <c r="G437" s="19">
        <f t="shared" si="70"/>
        <v>27.599999999999998</v>
      </c>
      <c r="H437" s="69">
        <v>0</v>
      </c>
      <c r="I437" s="18">
        <v>1</v>
      </c>
      <c r="J437" s="71">
        <f t="shared" si="71"/>
        <v>27.599999999999998</v>
      </c>
      <c r="K437" s="73" t="str">
        <f t="shared" si="72"/>
        <v xml:space="preserve"> </v>
      </c>
      <c r="L437" s="398"/>
      <c r="M437" s="403" t="str">
        <f t="shared" si="73"/>
        <v/>
      </c>
      <c r="N437" s="398"/>
      <c r="O437" s="403" t="str">
        <f t="shared" si="74"/>
        <v/>
      </c>
    </row>
    <row r="438" spans="2:15">
      <c r="B438" s="14"/>
      <c r="C438" s="17" t="s">
        <v>423</v>
      </c>
      <c r="D438" s="70" t="s">
        <v>348</v>
      </c>
      <c r="E438" s="18">
        <v>13</v>
      </c>
      <c r="F438" s="18">
        <f t="shared" si="75"/>
        <v>3</v>
      </c>
      <c r="G438" s="19">
        <f t="shared" si="70"/>
        <v>39</v>
      </c>
      <c r="H438" s="69">
        <v>0</v>
      </c>
      <c r="I438" s="18">
        <v>1</v>
      </c>
      <c r="J438" s="71" t="str">
        <f t="shared" si="71"/>
        <v xml:space="preserve"> </v>
      </c>
      <c r="K438" s="73">
        <f t="shared" si="72"/>
        <v>39</v>
      </c>
      <c r="L438" s="398"/>
      <c r="M438" s="403" t="str">
        <f t="shared" si="73"/>
        <v/>
      </c>
      <c r="N438" s="398"/>
      <c r="O438" s="403" t="str">
        <f t="shared" si="74"/>
        <v/>
      </c>
    </row>
    <row r="439" spans="2:15">
      <c r="B439" s="14"/>
      <c r="C439" s="17" t="s">
        <v>423</v>
      </c>
      <c r="D439" s="70" t="s">
        <v>348</v>
      </c>
      <c r="E439" s="18">
        <v>13</v>
      </c>
      <c r="F439" s="18">
        <f t="shared" si="75"/>
        <v>3</v>
      </c>
      <c r="G439" s="19">
        <f t="shared" si="70"/>
        <v>39</v>
      </c>
      <c r="H439" s="69">
        <v>0</v>
      </c>
      <c r="I439" s="18">
        <v>1</v>
      </c>
      <c r="J439" s="71" t="str">
        <f t="shared" si="71"/>
        <v xml:space="preserve"> </v>
      </c>
      <c r="K439" s="73">
        <f t="shared" si="72"/>
        <v>39</v>
      </c>
      <c r="L439" s="398"/>
      <c r="M439" s="403" t="str">
        <f t="shared" si="73"/>
        <v/>
      </c>
      <c r="N439" s="398"/>
      <c r="O439" s="403" t="str">
        <f t="shared" si="74"/>
        <v/>
      </c>
    </row>
    <row r="440" spans="2:15">
      <c r="B440" s="14"/>
      <c r="C440" s="17" t="s">
        <v>428</v>
      </c>
      <c r="D440" s="70" t="s">
        <v>347</v>
      </c>
      <c r="E440" s="18">
        <v>9.1999999999999993</v>
      </c>
      <c r="F440" s="18">
        <f t="shared" si="75"/>
        <v>3</v>
      </c>
      <c r="G440" s="19">
        <f t="shared" si="70"/>
        <v>27.599999999999998</v>
      </c>
      <c r="H440" s="69">
        <v>0</v>
      </c>
      <c r="I440" s="18">
        <v>1</v>
      </c>
      <c r="J440" s="71">
        <f t="shared" si="71"/>
        <v>27.599999999999998</v>
      </c>
      <c r="K440" s="73" t="str">
        <f t="shared" si="72"/>
        <v xml:space="preserve"> </v>
      </c>
      <c r="L440" s="398"/>
      <c r="M440" s="403" t="str">
        <f t="shared" si="73"/>
        <v/>
      </c>
      <c r="N440" s="398"/>
      <c r="O440" s="403" t="str">
        <f t="shared" si="74"/>
        <v/>
      </c>
    </row>
    <row r="441" spans="2:15">
      <c r="B441" s="14"/>
      <c r="C441" s="17" t="s">
        <v>504</v>
      </c>
      <c r="D441" s="70" t="s">
        <v>348</v>
      </c>
      <c r="E441" s="18">
        <v>8.86</v>
      </c>
      <c r="F441" s="18">
        <f t="shared" si="75"/>
        <v>3</v>
      </c>
      <c r="G441" s="19">
        <f t="shared" si="70"/>
        <v>26.58</v>
      </c>
      <c r="H441" s="69">
        <v>0</v>
      </c>
      <c r="I441" s="18">
        <v>1</v>
      </c>
      <c r="J441" s="71" t="str">
        <f t="shared" si="71"/>
        <v xml:space="preserve"> </v>
      </c>
      <c r="K441" s="73">
        <f t="shared" si="72"/>
        <v>26.58</v>
      </c>
      <c r="L441" s="398"/>
      <c r="M441" s="403" t="str">
        <f t="shared" si="73"/>
        <v/>
      </c>
      <c r="N441" s="398"/>
      <c r="O441" s="403" t="str">
        <f t="shared" si="74"/>
        <v/>
      </c>
    </row>
    <row r="442" spans="2:15">
      <c r="B442" s="14"/>
      <c r="C442" s="17" t="s">
        <v>505</v>
      </c>
      <c r="D442" s="70" t="s">
        <v>348</v>
      </c>
      <c r="E442" s="18">
        <v>16.420000000000002</v>
      </c>
      <c r="F442" s="18">
        <f t="shared" si="75"/>
        <v>3</v>
      </c>
      <c r="G442" s="19">
        <f t="shared" si="70"/>
        <v>49.260000000000005</v>
      </c>
      <c r="H442" s="69">
        <v>0</v>
      </c>
      <c r="I442" s="18">
        <v>1</v>
      </c>
      <c r="J442" s="71" t="str">
        <f t="shared" si="71"/>
        <v xml:space="preserve"> </v>
      </c>
      <c r="K442" s="73">
        <f t="shared" si="72"/>
        <v>49.260000000000005</v>
      </c>
      <c r="L442" s="398"/>
      <c r="M442" s="403" t="str">
        <f t="shared" si="73"/>
        <v/>
      </c>
      <c r="N442" s="398"/>
      <c r="O442" s="403" t="str">
        <f t="shared" si="74"/>
        <v/>
      </c>
    </row>
    <row r="443" spans="2:15">
      <c r="B443" s="14"/>
      <c r="C443" s="17" t="s">
        <v>428</v>
      </c>
      <c r="D443" s="70" t="s">
        <v>347</v>
      </c>
      <c r="E443" s="18">
        <v>8.85</v>
      </c>
      <c r="F443" s="18">
        <f t="shared" si="75"/>
        <v>3</v>
      </c>
      <c r="G443" s="19">
        <f t="shared" si="70"/>
        <v>26.549999999999997</v>
      </c>
      <c r="H443" s="69">
        <v>0</v>
      </c>
      <c r="I443" s="18">
        <v>1</v>
      </c>
      <c r="J443" s="71">
        <f t="shared" si="71"/>
        <v>26.549999999999997</v>
      </c>
      <c r="K443" s="73" t="str">
        <f t="shared" si="72"/>
        <v xml:space="preserve"> </v>
      </c>
      <c r="L443" s="398"/>
      <c r="M443" s="403" t="str">
        <f t="shared" ref="M443:M472" si="76">IF(L443="x",G443,"")</f>
        <v/>
      </c>
      <c r="N443" s="398"/>
      <c r="O443" s="403" t="str">
        <f t="shared" ref="O443:O472" si="77">IF(N443="x",G443,"")</f>
        <v/>
      </c>
    </row>
    <row r="444" spans="2:15">
      <c r="B444" s="14"/>
      <c r="C444" s="17" t="s">
        <v>506</v>
      </c>
      <c r="D444" s="70" t="s">
        <v>348</v>
      </c>
      <c r="E444" s="18">
        <v>14.66</v>
      </c>
      <c r="F444" s="18">
        <f t="shared" si="75"/>
        <v>3</v>
      </c>
      <c r="G444" s="19">
        <f t="shared" si="70"/>
        <v>43.980000000000004</v>
      </c>
      <c r="H444" s="69">
        <v>0</v>
      </c>
      <c r="I444" s="18">
        <v>1</v>
      </c>
      <c r="J444" s="71" t="str">
        <f t="shared" si="71"/>
        <v xml:space="preserve"> </v>
      </c>
      <c r="K444" s="73">
        <f t="shared" si="72"/>
        <v>43.980000000000004</v>
      </c>
      <c r="L444" s="398"/>
      <c r="M444" s="403" t="str">
        <f t="shared" si="76"/>
        <v/>
      </c>
      <c r="N444" s="398"/>
      <c r="O444" s="403" t="str">
        <f t="shared" si="77"/>
        <v/>
      </c>
    </row>
    <row r="445" spans="2:15">
      <c r="B445" s="14"/>
      <c r="C445" s="17" t="s">
        <v>404</v>
      </c>
      <c r="D445" s="70" t="s">
        <v>348</v>
      </c>
      <c r="E445" s="18">
        <v>14.66</v>
      </c>
      <c r="F445" s="18">
        <f t="shared" si="75"/>
        <v>3</v>
      </c>
      <c r="G445" s="19">
        <f t="shared" si="70"/>
        <v>43.980000000000004</v>
      </c>
      <c r="H445" s="69">
        <v>0</v>
      </c>
      <c r="I445" s="18">
        <v>1</v>
      </c>
      <c r="J445" s="71" t="str">
        <f t="shared" si="71"/>
        <v xml:space="preserve"> </v>
      </c>
      <c r="K445" s="73">
        <f t="shared" si="72"/>
        <v>43.980000000000004</v>
      </c>
      <c r="L445" s="398"/>
      <c r="M445" s="403" t="str">
        <f t="shared" si="76"/>
        <v/>
      </c>
      <c r="N445" s="398"/>
      <c r="O445" s="403" t="str">
        <f t="shared" si="77"/>
        <v/>
      </c>
    </row>
    <row r="446" spans="2:15">
      <c r="B446" s="14"/>
      <c r="C446" s="17" t="s">
        <v>507</v>
      </c>
      <c r="D446" s="70" t="s">
        <v>348</v>
      </c>
      <c r="E446" s="18">
        <v>141.80000000000001</v>
      </c>
      <c r="F446" s="18">
        <f t="shared" si="75"/>
        <v>3</v>
      </c>
      <c r="G446" s="19">
        <f t="shared" si="70"/>
        <v>425.40000000000003</v>
      </c>
      <c r="H446" s="69">
        <v>0</v>
      </c>
      <c r="I446" s="18">
        <v>1</v>
      </c>
      <c r="J446" s="71" t="str">
        <f t="shared" si="71"/>
        <v xml:space="preserve"> </v>
      </c>
      <c r="K446" s="73">
        <f t="shared" si="72"/>
        <v>425.40000000000003</v>
      </c>
      <c r="L446" s="398"/>
      <c r="M446" s="403" t="str">
        <f t="shared" si="76"/>
        <v/>
      </c>
      <c r="N446" s="398" t="s">
        <v>952</v>
      </c>
      <c r="O446" s="403">
        <f t="shared" si="77"/>
        <v>425.40000000000003</v>
      </c>
    </row>
    <row r="447" spans="2:15">
      <c r="B447" s="14"/>
      <c r="C447" s="135" t="s">
        <v>295</v>
      </c>
      <c r="D447" s="70" t="s">
        <v>348</v>
      </c>
      <c r="E447" s="18">
        <f>77.75+68.75</f>
        <v>146.5</v>
      </c>
      <c r="F447" s="18">
        <f t="shared" si="75"/>
        <v>3</v>
      </c>
      <c r="G447" s="19">
        <f t="shared" si="70"/>
        <v>439.5</v>
      </c>
      <c r="H447" s="69">
        <v>0</v>
      </c>
      <c r="I447" s="18">
        <v>1</v>
      </c>
      <c r="J447" s="71" t="str">
        <f t="shared" si="71"/>
        <v xml:space="preserve"> </v>
      </c>
      <c r="K447" s="73">
        <f t="shared" si="72"/>
        <v>439.5</v>
      </c>
      <c r="L447" s="398" t="s">
        <v>952</v>
      </c>
      <c r="M447" s="403">
        <f t="shared" si="76"/>
        <v>439.5</v>
      </c>
      <c r="N447" s="398"/>
      <c r="O447" s="403" t="str">
        <f t="shared" si="77"/>
        <v/>
      </c>
    </row>
    <row r="448" spans="2:15">
      <c r="B448" s="14"/>
      <c r="C448" s="135" t="s">
        <v>493</v>
      </c>
      <c r="D448" s="70" t="s">
        <v>348</v>
      </c>
      <c r="E448" s="18">
        <v>28.06</v>
      </c>
      <c r="F448" s="18">
        <f t="shared" si="75"/>
        <v>3</v>
      </c>
      <c r="G448" s="19">
        <f t="shared" si="70"/>
        <v>84.179999999999993</v>
      </c>
      <c r="H448" s="69">
        <v>0</v>
      </c>
      <c r="I448" s="18">
        <v>1</v>
      </c>
      <c r="J448" s="71" t="str">
        <f t="shared" si="71"/>
        <v xml:space="preserve"> </v>
      </c>
      <c r="K448" s="73">
        <f t="shared" si="72"/>
        <v>84.179999999999993</v>
      </c>
      <c r="L448" s="398"/>
      <c r="M448" s="403" t="str">
        <f t="shared" si="76"/>
        <v/>
      </c>
      <c r="N448" s="398"/>
      <c r="O448" s="403" t="str">
        <f t="shared" si="77"/>
        <v/>
      </c>
    </row>
    <row r="449" spans="2:15">
      <c r="B449" s="14"/>
      <c r="C449" s="135" t="s">
        <v>296</v>
      </c>
      <c r="D449" s="70" t="s">
        <v>348</v>
      </c>
      <c r="E449" s="18">
        <v>64.38</v>
      </c>
      <c r="F449" s="18">
        <f t="shared" si="75"/>
        <v>3</v>
      </c>
      <c r="G449" s="19">
        <f t="shared" si="70"/>
        <v>193.14</v>
      </c>
      <c r="H449" s="69">
        <v>0</v>
      </c>
      <c r="I449" s="18">
        <v>1</v>
      </c>
      <c r="J449" s="71" t="str">
        <f t="shared" si="71"/>
        <v xml:space="preserve"> </v>
      </c>
      <c r="K449" s="73">
        <f t="shared" si="72"/>
        <v>193.14</v>
      </c>
      <c r="L449" s="398"/>
      <c r="M449" s="403" t="str">
        <f t="shared" si="76"/>
        <v/>
      </c>
      <c r="N449" s="398"/>
      <c r="O449" s="403" t="str">
        <f t="shared" si="77"/>
        <v/>
      </c>
    </row>
    <row r="450" spans="2:15">
      <c r="B450" s="14"/>
      <c r="C450" s="135" t="s">
        <v>408</v>
      </c>
      <c r="D450" s="70" t="s">
        <v>348</v>
      </c>
      <c r="E450" s="18">
        <v>36.619999999999997</v>
      </c>
      <c r="F450" s="18">
        <f t="shared" si="75"/>
        <v>3</v>
      </c>
      <c r="G450" s="19">
        <f t="shared" si="70"/>
        <v>109.85999999999999</v>
      </c>
      <c r="H450" s="69">
        <v>0</v>
      </c>
      <c r="I450" s="18">
        <v>1</v>
      </c>
      <c r="J450" s="71" t="str">
        <f t="shared" si="71"/>
        <v xml:space="preserve"> </v>
      </c>
      <c r="K450" s="73">
        <f t="shared" si="72"/>
        <v>109.85999999999999</v>
      </c>
      <c r="L450" s="398"/>
      <c r="M450" s="403" t="str">
        <f t="shared" si="76"/>
        <v/>
      </c>
      <c r="N450" s="398"/>
      <c r="O450" s="403" t="str">
        <f t="shared" si="77"/>
        <v/>
      </c>
    </row>
    <row r="451" spans="2:15">
      <c r="B451" s="14"/>
      <c r="C451" s="135" t="s">
        <v>357</v>
      </c>
      <c r="D451" s="70" t="s">
        <v>347</v>
      </c>
      <c r="E451" s="18">
        <v>7.1</v>
      </c>
      <c r="F451" s="18">
        <f t="shared" si="75"/>
        <v>3</v>
      </c>
      <c r="G451" s="19">
        <f t="shared" si="70"/>
        <v>21.299999999999997</v>
      </c>
      <c r="H451" s="69">
        <v>0</v>
      </c>
      <c r="I451" s="18">
        <v>1</v>
      </c>
      <c r="J451" s="71">
        <f t="shared" si="71"/>
        <v>21.299999999999997</v>
      </c>
      <c r="K451" s="73" t="str">
        <f t="shared" si="72"/>
        <v xml:space="preserve"> </v>
      </c>
      <c r="L451" s="398"/>
      <c r="M451" s="403" t="str">
        <f t="shared" si="76"/>
        <v/>
      </c>
      <c r="N451" s="398"/>
      <c r="O451" s="403" t="str">
        <f t="shared" si="77"/>
        <v/>
      </c>
    </row>
    <row r="452" spans="2:15">
      <c r="B452" s="14"/>
      <c r="C452" s="135" t="s">
        <v>356</v>
      </c>
      <c r="D452" s="70" t="s">
        <v>347</v>
      </c>
      <c r="E452" s="18">
        <v>7.1</v>
      </c>
      <c r="F452" s="18">
        <f t="shared" si="75"/>
        <v>3</v>
      </c>
      <c r="G452" s="19">
        <f t="shared" si="70"/>
        <v>21.299999999999997</v>
      </c>
      <c r="H452" s="69">
        <v>0</v>
      </c>
      <c r="I452" s="18">
        <v>1</v>
      </c>
      <c r="J452" s="71">
        <f t="shared" si="71"/>
        <v>21.299999999999997</v>
      </c>
      <c r="K452" s="73" t="str">
        <f t="shared" si="72"/>
        <v xml:space="preserve"> </v>
      </c>
      <c r="L452" s="398"/>
      <c r="M452" s="403" t="str">
        <f t="shared" si="76"/>
        <v/>
      </c>
      <c r="N452" s="398"/>
      <c r="O452" s="403" t="str">
        <f t="shared" si="77"/>
        <v/>
      </c>
    </row>
    <row r="453" spans="2:15">
      <c r="B453" s="14"/>
      <c r="C453" s="135" t="s">
        <v>297</v>
      </c>
      <c r="D453" s="136" t="s">
        <v>348</v>
      </c>
      <c r="E453" s="137">
        <v>14.3</v>
      </c>
      <c r="F453" s="137">
        <f t="shared" si="75"/>
        <v>3</v>
      </c>
      <c r="G453" s="138">
        <f t="shared" si="70"/>
        <v>42.900000000000006</v>
      </c>
      <c r="H453" s="69">
        <v>0</v>
      </c>
      <c r="I453" s="137">
        <v>1</v>
      </c>
      <c r="J453" s="139" t="str">
        <f t="shared" si="71"/>
        <v xml:space="preserve"> </v>
      </c>
      <c r="K453" s="140">
        <f t="shared" si="72"/>
        <v>42.900000000000006</v>
      </c>
      <c r="L453" s="398" t="s">
        <v>952</v>
      </c>
      <c r="M453" s="403">
        <f t="shared" si="76"/>
        <v>42.900000000000006</v>
      </c>
      <c r="N453" s="398"/>
      <c r="O453" s="403" t="str">
        <f t="shared" si="77"/>
        <v/>
      </c>
    </row>
    <row r="454" spans="2:15">
      <c r="B454" s="14"/>
      <c r="C454" s="135" t="s">
        <v>494</v>
      </c>
      <c r="D454" s="70" t="s">
        <v>348</v>
      </c>
      <c r="E454" s="137">
        <v>9.76</v>
      </c>
      <c r="F454" s="137">
        <f t="shared" si="75"/>
        <v>3</v>
      </c>
      <c r="G454" s="138">
        <f t="shared" si="70"/>
        <v>29.28</v>
      </c>
      <c r="H454" s="69">
        <v>0</v>
      </c>
      <c r="I454" s="137">
        <v>1</v>
      </c>
      <c r="J454" s="139" t="str">
        <f t="shared" si="71"/>
        <v xml:space="preserve"> </v>
      </c>
      <c r="K454" s="140">
        <f t="shared" si="72"/>
        <v>29.28</v>
      </c>
      <c r="L454" s="398"/>
      <c r="M454" s="403" t="str">
        <f t="shared" si="76"/>
        <v/>
      </c>
      <c r="N454" s="398"/>
      <c r="O454" s="403" t="str">
        <f t="shared" si="77"/>
        <v/>
      </c>
    </row>
    <row r="455" spans="2:15">
      <c r="B455" s="14"/>
      <c r="C455" s="135" t="s">
        <v>307</v>
      </c>
      <c r="D455" s="70" t="s">
        <v>348</v>
      </c>
      <c r="E455" s="18">
        <v>11.8</v>
      </c>
      <c r="F455" s="18">
        <f t="shared" si="75"/>
        <v>3</v>
      </c>
      <c r="G455" s="19">
        <f t="shared" si="70"/>
        <v>35.400000000000006</v>
      </c>
      <c r="H455" s="69">
        <v>0</v>
      </c>
      <c r="I455" s="18">
        <v>2</v>
      </c>
      <c r="J455" s="71" t="str">
        <f t="shared" si="71"/>
        <v xml:space="preserve"> </v>
      </c>
      <c r="K455" s="73">
        <f t="shared" si="72"/>
        <v>70.800000000000011</v>
      </c>
      <c r="L455" s="398" t="s">
        <v>952</v>
      </c>
      <c r="M455" s="403">
        <f t="shared" si="76"/>
        <v>35.400000000000006</v>
      </c>
      <c r="N455" s="398"/>
      <c r="O455" s="403" t="str">
        <f t="shared" si="77"/>
        <v/>
      </c>
    </row>
    <row r="456" spans="2:15">
      <c r="B456" s="14"/>
      <c r="C456" s="135" t="s">
        <v>457</v>
      </c>
      <c r="D456" s="70" t="s">
        <v>348</v>
      </c>
      <c r="E456" s="18">
        <v>20.240000000000002</v>
      </c>
      <c r="F456" s="18">
        <f t="shared" si="75"/>
        <v>3</v>
      </c>
      <c r="G456" s="19">
        <f t="shared" si="70"/>
        <v>60.720000000000006</v>
      </c>
      <c r="H456" s="69">
        <v>0</v>
      </c>
      <c r="I456" s="18">
        <v>1</v>
      </c>
      <c r="J456" s="71" t="str">
        <f t="shared" si="71"/>
        <v xml:space="preserve"> </v>
      </c>
      <c r="K456" s="73">
        <f t="shared" si="72"/>
        <v>60.720000000000006</v>
      </c>
      <c r="L456" s="398" t="s">
        <v>952</v>
      </c>
      <c r="M456" s="403">
        <f t="shared" si="76"/>
        <v>60.720000000000006</v>
      </c>
      <c r="N456" s="398"/>
      <c r="O456" s="403" t="str">
        <f t="shared" si="77"/>
        <v/>
      </c>
    </row>
    <row r="457" spans="2:15">
      <c r="B457" s="14"/>
      <c r="C457" s="135" t="s">
        <v>458</v>
      </c>
      <c r="D457" s="70" t="s">
        <v>348</v>
      </c>
      <c r="E457" s="18">
        <v>20.240000000000002</v>
      </c>
      <c r="F457" s="18">
        <f t="shared" si="75"/>
        <v>3</v>
      </c>
      <c r="G457" s="19">
        <f t="shared" si="70"/>
        <v>60.720000000000006</v>
      </c>
      <c r="H457" s="69">
        <v>0</v>
      </c>
      <c r="I457" s="18">
        <v>1</v>
      </c>
      <c r="J457" s="71" t="str">
        <f t="shared" si="71"/>
        <v xml:space="preserve"> </v>
      </c>
      <c r="K457" s="73">
        <f t="shared" si="72"/>
        <v>60.720000000000006</v>
      </c>
      <c r="L457" s="398" t="s">
        <v>952</v>
      </c>
      <c r="M457" s="403">
        <f t="shared" si="76"/>
        <v>60.720000000000006</v>
      </c>
      <c r="N457" s="398"/>
      <c r="O457" s="403" t="str">
        <f t="shared" si="77"/>
        <v/>
      </c>
    </row>
    <row r="458" spans="2:15">
      <c r="B458" s="14"/>
      <c r="C458" s="135" t="s">
        <v>459</v>
      </c>
      <c r="D458" s="70" t="s">
        <v>348</v>
      </c>
      <c r="E458" s="18">
        <v>19.100000000000001</v>
      </c>
      <c r="F458" s="18">
        <f t="shared" si="75"/>
        <v>3</v>
      </c>
      <c r="G458" s="19">
        <f t="shared" si="70"/>
        <v>57.300000000000004</v>
      </c>
      <c r="H458" s="69">
        <v>0</v>
      </c>
      <c r="I458" s="18">
        <v>1</v>
      </c>
      <c r="J458" s="71" t="str">
        <f t="shared" si="71"/>
        <v xml:space="preserve"> </v>
      </c>
      <c r="K458" s="73">
        <f t="shared" si="72"/>
        <v>57.300000000000004</v>
      </c>
      <c r="L458" s="398" t="s">
        <v>952</v>
      </c>
      <c r="M458" s="403">
        <f t="shared" si="76"/>
        <v>57.300000000000004</v>
      </c>
      <c r="N458" s="398"/>
      <c r="O458" s="403" t="str">
        <f t="shared" si="77"/>
        <v/>
      </c>
    </row>
    <row r="459" spans="2:15">
      <c r="B459" s="14"/>
      <c r="C459" s="135" t="s">
        <v>437</v>
      </c>
      <c r="D459" s="70" t="s">
        <v>348</v>
      </c>
      <c r="E459" s="18">
        <v>15</v>
      </c>
      <c r="F459" s="18">
        <v>4.5</v>
      </c>
      <c r="G459" s="19">
        <f t="shared" si="70"/>
        <v>67.5</v>
      </c>
      <c r="H459" s="69">
        <v>0</v>
      </c>
      <c r="I459" s="18">
        <v>1</v>
      </c>
      <c r="J459" s="71" t="str">
        <f t="shared" si="71"/>
        <v xml:space="preserve"> </v>
      </c>
      <c r="K459" s="73">
        <f t="shared" si="72"/>
        <v>67.5</v>
      </c>
      <c r="L459" s="398" t="s">
        <v>952</v>
      </c>
      <c r="M459" s="403">
        <f t="shared" si="76"/>
        <v>67.5</v>
      </c>
      <c r="N459" s="398"/>
      <c r="O459" s="403" t="str">
        <f t="shared" si="77"/>
        <v/>
      </c>
    </row>
    <row r="460" spans="2:15">
      <c r="B460" s="14"/>
      <c r="C460" s="135" t="s">
        <v>437</v>
      </c>
      <c r="D460" s="70" t="s">
        <v>348</v>
      </c>
      <c r="E460" s="18">
        <v>15</v>
      </c>
      <c r="F460" s="18">
        <v>1</v>
      </c>
      <c r="G460" s="19">
        <f t="shared" si="70"/>
        <v>15</v>
      </c>
      <c r="H460" s="69">
        <v>0</v>
      </c>
      <c r="I460" s="18">
        <v>1</v>
      </c>
      <c r="J460" s="71" t="str">
        <f t="shared" si="71"/>
        <v xml:space="preserve"> </v>
      </c>
      <c r="K460" s="73">
        <f t="shared" si="72"/>
        <v>15</v>
      </c>
      <c r="L460" s="398" t="s">
        <v>952</v>
      </c>
      <c r="M460" s="403">
        <f t="shared" si="76"/>
        <v>15</v>
      </c>
      <c r="N460" s="398"/>
      <c r="O460" s="403" t="str">
        <f t="shared" si="77"/>
        <v/>
      </c>
    </row>
    <row r="461" spans="2:15">
      <c r="B461" s="14"/>
      <c r="C461" s="135" t="s">
        <v>1184</v>
      </c>
      <c r="D461" s="70" t="s">
        <v>348</v>
      </c>
      <c r="E461" s="18">
        <v>7.44</v>
      </c>
      <c r="F461" s="18">
        <v>4.5</v>
      </c>
      <c r="G461" s="19">
        <f t="shared" si="70"/>
        <v>33.480000000000004</v>
      </c>
      <c r="H461" s="69">
        <v>0</v>
      </c>
      <c r="I461" s="18">
        <v>2</v>
      </c>
      <c r="J461" s="71" t="str">
        <f t="shared" si="71"/>
        <v xml:space="preserve"> </v>
      </c>
      <c r="K461" s="73">
        <f t="shared" si="72"/>
        <v>66.960000000000008</v>
      </c>
      <c r="L461" s="398" t="s">
        <v>952</v>
      </c>
      <c r="M461" s="403">
        <f t="shared" si="76"/>
        <v>33.480000000000004</v>
      </c>
      <c r="N461" s="398"/>
      <c r="O461" s="403" t="str">
        <f t="shared" si="77"/>
        <v/>
      </c>
    </row>
    <row r="462" spans="2:15">
      <c r="B462" s="14"/>
      <c r="C462" s="135" t="s">
        <v>1185</v>
      </c>
      <c r="D462" s="70" t="s">
        <v>348</v>
      </c>
      <c r="E462" s="18">
        <v>7.44</v>
      </c>
      <c r="F462" s="18">
        <v>4.5</v>
      </c>
      <c r="G462" s="19">
        <f t="shared" si="70"/>
        <v>33.480000000000004</v>
      </c>
      <c r="H462" s="69">
        <v>0</v>
      </c>
      <c r="I462" s="18">
        <v>2</v>
      </c>
      <c r="J462" s="71" t="str">
        <f t="shared" si="71"/>
        <v xml:space="preserve"> </v>
      </c>
      <c r="K462" s="73">
        <f t="shared" si="72"/>
        <v>66.960000000000008</v>
      </c>
      <c r="L462" s="398" t="s">
        <v>952</v>
      </c>
      <c r="M462" s="403">
        <f t="shared" si="76"/>
        <v>33.480000000000004</v>
      </c>
      <c r="N462" s="398"/>
      <c r="O462" s="403" t="str">
        <f t="shared" si="77"/>
        <v/>
      </c>
    </row>
    <row r="463" spans="2:15">
      <c r="B463" s="14"/>
      <c r="C463" s="135" t="s">
        <v>1183</v>
      </c>
      <c r="D463" s="70" t="s">
        <v>348</v>
      </c>
      <c r="E463" s="18">
        <v>36.85</v>
      </c>
      <c r="F463" s="18">
        <v>4.5</v>
      </c>
      <c r="G463" s="19">
        <f t="shared" si="70"/>
        <v>165.82500000000002</v>
      </c>
      <c r="H463" s="69">
        <v>0</v>
      </c>
      <c r="I463" s="18">
        <v>1</v>
      </c>
      <c r="J463" s="71" t="str">
        <f t="shared" si="71"/>
        <v xml:space="preserve"> </v>
      </c>
      <c r="K463" s="73">
        <f t="shared" si="72"/>
        <v>165.82500000000002</v>
      </c>
      <c r="L463" s="398" t="s">
        <v>952</v>
      </c>
      <c r="M463" s="403">
        <f t="shared" si="76"/>
        <v>165.82500000000002</v>
      </c>
      <c r="N463" s="398"/>
      <c r="O463" s="403" t="str">
        <f t="shared" si="77"/>
        <v/>
      </c>
    </row>
    <row r="464" spans="2:15">
      <c r="B464" s="14"/>
      <c r="C464" s="135" t="s">
        <v>1194</v>
      </c>
      <c r="D464" s="70" t="s">
        <v>347</v>
      </c>
      <c r="E464" s="18">
        <v>27.35</v>
      </c>
      <c r="F464" s="18">
        <v>4.5</v>
      </c>
      <c r="G464" s="19">
        <f t="shared" si="70"/>
        <v>123.075</v>
      </c>
      <c r="H464" s="69">
        <v>0</v>
      </c>
      <c r="I464" s="18">
        <v>1</v>
      </c>
      <c r="J464" s="71">
        <f t="shared" si="71"/>
        <v>123.075</v>
      </c>
      <c r="K464" s="73" t="str">
        <f t="shared" si="72"/>
        <v xml:space="preserve"> </v>
      </c>
      <c r="L464" s="398"/>
      <c r="M464" s="403" t="str">
        <f t="shared" si="76"/>
        <v/>
      </c>
      <c r="N464" s="398"/>
      <c r="O464" s="403" t="str">
        <f t="shared" si="77"/>
        <v/>
      </c>
    </row>
    <row r="465" spans="2:15">
      <c r="B465" s="14"/>
      <c r="C465" s="135" t="s">
        <v>1194</v>
      </c>
      <c r="D465" s="70" t="s">
        <v>347</v>
      </c>
      <c r="E465" s="18">
        <v>19.7</v>
      </c>
      <c r="F465" s="18">
        <v>1</v>
      </c>
      <c r="G465" s="19">
        <f t="shared" si="70"/>
        <v>19.7</v>
      </c>
      <c r="H465" s="69">
        <v>0</v>
      </c>
      <c r="I465" s="18">
        <v>1</v>
      </c>
      <c r="J465" s="71">
        <f t="shared" si="71"/>
        <v>19.7</v>
      </c>
      <c r="K465" s="73" t="str">
        <f t="shared" si="72"/>
        <v xml:space="preserve"> </v>
      </c>
      <c r="L465" s="398"/>
      <c r="M465" s="403" t="str">
        <f t="shared" si="76"/>
        <v/>
      </c>
      <c r="N465" s="398"/>
      <c r="O465" s="403" t="str">
        <f t="shared" si="77"/>
        <v/>
      </c>
    </row>
    <row r="466" spans="2:15">
      <c r="B466" s="14"/>
      <c r="C466" s="135" t="s">
        <v>1195</v>
      </c>
      <c r="D466" s="70" t="s">
        <v>347</v>
      </c>
      <c r="E466" s="18">
        <f>23.8+10.35</f>
        <v>34.15</v>
      </c>
      <c r="F466" s="18">
        <v>4.5</v>
      </c>
      <c r="G466" s="19">
        <f t="shared" si="70"/>
        <v>153.67499999999998</v>
      </c>
      <c r="H466" s="69">
        <v>0</v>
      </c>
      <c r="I466" s="18">
        <v>1</v>
      </c>
      <c r="J466" s="71">
        <f t="shared" si="71"/>
        <v>153.67499999999998</v>
      </c>
      <c r="K466" s="73" t="str">
        <f t="shared" si="72"/>
        <v xml:space="preserve"> </v>
      </c>
      <c r="L466" s="398"/>
      <c r="M466" s="403" t="str">
        <f t="shared" si="76"/>
        <v/>
      </c>
      <c r="N466" s="398"/>
      <c r="O466" s="403" t="str">
        <f t="shared" si="77"/>
        <v/>
      </c>
    </row>
    <row r="467" spans="2:15">
      <c r="B467" s="14"/>
      <c r="C467" s="135" t="s">
        <v>1195</v>
      </c>
      <c r="D467" s="70" t="s">
        <v>347</v>
      </c>
      <c r="E467" s="18">
        <f>9.9+10.8</f>
        <v>20.700000000000003</v>
      </c>
      <c r="F467" s="18">
        <f>1.95+1</f>
        <v>2.95</v>
      </c>
      <c r="G467" s="19">
        <f t="shared" si="70"/>
        <v>61.065000000000012</v>
      </c>
      <c r="H467" s="69">
        <v>0</v>
      </c>
      <c r="I467" s="18">
        <v>1</v>
      </c>
      <c r="J467" s="71">
        <f t="shared" si="71"/>
        <v>61.065000000000012</v>
      </c>
      <c r="K467" s="73" t="str">
        <f t="shared" si="72"/>
        <v xml:space="preserve"> </v>
      </c>
      <c r="L467" s="398"/>
      <c r="M467" s="403" t="str">
        <f t="shared" si="76"/>
        <v/>
      </c>
      <c r="N467" s="398"/>
      <c r="O467" s="403" t="str">
        <f t="shared" si="77"/>
        <v/>
      </c>
    </row>
    <row r="468" spans="2:15">
      <c r="B468" s="14"/>
      <c r="C468" s="135" t="s">
        <v>1195</v>
      </c>
      <c r="D468" s="70" t="s">
        <v>347</v>
      </c>
      <c r="E468" s="18">
        <v>15.3</v>
      </c>
      <c r="F468" s="18">
        <v>1</v>
      </c>
      <c r="G468" s="19">
        <f t="shared" si="70"/>
        <v>15.3</v>
      </c>
      <c r="H468" s="69">
        <v>0</v>
      </c>
      <c r="I468" s="18">
        <v>1</v>
      </c>
      <c r="J468" s="71">
        <f t="shared" si="71"/>
        <v>15.3</v>
      </c>
      <c r="K468" s="73" t="str">
        <f t="shared" si="72"/>
        <v xml:space="preserve"> </v>
      </c>
      <c r="L468" s="398"/>
      <c r="M468" s="403" t="str">
        <f t="shared" si="76"/>
        <v/>
      </c>
      <c r="N468" s="398"/>
      <c r="O468" s="403" t="str">
        <f t="shared" si="77"/>
        <v/>
      </c>
    </row>
    <row r="469" spans="2:15">
      <c r="B469" s="14"/>
      <c r="C469" s="135" t="s">
        <v>1196</v>
      </c>
      <c r="D469" s="70" t="s">
        <v>347</v>
      </c>
      <c r="E469" s="18">
        <v>38.75</v>
      </c>
      <c r="F469" s="18">
        <f>1.95+1</f>
        <v>2.95</v>
      </c>
      <c r="G469" s="19">
        <f t="shared" si="70"/>
        <v>114.3125</v>
      </c>
      <c r="H469" s="69">
        <v>0</v>
      </c>
      <c r="I469" s="18">
        <v>1</v>
      </c>
      <c r="J469" s="71">
        <f t="shared" si="71"/>
        <v>114.3125</v>
      </c>
      <c r="K469" s="73" t="str">
        <f t="shared" si="72"/>
        <v xml:space="preserve"> </v>
      </c>
      <c r="L469" s="398"/>
      <c r="M469" s="403" t="str">
        <f t="shared" si="76"/>
        <v/>
      </c>
      <c r="N469" s="398"/>
      <c r="O469" s="403" t="str">
        <f t="shared" si="77"/>
        <v/>
      </c>
    </row>
    <row r="470" spans="2:15">
      <c r="B470" s="14"/>
      <c r="C470" s="135" t="s">
        <v>1197</v>
      </c>
      <c r="D470" s="70" t="s">
        <v>347</v>
      </c>
      <c r="E470" s="18">
        <v>14.15</v>
      </c>
      <c r="F470" s="18">
        <v>4.5</v>
      </c>
      <c r="G470" s="19">
        <f t="shared" si="70"/>
        <v>63.675000000000004</v>
      </c>
      <c r="H470" s="69">
        <v>0</v>
      </c>
      <c r="I470" s="18">
        <v>1</v>
      </c>
      <c r="J470" s="71">
        <f t="shared" si="71"/>
        <v>63.675000000000004</v>
      </c>
      <c r="K470" s="73" t="str">
        <f t="shared" si="72"/>
        <v xml:space="preserve"> </v>
      </c>
      <c r="L470" s="398"/>
      <c r="M470" s="403" t="str">
        <f t="shared" si="76"/>
        <v/>
      </c>
      <c r="N470" s="398"/>
      <c r="O470" s="403" t="str">
        <f t="shared" si="77"/>
        <v/>
      </c>
    </row>
    <row r="471" spans="2:15">
      <c r="B471" s="14"/>
      <c r="C471" s="135" t="s">
        <v>1197</v>
      </c>
      <c r="D471" s="70" t="s">
        <v>347</v>
      </c>
      <c r="E471" s="18">
        <v>34.799999999999997</v>
      </c>
      <c r="F471" s="18">
        <f>1.95+1</f>
        <v>2.95</v>
      </c>
      <c r="G471" s="19">
        <f t="shared" si="70"/>
        <v>102.66</v>
      </c>
      <c r="H471" s="69">
        <v>0</v>
      </c>
      <c r="I471" s="18">
        <v>1</v>
      </c>
      <c r="J471" s="71">
        <f t="shared" si="71"/>
        <v>102.66</v>
      </c>
      <c r="K471" s="73" t="str">
        <f t="shared" si="72"/>
        <v xml:space="preserve"> </v>
      </c>
      <c r="L471" s="398"/>
      <c r="M471" s="403" t="str">
        <f t="shared" si="76"/>
        <v/>
      </c>
      <c r="N471" s="398"/>
      <c r="O471" s="403" t="str">
        <f t="shared" si="77"/>
        <v/>
      </c>
    </row>
    <row r="472" spans="2:15">
      <c r="L472" s="398"/>
      <c r="M472" s="403" t="str">
        <f t="shared" si="76"/>
        <v/>
      </c>
      <c r="N472" s="398"/>
      <c r="O472" s="403" t="str">
        <f t="shared" si="77"/>
        <v/>
      </c>
    </row>
    <row r="473" spans="2:15">
      <c r="B473" s="14" t="s">
        <v>156</v>
      </c>
      <c r="C473" s="1004" t="s">
        <v>155</v>
      </c>
      <c r="D473" s="1004"/>
      <c r="E473" s="1004"/>
      <c r="F473" s="1004"/>
      <c r="G473" s="1004"/>
      <c r="H473" s="1004"/>
      <c r="I473" s="1004"/>
      <c r="J473" s="76">
        <f>SUM(J474:J558)</f>
        <v>1315.5324999999998</v>
      </c>
      <c r="K473" s="400">
        <f>SUM(K474:K558)</f>
        <v>3844.4609999999998</v>
      </c>
      <c r="L473" s="398"/>
      <c r="M473" s="400">
        <f>SUM(M474:M558)</f>
        <v>1011.825</v>
      </c>
      <c r="N473" s="398"/>
      <c r="O473" s="400">
        <f>SUM(O474:O558)</f>
        <v>426.92999999999995</v>
      </c>
    </row>
    <row r="474" spans="2:15">
      <c r="B474" s="14"/>
      <c r="C474" s="17" t="s">
        <v>509</v>
      </c>
      <c r="D474" s="70" t="s">
        <v>347</v>
      </c>
      <c r="E474" s="18">
        <v>9.1999999999999993</v>
      </c>
      <c r="F474" s="18">
        <f>$I$24</f>
        <v>3</v>
      </c>
      <c r="G474" s="19">
        <f t="shared" ref="G474:G537" si="78">PRODUCT(E474,F474)</f>
        <v>27.599999999999998</v>
      </c>
      <c r="H474" s="69">
        <v>0</v>
      </c>
      <c r="I474" s="18">
        <v>1</v>
      </c>
      <c r="J474" s="71">
        <f t="shared" ref="J474:J537" si="79">IF(D474="Emboço",G474*I474," ")</f>
        <v>27.599999999999998</v>
      </c>
      <c r="K474" s="73" t="str">
        <f t="shared" ref="K474:K537" si="80">IF(D474="Reboco",G474*I474," ")</f>
        <v xml:space="preserve"> </v>
      </c>
      <c r="L474" s="398"/>
      <c r="M474" s="403" t="str">
        <f t="shared" ref="M474:M505" si="81">IF(L474="x",G474,"")</f>
        <v/>
      </c>
      <c r="N474" s="398"/>
      <c r="O474" s="403" t="str">
        <f t="shared" ref="O474:O505" si="82">IF(N474="x",G474,"")</f>
        <v/>
      </c>
    </row>
    <row r="475" spans="2:15">
      <c r="B475" s="14"/>
      <c r="C475" s="17" t="s">
        <v>510</v>
      </c>
      <c r="D475" s="70" t="s">
        <v>347</v>
      </c>
      <c r="E475" s="18">
        <v>9.1999999999999993</v>
      </c>
      <c r="F475" s="18">
        <f t="shared" ref="F475:F538" si="83">$F$474</f>
        <v>3</v>
      </c>
      <c r="G475" s="19">
        <f t="shared" si="78"/>
        <v>27.599999999999998</v>
      </c>
      <c r="H475" s="69">
        <v>0</v>
      </c>
      <c r="I475" s="18">
        <v>1</v>
      </c>
      <c r="J475" s="71">
        <f t="shared" si="79"/>
        <v>27.599999999999998</v>
      </c>
      <c r="K475" s="73" t="str">
        <f t="shared" si="80"/>
        <v xml:space="preserve"> </v>
      </c>
      <c r="L475" s="398"/>
      <c r="M475" s="403" t="str">
        <f t="shared" si="81"/>
        <v/>
      </c>
      <c r="N475" s="398"/>
      <c r="O475" s="403" t="str">
        <f t="shared" si="82"/>
        <v/>
      </c>
    </row>
    <row r="476" spans="2:15">
      <c r="B476" s="14"/>
      <c r="C476" s="17" t="s">
        <v>308</v>
      </c>
      <c r="D476" s="70" t="s">
        <v>347</v>
      </c>
      <c r="E476" s="18">
        <v>8.2200000000000006</v>
      </c>
      <c r="F476" s="18">
        <f t="shared" si="83"/>
        <v>3</v>
      </c>
      <c r="G476" s="19">
        <f t="shared" si="78"/>
        <v>24.660000000000004</v>
      </c>
      <c r="H476" s="69">
        <v>0</v>
      </c>
      <c r="I476" s="18">
        <v>1</v>
      </c>
      <c r="J476" s="71">
        <f t="shared" si="79"/>
        <v>24.660000000000004</v>
      </c>
      <c r="K476" s="73" t="str">
        <f t="shared" si="80"/>
        <v xml:space="preserve"> </v>
      </c>
      <c r="L476" s="398"/>
      <c r="M476" s="403" t="str">
        <f t="shared" si="81"/>
        <v/>
      </c>
      <c r="N476" s="398"/>
      <c r="O476" s="403" t="str">
        <f t="shared" si="82"/>
        <v/>
      </c>
    </row>
    <row r="477" spans="2:15">
      <c r="B477" s="14"/>
      <c r="C477" s="17" t="s">
        <v>511</v>
      </c>
      <c r="D477" s="70" t="s">
        <v>348</v>
      </c>
      <c r="E477" s="18">
        <v>16.86</v>
      </c>
      <c r="F477" s="18">
        <f t="shared" si="83"/>
        <v>3</v>
      </c>
      <c r="G477" s="19">
        <f t="shared" si="78"/>
        <v>50.58</v>
      </c>
      <c r="H477" s="69">
        <v>0</v>
      </c>
      <c r="I477" s="18">
        <v>1</v>
      </c>
      <c r="J477" s="71" t="str">
        <f t="shared" si="79"/>
        <v xml:space="preserve"> </v>
      </c>
      <c r="K477" s="73">
        <f t="shared" si="80"/>
        <v>50.58</v>
      </c>
      <c r="L477" s="398"/>
      <c r="M477" s="403" t="str">
        <f t="shared" si="81"/>
        <v/>
      </c>
      <c r="N477" s="398"/>
      <c r="O477" s="403" t="str">
        <f t="shared" si="82"/>
        <v/>
      </c>
    </row>
    <row r="478" spans="2:15">
      <c r="B478" s="14"/>
      <c r="C478" s="17" t="s">
        <v>512</v>
      </c>
      <c r="D478" s="70" t="s">
        <v>348</v>
      </c>
      <c r="E478" s="18">
        <v>11.82</v>
      </c>
      <c r="F478" s="18">
        <f t="shared" si="83"/>
        <v>3</v>
      </c>
      <c r="G478" s="19">
        <f t="shared" si="78"/>
        <v>35.46</v>
      </c>
      <c r="H478" s="69">
        <v>0</v>
      </c>
      <c r="I478" s="18">
        <v>1</v>
      </c>
      <c r="J478" s="71" t="str">
        <f t="shared" si="79"/>
        <v xml:space="preserve"> </v>
      </c>
      <c r="K478" s="73">
        <f t="shared" si="80"/>
        <v>35.46</v>
      </c>
      <c r="L478" s="398"/>
      <c r="M478" s="403" t="str">
        <f t="shared" si="81"/>
        <v/>
      </c>
      <c r="N478" s="398"/>
      <c r="O478" s="403" t="str">
        <f t="shared" si="82"/>
        <v/>
      </c>
    </row>
    <row r="479" spans="2:15">
      <c r="B479" s="14"/>
      <c r="C479" s="17" t="s">
        <v>513</v>
      </c>
      <c r="D479" s="70" t="s">
        <v>348</v>
      </c>
      <c r="E479" s="18">
        <v>21.35</v>
      </c>
      <c r="F479" s="18">
        <f t="shared" si="83"/>
        <v>3</v>
      </c>
      <c r="G479" s="19">
        <f t="shared" si="78"/>
        <v>64.050000000000011</v>
      </c>
      <c r="H479" s="69">
        <v>0</v>
      </c>
      <c r="I479" s="18">
        <v>1</v>
      </c>
      <c r="J479" s="71" t="str">
        <f t="shared" si="79"/>
        <v xml:space="preserve"> </v>
      </c>
      <c r="K479" s="73">
        <f t="shared" si="80"/>
        <v>64.050000000000011</v>
      </c>
      <c r="L479" s="398"/>
      <c r="M479" s="403" t="str">
        <f t="shared" si="81"/>
        <v/>
      </c>
      <c r="N479" s="398"/>
      <c r="O479" s="403" t="str">
        <f t="shared" si="82"/>
        <v/>
      </c>
    </row>
    <row r="480" spans="2:15">
      <c r="B480" s="14"/>
      <c r="C480" s="17" t="s">
        <v>404</v>
      </c>
      <c r="D480" s="70" t="s">
        <v>348</v>
      </c>
      <c r="E480" s="18">
        <v>14.32</v>
      </c>
      <c r="F480" s="18">
        <f t="shared" si="83"/>
        <v>3</v>
      </c>
      <c r="G480" s="19">
        <f t="shared" si="78"/>
        <v>42.96</v>
      </c>
      <c r="H480" s="69">
        <v>0</v>
      </c>
      <c r="I480" s="18">
        <v>1</v>
      </c>
      <c r="J480" s="71" t="str">
        <f t="shared" si="79"/>
        <v xml:space="preserve"> </v>
      </c>
      <c r="K480" s="73">
        <f t="shared" si="80"/>
        <v>42.96</v>
      </c>
      <c r="L480" s="398"/>
      <c r="M480" s="403" t="str">
        <f t="shared" si="81"/>
        <v/>
      </c>
      <c r="N480" s="398"/>
      <c r="O480" s="403" t="str">
        <f t="shared" si="82"/>
        <v/>
      </c>
    </row>
    <row r="481" spans="2:15">
      <c r="B481" s="14"/>
      <c r="C481" s="17" t="s">
        <v>514</v>
      </c>
      <c r="D481" s="70" t="s">
        <v>348</v>
      </c>
      <c r="E481" s="18">
        <v>14.3</v>
      </c>
      <c r="F481" s="18">
        <f t="shared" si="83"/>
        <v>3</v>
      </c>
      <c r="G481" s="19">
        <f t="shared" si="78"/>
        <v>42.900000000000006</v>
      </c>
      <c r="H481" s="69">
        <v>0</v>
      </c>
      <c r="I481" s="18">
        <v>1</v>
      </c>
      <c r="J481" s="71" t="str">
        <f t="shared" si="79"/>
        <v xml:space="preserve"> </v>
      </c>
      <c r="K481" s="73">
        <f t="shared" si="80"/>
        <v>42.900000000000006</v>
      </c>
      <c r="L481" s="398"/>
      <c r="M481" s="403" t="str">
        <f t="shared" si="81"/>
        <v/>
      </c>
      <c r="N481" s="398"/>
      <c r="O481" s="403" t="str">
        <f t="shared" si="82"/>
        <v/>
      </c>
    </row>
    <row r="482" spans="2:15">
      <c r="B482" s="14"/>
      <c r="C482" s="17" t="s">
        <v>404</v>
      </c>
      <c r="D482" s="70" t="s">
        <v>348</v>
      </c>
      <c r="E482" s="18">
        <v>14.3</v>
      </c>
      <c r="F482" s="18">
        <f t="shared" si="83"/>
        <v>3</v>
      </c>
      <c r="G482" s="19">
        <f t="shared" si="78"/>
        <v>42.900000000000006</v>
      </c>
      <c r="H482" s="69">
        <v>0</v>
      </c>
      <c r="I482" s="18">
        <v>1</v>
      </c>
      <c r="J482" s="71" t="str">
        <f t="shared" si="79"/>
        <v xml:space="preserve"> </v>
      </c>
      <c r="K482" s="73">
        <f t="shared" si="80"/>
        <v>42.900000000000006</v>
      </c>
      <c r="L482" s="398"/>
      <c r="M482" s="403" t="str">
        <f t="shared" si="81"/>
        <v/>
      </c>
      <c r="N482" s="398"/>
      <c r="O482" s="403" t="str">
        <f t="shared" si="82"/>
        <v/>
      </c>
    </row>
    <row r="483" spans="2:15">
      <c r="B483" s="14"/>
      <c r="C483" s="17" t="s">
        <v>515</v>
      </c>
      <c r="D483" s="70" t="s">
        <v>348</v>
      </c>
      <c r="E483" s="18">
        <v>14.3</v>
      </c>
      <c r="F483" s="18">
        <f t="shared" si="83"/>
        <v>3</v>
      </c>
      <c r="G483" s="19">
        <f t="shared" si="78"/>
        <v>42.900000000000006</v>
      </c>
      <c r="H483" s="69">
        <v>0</v>
      </c>
      <c r="I483" s="18">
        <v>1</v>
      </c>
      <c r="J483" s="71" t="str">
        <f t="shared" si="79"/>
        <v xml:space="preserve"> </v>
      </c>
      <c r="K483" s="73">
        <f t="shared" si="80"/>
        <v>42.900000000000006</v>
      </c>
      <c r="L483" s="398"/>
      <c r="M483" s="403" t="str">
        <f t="shared" si="81"/>
        <v/>
      </c>
      <c r="N483" s="398"/>
      <c r="O483" s="403" t="str">
        <f t="shared" si="82"/>
        <v/>
      </c>
    </row>
    <row r="484" spans="2:15">
      <c r="B484" s="14"/>
      <c r="C484" s="17" t="s">
        <v>516</v>
      </c>
      <c r="D484" s="70" t="s">
        <v>348</v>
      </c>
      <c r="E484" s="18">
        <v>21.3</v>
      </c>
      <c r="F484" s="18">
        <f t="shared" si="83"/>
        <v>3</v>
      </c>
      <c r="G484" s="19">
        <f t="shared" si="78"/>
        <v>63.900000000000006</v>
      </c>
      <c r="H484" s="69">
        <v>0</v>
      </c>
      <c r="I484" s="18">
        <v>1</v>
      </c>
      <c r="J484" s="71" t="str">
        <f t="shared" si="79"/>
        <v xml:space="preserve"> </v>
      </c>
      <c r="K484" s="73">
        <f t="shared" si="80"/>
        <v>63.900000000000006</v>
      </c>
      <c r="L484" s="398"/>
      <c r="M484" s="403" t="str">
        <f t="shared" si="81"/>
        <v/>
      </c>
      <c r="N484" s="398"/>
      <c r="O484" s="403" t="str">
        <f t="shared" si="82"/>
        <v/>
      </c>
    </row>
    <row r="485" spans="2:15">
      <c r="B485" s="14"/>
      <c r="C485" s="17" t="s">
        <v>1198</v>
      </c>
      <c r="D485" s="70" t="s">
        <v>347</v>
      </c>
      <c r="E485" s="18">
        <v>8.16</v>
      </c>
      <c r="F485" s="18">
        <f t="shared" si="83"/>
        <v>3</v>
      </c>
      <c r="G485" s="19">
        <f t="shared" si="78"/>
        <v>24.48</v>
      </c>
      <c r="H485" s="69">
        <v>0</v>
      </c>
      <c r="I485" s="18">
        <v>1</v>
      </c>
      <c r="J485" s="71">
        <f t="shared" si="79"/>
        <v>24.48</v>
      </c>
      <c r="K485" s="73" t="str">
        <f t="shared" si="80"/>
        <v xml:space="preserve"> </v>
      </c>
      <c r="L485" s="398"/>
      <c r="M485" s="403" t="str">
        <f t="shared" si="81"/>
        <v/>
      </c>
      <c r="N485" s="398"/>
      <c r="O485" s="403" t="str">
        <f t="shared" si="82"/>
        <v/>
      </c>
    </row>
    <row r="486" spans="2:15">
      <c r="B486" s="14"/>
      <c r="C486" s="17" t="s">
        <v>1199</v>
      </c>
      <c r="D486" s="70" t="s">
        <v>347</v>
      </c>
      <c r="E486" s="18">
        <v>8.16</v>
      </c>
      <c r="F486" s="18">
        <f t="shared" si="83"/>
        <v>3</v>
      </c>
      <c r="G486" s="19">
        <f t="shared" si="78"/>
        <v>24.48</v>
      </c>
      <c r="H486" s="69">
        <v>0</v>
      </c>
      <c r="I486" s="18">
        <v>1</v>
      </c>
      <c r="J486" s="71">
        <f t="shared" si="79"/>
        <v>24.48</v>
      </c>
      <c r="K486" s="73" t="str">
        <f t="shared" si="80"/>
        <v xml:space="preserve"> </v>
      </c>
      <c r="L486" s="398"/>
      <c r="M486" s="403" t="str">
        <f t="shared" si="81"/>
        <v/>
      </c>
      <c r="N486" s="398"/>
      <c r="O486" s="403" t="str">
        <f t="shared" si="82"/>
        <v/>
      </c>
    </row>
    <row r="487" spans="2:15">
      <c r="B487" s="14"/>
      <c r="C487" s="17" t="s">
        <v>516</v>
      </c>
      <c r="D487" s="70" t="s">
        <v>348</v>
      </c>
      <c r="E487" s="18">
        <v>20.82</v>
      </c>
      <c r="F487" s="18">
        <f t="shared" si="83"/>
        <v>3</v>
      </c>
      <c r="G487" s="19">
        <f t="shared" si="78"/>
        <v>62.46</v>
      </c>
      <c r="H487" s="69">
        <v>0</v>
      </c>
      <c r="I487" s="18">
        <v>1</v>
      </c>
      <c r="J487" s="71" t="str">
        <f t="shared" si="79"/>
        <v xml:space="preserve"> </v>
      </c>
      <c r="K487" s="73">
        <f t="shared" si="80"/>
        <v>62.46</v>
      </c>
      <c r="L487" s="398"/>
      <c r="M487" s="403" t="str">
        <f t="shared" si="81"/>
        <v/>
      </c>
      <c r="N487" s="398"/>
      <c r="O487" s="403" t="str">
        <f t="shared" si="82"/>
        <v/>
      </c>
    </row>
    <row r="488" spans="2:15">
      <c r="B488" s="14"/>
      <c r="C488" s="17" t="s">
        <v>418</v>
      </c>
      <c r="D488" s="70" t="s">
        <v>348</v>
      </c>
      <c r="E488" s="18">
        <v>102</v>
      </c>
      <c r="F488" s="18">
        <f t="shared" si="83"/>
        <v>3</v>
      </c>
      <c r="G488" s="19">
        <f t="shared" si="78"/>
        <v>306</v>
      </c>
      <c r="H488" s="69">
        <v>0</v>
      </c>
      <c r="I488" s="18">
        <v>1</v>
      </c>
      <c r="J488" s="71" t="str">
        <f t="shared" si="79"/>
        <v xml:space="preserve"> </v>
      </c>
      <c r="K488" s="73">
        <f t="shared" si="80"/>
        <v>306</v>
      </c>
      <c r="L488" s="398"/>
      <c r="M488" s="403" t="str">
        <f t="shared" si="81"/>
        <v/>
      </c>
      <c r="N488" s="398"/>
      <c r="O488" s="403" t="str">
        <f t="shared" si="82"/>
        <v/>
      </c>
    </row>
    <row r="489" spans="2:15">
      <c r="B489" s="14"/>
      <c r="C489" s="17" t="s">
        <v>407</v>
      </c>
      <c r="D489" s="70" t="s">
        <v>348</v>
      </c>
      <c r="E489" s="18">
        <v>67.31</v>
      </c>
      <c r="F489" s="18">
        <f t="shared" si="83"/>
        <v>3</v>
      </c>
      <c r="G489" s="19">
        <f t="shared" si="78"/>
        <v>201.93</v>
      </c>
      <c r="H489" s="69">
        <v>0</v>
      </c>
      <c r="I489" s="18">
        <v>1</v>
      </c>
      <c r="J489" s="71" t="str">
        <f t="shared" si="79"/>
        <v xml:space="preserve"> </v>
      </c>
      <c r="K489" s="73">
        <f t="shared" si="80"/>
        <v>201.93</v>
      </c>
      <c r="L489" s="398"/>
      <c r="M489" s="403" t="str">
        <f t="shared" si="81"/>
        <v/>
      </c>
      <c r="N489" s="398"/>
      <c r="O489" s="403" t="str">
        <f t="shared" si="82"/>
        <v/>
      </c>
    </row>
    <row r="490" spans="2:15">
      <c r="B490" s="14"/>
      <c r="C490" s="17" t="s">
        <v>308</v>
      </c>
      <c r="D490" s="70" t="s">
        <v>347</v>
      </c>
      <c r="E490" s="18">
        <v>10.8</v>
      </c>
      <c r="F490" s="18">
        <f t="shared" si="83"/>
        <v>3</v>
      </c>
      <c r="G490" s="19">
        <f t="shared" si="78"/>
        <v>32.400000000000006</v>
      </c>
      <c r="H490" s="69">
        <v>0</v>
      </c>
      <c r="I490" s="18">
        <v>1</v>
      </c>
      <c r="J490" s="71">
        <f t="shared" si="79"/>
        <v>32.400000000000006</v>
      </c>
      <c r="K490" s="73" t="str">
        <f t="shared" si="80"/>
        <v xml:space="preserve"> </v>
      </c>
      <c r="L490" s="398"/>
      <c r="M490" s="403" t="str">
        <f t="shared" si="81"/>
        <v/>
      </c>
      <c r="N490" s="398"/>
      <c r="O490" s="403" t="str">
        <f t="shared" si="82"/>
        <v/>
      </c>
    </row>
    <row r="491" spans="2:15">
      <c r="B491" s="14"/>
      <c r="C491" s="17" t="s">
        <v>517</v>
      </c>
      <c r="D491" s="70" t="s">
        <v>348</v>
      </c>
      <c r="E491" s="18">
        <v>14.06</v>
      </c>
      <c r="F491" s="18">
        <f t="shared" si="83"/>
        <v>3</v>
      </c>
      <c r="G491" s="19">
        <f t="shared" si="78"/>
        <v>42.18</v>
      </c>
      <c r="H491" s="69">
        <v>0</v>
      </c>
      <c r="I491" s="18">
        <v>1</v>
      </c>
      <c r="J491" s="71" t="str">
        <f t="shared" si="79"/>
        <v xml:space="preserve"> </v>
      </c>
      <c r="K491" s="73">
        <f t="shared" si="80"/>
        <v>42.18</v>
      </c>
      <c r="L491" s="398"/>
      <c r="M491" s="403" t="str">
        <f t="shared" si="81"/>
        <v/>
      </c>
      <c r="N491" s="398"/>
      <c r="O491" s="403" t="str">
        <f t="shared" si="82"/>
        <v/>
      </c>
    </row>
    <row r="492" spans="2:15">
      <c r="B492" s="14"/>
      <c r="C492" s="17" t="s">
        <v>397</v>
      </c>
      <c r="D492" s="70" t="s">
        <v>347</v>
      </c>
      <c r="E492" s="18">
        <v>5.9</v>
      </c>
      <c r="F492" s="18">
        <f t="shared" si="83"/>
        <v>3</v>
      </c>
      <c r="G492" s="19">
        <f t="shared" si="78"/>
        <v>17.700000000000003</v>
      </c>
      <c r="H492" s="69">
        <v>0</v>
      </c>
      <c r="I492" s="18">
        <v>1</v>
      </c>
      <c r="J492" s="71">
        <f t="shared" si="79"/>
        <v>17.700000000000003</v>
      </c>
      <c r="K492" s="73" t="str">
        <f t="shared" si="80"/>
        <v xml:space="preserve"> </v>
      </c>
      <c r="L492" s="398"/>
      <c r="M492" s="403" t="str">
        <f t="shared" si="81"/>
        <v/>
      </c>
      <c r="N492" s="398"/>
      <c r="O492" s="403" t="str">
        <f t="shared" si="82"/>
        <v/>
      </c>
    </row>
    <row r="493" spans="2:15">
      <c r="B493" s="14"/>
      <c r="C493" s="17" t="s">
        <v>518</v>
      </c>
      <c r="D493" s="70" t="s">
        <v>348</v>
      </c>
      <c r="E493" s="18">
        <v>14.06</v>
      </c>
      <c r="F493" s="18">
        <f t="shared" si="83"/>
        <v>3</v>
      </c>
      <c r="G493" s="19">
        <f t="shared" si="78"/>
        <v>42.18</v>
      </c>
      <c r="H493" s="69">
        <v>0</v>
      </c>
      <c r="I493" s="18">
        <v>1</v>
      </c>
      <c r="J493" s="71" t="str">
        <f t="shared" si="79"/>
        <v xml:space="preserve"> </v>
      </c>
      <c r="K493" s="73">
        <f t="shared" si="80"/>
        <v>42.18</v>
      </c>
      <c r="L493" s="398"/>
      <c r="M493" s="403" t="str">
        <f t="shared" si="81"/>
        <v/>
      </c>
      <c r="N493" s="398"/>
      <c r="O493" s="403" t="str">
        <f t="shared" si="82"/>
        <v/>
      </c>
    </row>
    <row r="494" spans="2:15">
      <c r="B494" s="14"/>
      <c r="C494" s="17" t="s">
        <v>397</v>
      </c>
      <c r="D494" s="70" t="s">
        <v>347</v>
      </c>
      <c r="E494" s="18">
        <v>5.9</v>
      </c>
      <c r="F494" s="18">
        <f t="shared" si="83"/>
        <v>3</v>
      </c>
      <c r="G494" s="19">
        <f t="shared" si="78"/>
        <v>17.700000000000003</v>
      </c>
      <c r="H494" s="69">
        <v>0</v>
      </c>
      <c r="I494" s="18">
        <v>1</v>
      </c>
      <c r="J494" s="71">
        <f t="shared" si="79"/>
        <v>17.700000000000003</v>
      </c>
      <c r="K494" s="73" t="str">
        <f t="shared" si="80"/>
        <v xml:space="preserve"> </v>
      </c>
      <c r="L494" s="398"/>
      <c r="M494" s="403" t="str">
        <f t="shared" si="81"/>
        <v/>
      </c>
      <c r="N494" s="398"/>
      <c r="O494" s="403" t="str">
        <f t="shared" si="82"/>
        <v/>
      </c>
    </row>
    <row r="495" spans="2:15">
      <c r="B495" s="14"/>
      <c r="C495" s="17" t="s">
        <v>519</v>
      </c>
      <c r="D495" s="70" t="s">
        <v>348</v>
      </c>
      <c r="E495" s="18">
        <v>14.06</v>
      </c>
      <c r="F495" s="18">
        <f t="shared" si="83"/>
        <v>3</v>
      </c>
      <c r="G495" s="19">
        <f t="shared" si="78"/>
        <v>42.18</v>
      </c>
      <c r="H495" s="69">
        <v>0</v>
      </c>
      <c r="I495" s="18">
        <v>1</v>
      </c>
      <c r="J495" s="71" t="str">
        <f t="shared" si="79"/>
        <v xml:space="preserve"> </v>
      </c>
      <c r="K495" s="73">
        <f t="shared" si="80"/>
        <v>42.18</v>
      </c>
      <c r="L495" s="398"/>
      <c r="M495" s="403" t="str">
        <f t="shared" si="81"/>
        <v/>
      </c>
      <c r="N495" s="398"/>
      <c r="O495" s="403" t="str">
        <f t="shared" si="82"/>
        <v/>
      </c>
    </row>
    <row r="496" spans="2:15">
      <c r="B496" s="14"/>
      <c r="C496" s="17" t="s">
        <v>397</v>
      </c>
      <c r="D496" s="70" t="s">
        <v>347</v>
      </c>
      <c r="E496" s="18">
        <v>5.9</v>
      </c>
      <c r="F496" s="18">
        <f t="shared" si="83"/>
        <v>3</v>
      </c>
      <c r="G496" s="19">
        <f t="shared" si="78"/>
        <v>17.700000000000003</v>
      </c>
      <c r="H496" s="69">
        <v>0</v>
      </c>
      <c r="I496" s="18">
        <v>1</v>
      </c>
      <c r="J496" s="71">
        <f t="shared" si="79"/>
        <v>17.700000000000003</v>
      </c>
      <c r="K496" s="73" t="str">
        <f t="shared" si="80"/>
        <v xml:space="preserve"> </v>
      </c>
      <c r="L496" s="398"/>
      <c r="M496" s="403" t="str">
        <f t="shared" si="81"/>
        <v/>
      </c>
      <c r="N496" s="398"/>
      <c r="O496" s="403" t="str">
        <f t="shared" si="82"/>
        <v/>
      </c>
    </row>
    <row r="497" spans="2:15">
      <c r="B497" s="14"/>
      <c r="C497" s="17" t="s">
        <v>302</v>
      </c>
      <c r="D497" s="70" t="s">
        <v>348</v>
      </c>
      <c r="E497" s="18">
        <v>12.940000000000001</v>
      </c>
      <c r="F497" s="18">
        <f t="shared" si="83"/>
        <v>3</v>
      </c>
      <c r="G497" s="19">
        <f t="shared" si="78"/>
        <v>38.820000000000007</v>
      </c>
      <c r="H497" s="69">
        <v>0</v>
      </c>
      <c r="I497" s="18">
        <v>1</v>
      </c>
      <c r="J497" s="71" t="str">
        <f t="shared" si="79"/>
        <v xml:space="preserve"> </v>
      </c>
      <c r="K497" s="73">
        <f t="shared" si="80"/>
        <v>38.820000000000007</v>
      </c>
      <c r="L497" s="398"/>
      <c r="M497" s="403" t="str">
        <f t="shared" si="81"/>
        <v/>
      </c>
      <c r="N497" s="398"/>
      <c r="O497" s="403" t="str">
        <f t="shared" si="82"/>
        <v/>
      </c>
    </row>
    <row r="498" spans="2:15">
      <c r="B498" s="14"/>
      <c r="C498" s="17" t="s">
        <v>520</v>
      </c>
      <c r="D498" s="70" t="s">
        <v>348</v>
      </c>
      <c r="E498" s="18">
        <v>14.76</v>
      </c>
      <c r="F498" s="18">
        <f t="shared" si="83"/>
        <v>3</v>
      </c>
      <c r="G498" s="19">
        <f t="shared" si="78"/>
        <v>44.28</v>
      </c>
      <c r="H498" s="69">
        <v>0</v>
      </c>
      <c r="I498" s="18">
        <v>1</v>
      </c>
      <c r="J498" s="71" t="str">
        <f t="shared" si="79"/>
        <v xml:space="preserve"> </v>
      </c>
      <c r="K498" s="73">
        <f t="shared" si="80"/>
        <v>44.28</v>
      </c>
      <c r="L498" s="398"/>
      <c r="M498" s="403" t="str">
        <f t="shared" si="81"/>
        <v/>
      </c>
      <c r="N498" s="398"/>
      <c r="O498" s="403" t="str">
        <f t="shared" si="82"/>
        <v/>
      </c>
    </row>
    <row r="499" spans="2:15">
      <c r="B499" s="14"/>
      <c r="C499" s="17" t="s">
        <v>397</v>
      </c>
      <c r="D499" s="70" t="s">
        <v>347</v>
      </c>
      <c r="E499" s="18">
        <v>5.9</v>
      </c>
      <c r="F499" s="18">
        <f t="shared" si="83"/>
        <v>3</v>
      </c>
      <c r="G499" s="19">
        <f t="shared" si="78"/>
        <v>17.700000000000003</v>
      </c>
      <c r="H499" s="69">
        <v>0</v>
      </c>
      <c r="I499" s="18">
        <v>1</v>
      </c>
      <c r="J499" s="71">
        <f t="shared" si="79"/>
        <v>17.700000000000003</v>
      </c>
      <c r="K499" s="73" t="str">
        <f t="shared" si="80"/>
        <v xml:space="preserve"> </v>
      </c>
      <c r="L499" s="398"/>
      <c r="M499" s="403" t="str">
        <f t="shared" si="81"/>
        <v/>
      </c>
      <c r="N499" s="398"/>
      <c r="O499" s="403" t="str">
        <f t="shared" si="82"/>
        <v/>
      </c>
    </row>
    <row r="500" spans="2:15">
      <c r="B500" s="14"/>
      <c r="C500" s="17" t="s">
        <v>521</v>
      </c>
      <c r="D500" s="70" t="s">
        <v>348</v>
      </c>
      <c r="E500" s="18">
        <v>14.76</v>
      </c>
      <c r="F500" s="18">
        <f t="shared" si="83"/>
        <v>3</v>
      </c>
      <c r="G500" s="19">
        <f t="shared" si="78"/>
        <v>44.28</v>
      </c>
      <c r="H500" s="69">
        <v>0</v>
      </c>
      <c r="I500" s="18">
        <v>1</v>
      </c>
      <c r="J500" s="71" t="str">
        <f t="shared" si="79"/>
        <v xml:space="preserve"> </v>
      </c>
      <c r="K500" s="73">
        <f t="shared" si="80"/>
        <v>44.28</v>
      </c>
      <c r="L500" s="398"/>
      <c r="M500" s="403" t="str">
        <f t="shared" si="81"/>
        <v/>
      </c>
      <c r="N500" s="398"/>
      <c r="O500" s="403" t="str">
        <f t="shared" si="82"/>
        <v/>
      </c>
    </row>
    <row r="501" spans="2:15">
      <c r="B501" s="14"/>
      <c r="C501" s="17" t="s">
        <v>397</v>
      </c>
      <c r="D501" s="70" t="s">
        <v>347</v>
      </c>
      <c r="E501" s="18">
        <v>5.9</v>
      </c>
      <c r="F501" s="18">
        <f t="shared" si="83"/>
        <v>3</v>
      </c>
      <c r="G501" s="19">
        <f t="shared" si="78"/>
        <v>17.700000000000003</v>
      </c>
      <c r="H501" s="69">
        <v>0</v>
      </c>
      <c r="I501" s="18">
        <v>1</v>
      </c>
      <c r="J501" s="71">
        <f t="shared" si="79"/>
        <v>17.700000000000003</v>
      </c>
      <c r="K501" s="73" t="str">
        <f t="shared" si="80"/>
        <v xml:space="preserve"> </v>
      </c>
      <c r="L501" s="398"/>
      <c r="M501" s="403" t="str">
        <f t="shared" si="81"/>
        <v/>
      </c>
      <c r="N501" s="398"/>
      <c r="O501" s="403" t="str">
        <f t="shared" si="82"/>
        <v/>
      </c>
    </row>
    <row r="502" spans="2:15">
      <c r="B502" s="14"/>
      <c r="C502" s="26" t="s">
        <v>522</v>
      </c>
      <c r="D502" s="70" t="s">
        <v>348</v>
      </c>
      <c r="E502" s="18">
        <v>14.76</v>
      </c>
      <c r="F502" s="18">
        <f t="shared" si="83"/>
        <v>3</v>
      </c>
      <c r="G502" s="19">
        <f t="shared" si="78"/>
        <v>44.28</v>
      </c>
      <c r="H502" s="69">
        <v>0</v>
      </c>
      <c r="I502" s="18">
        <v>1</v>
      </c>
      <c r="J502" s="71" t="str">
        <f t="shared" si="79"/>
        <v xml:space="preserve"> </v>
      </c>
      <c r="K502" s="73">
        <f t="shared" si="80"/>
        <v>44.28</v>
      </c>
      <c r="L502" s="398"/>
      <c r="M502" s="403" t="str">
        <f t="shared" si="81"/>
        <v/>
      </c>
      <c r="N502" s="398"/>
      <c r="O502" s="403" t="str">
        <f t="shared" si="82"/>
        <v/>
      </c>
    </row>
    <row r="503" spans="2:15">
      <c r="B503" s="14"/>
      <c r="C503" s="26" t="s">
        <v>397</v>
      </c>
      <c r="D503" s="70" t="s">
        <v>347</v>
      </c>
      <c r="E503" s="18">
        <v>5.9</v>
      </c>
      <c r="F503" s="18">
        <f t="shared" si="83"/>
        <v>3</v>
      </c>
      <c r="G503" s="19">
        <f t="shared" si="78"/>
        <v>17.700000000000003</v>
      </c>
      <c r="H503" s="69">
        <v>0</v>
      </c>
      <c r="I503" s="18">
        <v>1</v>
      </c>
      <c r="J503" s="71">
        <f t="shared" si="79"/>
        <v>17.700000000000003</v>
      </c>
      <c r="K503" s="73" t="str">
        <f t="shared" si="80"/>
        <v xml:space="preserve"> </v>
      </c>
      <c r="L503" s="398"/>
      <c r="M503" s="403" t="str">
        <f t="shared" si="81"/>
        <v/>
      </c>
      <c r="N503" s="398"/>
      <c r="O503" s="403" t="str">
        <f t="shared" si="82"/>
        <v/>
      </c>
    </row>
    <row r="504" spans="2:15">
      <c r="B504" s="14"/>
      <c r="C504" s="26" t="s">
        <v>523</v>
      </c>
      <c r="D504" s="70" t="s">
        <v>348</v>
      </c>
      <c r="E504" s="18">
        <v>14.76</v>
      </c>
      <c r="F504" s="18">
        <f t="shared" si="83"/>
        <v>3</v>
      </c>
      <c r="G504" s="19">
        <f t="shared" si="78"/>
        <v>44.28</v>
      </c>
      <c r="H504" s="69">
        <v>0</v>
      </c>
      <c r="I504" s="18">
        <v>1</v>
      </c>
      <c r="J504" s="71" t="str">
        <f t="shared" si="79"/>
        <v xml:space="preserve"> </v>
      </c>
      <c r="K504" s="73">
        <f t="shared" si="80"/>
        <v>44.28</v>
      </c>
      <c r="L504" s="398"/>
      <c r="M504" s="403" t="str">
        <f t="shared" si="81"/>
        <v/>
      </c>
      <c r="N504" s="398"/>
      <c r="O504" s="403" t="str">
        <f t="shared" si="82"/>
        <v/>
      </c>
    </row>
    <row r="505" spans="2:15">
      <c r="B505" s="14"/>
      <c r="C505" s="26" t="s">
        <v>397</v>
      </c>
      <c r="D505" s="70" t="s">
        <v>347</v>
      </c>
      <c r="E505" s="18">
        <v>5.9</v>
      </c>
      <c r="F505" s="18">
        <f t="shared" si="83"/>
        <v>3</v>
      </c>
      <c r="G505" s="19">
        <f t="shared" si="78"/>
        <v>17.700000000000003</v>
      </c>
      <c r="H505" s="69">
        <v>0</v>
      </c>
      <c r="I505" s="18">
        <v>1</v>
      </c>
      <c r="J505" s="71">
        <f t="shared" si="79"/>
        <v>17.700000000000003</v>
      </c>
      <c r="K505" s="73" t="str">
        <f t="shared" si="80"/>
        <v xml:space="preserve"> </v>
      </c>
      <c r="L505" s="398"/>
      <c r="M505" s="403" t="str">
        <f t="shared" si="81"/>
        <v/>
      </c>
      <c r="N505" s="398"/>
      <c r="O505" s="403" t="str">
        <f t="shared" si="82"/>
        <v/>
      </c>
    </row>
    <row r="506" spans="2:15">
      <c r="B506" s="14"/>
      <c r="C506" s="26" t="s">
        <v>524</v>
      </c>
      <c r="D506" s="70" t="s">
        <v>348</v>
      </c>
      <c r="E506" s="18">
        <v>14.76</v>
      </c>
      <c r="F506" s="18">
        <f t="shared" si="83"/>
        <v>3</v>
      </c>
      <c r="G506" s="19">
        <f t="shared" si="78"/>
        <v>44.28</v>
      </c>
      <c r="H506" s="69">
        <v>0</v>
      </c>
      <c r="I506" s="18">
        <v>1</v>
      </c>
      <c r="J506" s="71" t="str">
        <f t="shared" si="79"/>
        <v xml:space="preserve"> </v>
      </c>
      <c r="K506" s="73">
        <f t="shared" si="80"/>
        <v>44.28</v>
      </c>
      <c r="L506" s="398"/>
      <c r="M506" s="403" t="str">
        <f t="shared" ref="M506:M537" si="84">IF(L506="x",G506,"")</f>
        <v/>
      </c>
      <c r="N506" s="398"/>
      <c r="O506" s="403" t="str">
        <f t="shared" ref="O506:O537" si="85">IF(N506="x",G506,"")</f>
        <v/>
      </c>
    </row>
    <row r="507" spans="2:15">
      <c r="B507" s="14"/>
      <c r="C507" s="26" t="s">
        <v>397</v>
      </c>
      <c r="D507" s="70" t="s">
        <v>347</v>
      </c>
      <c r="E507" s="18">
        <v>5.9</v>
      </c>
      <c r="F507" s="18">
        <f t="shared" si="83"/>
        <v>3</v>
      </c>
      <c r="G507" s="19">
        <f t="shared" si="78"/>
        <v>17.700000000000003</v>
      </c>
      <c r="H507" s="69">
        <v>0</v>
      </c>
      <c r="I507" s="18">
        <v>1</v>
      </c>
      <c r="J507" s="71">
        <f t="shared" si="79"/>
        <v>17.700000000000003</v>
      </c>
      <c r="K507" s="73" t="str">
        <f t="shared" si="80"/>
        <v xml:space="preserve"> </v>
      </c>
      <c r="L507" s="398"/>
      <c r="M507" s="403" t="str">
        <f t="shared" si="84"/>
        <v/>
      </c>
      <c r="N507" s="398"/>
      <c r="O507" s="403" t="str">
        <f t="shared" si="85"/>
        <v/>
      </c>
    </row>
    <row r="508" spans="2:15">
      <c r="B508" s="14"/>
      <c r="C508" s="26" t="s">
        <v>525</v>
      </c>
      <c r="D508" s="70" t="s">
        <v>348</v>
      </c>
      <c r="E508" s="18">
        <v>14.76</v>
      </c>
      <c r="F508" s="18">
        <f t="shared" si="83"/>
        <v>3</v>
      </c>
      <c r="G508" s="19">
        <f t="shared" si="78"/>
        <v>44.28</v>
      </c>
      <c r="H508" s="69">
        <v>0</v>
      </c>
      <c r="I508" s="18">
        <v>1</v>
      </c>
      <c r="J508" s="71" t="str">
        <f t="shared" si="79"/>
        <v xml:space="preserve"> </v>
      </c>
      <c r="K508" s="73">
        <f t="shared" si="80"/>
        <v>44.28</v>
      </c>
      <c r="L508" s="398"/>
      <c r="M508" s="403" t="str">
        <f t="shared" si="84"/>
        <v/>
      </c>
      <c r="N508" s="398"/>
      <c r="O508" s="403" t="str">
        <f t="shared" si="85"/>
        <v/>
      </c>
    </row>
    <row r="509" spans="2:15">
      <c r="B509" s="14"/>
      <c r="C509" s="26" t="s">
        <v>397</v>
      </c>
      <c r="D509" s="70" t="s">
        <v>347</v>
      </c>
      <c r="E509" s="18">
        <v>5.9</v>
      </c>
      <c r="F509" s="18">
        <f t="shared" si="83"/>
        <v>3</v>
      </c>
      <c r="G509" s="19">
        <f t="shared" si="78"/>
        <v>17.700000000000003</v>
      </c>
      <c r="H509" s="69">
        <v>0</v>
      </c>
      <c r="I509" s="18">
        <v>1</v>
      </c>
      <c r="J509" s="71">
        <f t="shared" si="79"/>
        <v>17.700000000000003</v>
      </c>
      <c r="K509" s="73" t="str">
        <f t="shared" si="80"/>
        <v xml:space="preserve"> </v>
      </c>
      <c r="L509" s="398"/>
      <c r="M509" s="403" t="str">
        <f t="shared" si="84"/>
        <v/>
      </c>
      <c r="N509" s="398"/>
      <c r="O509" s="403" t="str">
        <f t="shared" si="85"/>
        <v/>
      </c>
    </row>
    <row r="510" spans="2:15">
      <c r="B510" s="14"/>
      <c r="C510" s="26" t="s">
        <v>526</v>
      </c>
      <c r="D510" s="70" t="s">
        <v>348</v>
      </c>
      <c r="E510" s="18">
        <v>14.198</v>
      </c>
      <c r="F510" s="18">
        <f t="shared" si="83"/>
        <v>3</v>
      </c>
      <c r="G510" s="19">
        <f t="shared" si="78"/>
        <v>42.594000000000001</v>
      </c>
      <c r="H510" s="69">
        <v>0</v>
      </c>
      <c r="I510" s="18">
        <v>1</v>
      </c>
      <c r="J510" s="71" t="str">
        <f t="shared" si="79"/>
        <v xml:space="preserve"> </v>
      </c>
      <c r="K510" s="73">
        <f t="shared" si="80"/>
        <v>42.594000000000001</v>
      </c>
      <c r="L510" s="398"/>
      <c r="M510" s="403" t="str">
        <f t="shared" si="84"/>
        <v/>
      </c>
      <c r="N510" s="398"/>
      <c r="O510" s="403" t="str">
        <f t="shared" si="85"/>
        <v/>
      </c>
    </row>
    <row r="511" spans="2:15">
      <c r="B511" s="14"/>
      <c r="C511" s="26" t="s">
        <v>527</v>
      </c>
      <c r="D511" s="70" t="s">
        <v>348</v>
      </c>
      <c r="E511" s="18">
        <v>14.05</v>
      </c>
      <c r="F511" s="18">
        <f t="shared" si="83"/>
        <v>3</v>
      </c>
      <c r="G511" s="19">
        <f t="shared" si="78"/>
        <v>42.150000000000006</v>
      </c>
      <c r="H511" s="69">
        <v>0</v>
      </c>
      <c r="I511" s="18">
        <v>1</v>
      </c>
      <c r="J511" s="71" t="str">
        <f t="shared" si="79"/>
        <v xml:space="preserve"> </v>
      </c>
      <c r="K511" s="73">
        <f t="shared" si="80"/>
        <v>42.150000000000006</v>
      </c>
      <c r="L511" s="398"/>
      <c r="M511" s="403" t="str">
        <f t="shared" si="84"/>
        <v/>
      </c>
      <c r="N511" s="398"/>
      <c r="O511" s="403" t="str">
        <f t="shared" si="85"/>
        <v/>
      </c>
    </row>
    <row r="512" spans="2:15">
      <c r="B512" s="14"/>
      <c r="C512" s="26" t="s">
        <v>528</v>
      </c>
      <c r="D512" s="70" t="s">
        <v>348</v>
      </c>
      <c r="E512" s="18">
        <v>14.198</v>
      </c>
      <c r="F512" s="18">
        <f t="shared" si="83"/>
        <v>3</v>
      </c>
      <c r="G512" s="19">
        <f t="shared" si="78"/>
        <v>42.594000000000001</v>
      </c>
      <c r="H512" s="69">
        <v>0</v>
      </c>
      <c r="I512" s="18">
        <v>1</v>
      </c>
      <c r="J512" s="71" t="str">
        <f t="shared" si="79"/>
        <v xml:space="preserve"> </v>
      </c>
      <c r="K512" s="73">
        <f t="shared" si="80"/>
        <v>42.594000000000001</v>
      </c>
      <c r="L512" s="398"/>
      <c r="M512" s="403" t="str">
        <f t="shared" si="84"/>
        <v/>
      </c>
      <c r="N512" s="398"/>
      <c r="O512" s="403" t="str">
        <f t="shared" si="85"/>
        <v/>
      </c>
    </row>
    <row r="513" spans="2:15">
      <c r="B513" s="14"/>
      <c r="C513" s="26" t="s">
        <v>299</v>
      </c>
      <c r="D513" s="70" t="s">
        <v>348</v>
      </c>
      <c r="E513" s="18">
        <v>20.8</v>
      </c>
      <c r="F513" s="18">
        <f t="shared" si="83"/>
        <v>3</v>
      </c>
      <c r="G513" s="19">
        <f t="shared" si="78"/>
        <v>62.400000000000006</v>
      </c>
      <c r="H513" s="69">
        <v>0</v>
      </c>
      <c r="I513" s="18">
        <v>1</v>
      </c>
      <c r="J513" s="71" t="str">
        <f t="shared" si="79"/>
        <v xml:space="preserve"> </v>
      </c>
      <c r="K513" s="73">
        <f t="shared" si="80"/>
        <v>62.400000000000006</v>
      </c>
      <c r="L513" s="398"/>
      <c r="M513" s="403" t="str">
        <f t="shared" si="84"/>
        <v/>
      </c>
      <c r="N513" s="398"/>
      <c r="O513" s="403" t="str">
        <f t="shared" si="85"/>
        <v/>
      </c>
    </row>
    <row r="514" spans="2:15">
      <c r="B514" s="14"/>
      <c r="C514" s="26" t="s">
        <v>531</v>
      </c>
      <c r="D514" s="70" t="s">
        <v>348</v>
      </c>
      <c r="E514" s="18">
        <v>17.5</v>
      </c>
      <c r="F514" s="18">
        <f t="shared" si="83"/>
        <v>3</v>
      </c>
      <c r="G514" s="19">
        <f t="shared" si="78"/>
        <v>52.5</v>
      </c>
      <c r="H514" s="69">
        <v>0</v>
      </c>
      <c r="I514" s="18">
        <v>1</v>
      </c>
      <c r="J514" s="71" t="str">
        <f t="shared" si="79"/>
        <v xml:space="preserve"> </v>
      </c>
      <c r="K514" s="73">
        <f t="shared" si="80"/>
        <v>52.5</v>
      </c>
      <c r="L514" s="398"/>
      <c r="M514" s="403" t="str">
        <f t="shared" si="84"/>
        <v/>
      </c>
      <c r="N514" s="398" t="s">
        <v>952</v>
      </c>
      <c r="O514" s="403">
        <f t="shared" si="85"/>
        <v>52.5</v>
      </c>
    </row>
    <row r="515" spans="2:15">
      <c r="B515" s="14"/>
      <c r="C515" s="26" t="s">
        <v>532</v>
      </c>
      <c r="D515" s="70" t="s">
        <v>347</v>
      </c>
      <c r="E515" s="18">
        <v>9.6059999999999999</v>
      </c>
      <c r="F515" s="18">
        <f t="shared" si="83"/>
        <v>3</v>
      </c>
      <c r="G515" s="19">
        <f t="shared" si="78"/>
        <v>28.817999999999998</v>
      </c>
      <c r="H515" s="69">
        <v>0</v>
      </c>
      <c r="I515" s="18">
        <v>1</v>
      </c>
      <c r="J515" s="71">
        <f t="shared" si="79"/>
        <v>28.817999999999998</v>
      </c>
      <c r="K515" s="73" t="str">
        <f t="shared" si="80"/>
        <v xml:space="preserve"> </v>
      </c>
      <c r="L515" s="398"/>
      <c r="M515" s="403" t="str">
        <f t="shared" si="84"/>
        <v/>
      </c>
      <c r="N515" s="398"/>
      <c r="O515" s="403" t="str">
        <f t="shared" si="85"/>
        <v/>
      </c>
    </row>
    <row r="516" spans="2:15">
      <c r="B516" s="14"/>
      <c r="C516" s="26" t="s">
        <v>315</v>
      </c>
      <c r="D516" s="70" t="s">
        <v>348</v>
      </c>
      <c r="E516" s="18">
        <v>7.5060000000000002</v>
      </c>
      <c r="F516" s="18">
        <f t="shared" si="83"/>
        <v>3</v>
      </c>
      <c r="G516" s="19">
        <f t="shared" si="78"/>
        <v>22.518000000000001</v>
      </c>
      <c r="H516" s="69">
        <v>0</v>
      </c>
      <c r="I516" s="18">
        <v>1</v>
      </c>
      <c r="J516" s="71" t="str">
        <f t="shared" si="79"/>
        <v xml:space="preserve"> </v>
      </c>
      <c r="K516" s="73">
        <f t="shared" si="80"/>
        <v>22.518000000000001</v>
      </c>
      <c r="L516" s="398"/>
      <c r="M516" s="403" t="str">
        <f t="shared" si="84"/>
        <v/>
      </c>
      <c r="N516" s="398"/>
      <c r="O516" s="403" t="str">
        <f t="shared" si="85"/>
        <v/>
      </c>
    </row>
    <row r="517" spans="2:15">
      <c r="B517" s="14"/>
      <c r="C517" s="26" t="s">
        <v>531</v>
      </c>
      <c r="D517" s="70" t="s">
        <v>348</v>
      </c>
      <c r="E517" s="18">
        <v>17.5</v>
      </c>
      <c r="F517" s="18">
        <f t="shared" si="83"/>
        <v>3</v>
      </c>
      <c r="G517" s="19">
        <f t="shared" si="78"/>
        <v>52.5</v>
      </c>
      <c r="H517" s="69">
        <v>0</v>
      </c>
      <c r="I517" s="18">
        <v>1</v>
      </c>
      <c r="J517" s="71" t="str">
        <f t="shared" si="79"/>
        <v xml:space="preserve"> </v>
      </c>
      <c r="K517" s="73">
        <f t="shared" si="80"/>
        <v>52.5</v>
      </c>
      <c r="L517" s="398"/>
      <c r="M517" s="403" t="str">
        <f t="shared" si="84"/>
        <v/>
      </c>
      <c r="N517" s="398" t="s">
        <v>952</v>
      </c>
      <c r="O517" s="403">
        <f t="shared" si="85"/>
        <v>52.5</v>
      </c>
    </row>
    <row r="518" spans="2:15">
      <c r="B518" s="14"/>
      <c r="C518" s="26" t="s">
        <v>532</v>
      </c>
      <c r="D518" s="70" t="s">
        <v>347</v>
      </c>
      <c r="E518" s="18">
        <v>9.6059999999999999</v>
      </c>
      <c r="F518" s="18">
        <f t="shared" si="83"/>
        <v>3</v>
      </c>
      <c r="G518" s="19">
        <f t="shared" si="78"/>
        <v>28.817999999999998</v>
      </c>
      <c r="H518" s="69">
        <v>0</v>
      </c>
      <c r="I518" s="18">
        <v>1</v>
      </c>
      <c r="J518" s="71">
        <f t="shared" si="79"/>
        <v>28.817999999999998</v>
      </c>
      <c r="K518" s="73" t="str">
        <f t="shared" si="80"/>
        <v xml:space="preserve"> </v>
      </c>
      <c r="L518" s="398"/>
      <c r="M518" s="403" t="str">
        <f t="shared" si="84"/>
        <v/>
      </c>
      <c r="N518" s="398"/>
      <c r="O518" s="403" t="str">
        <f t="shared" si="85"/>
        <v/>
      </c>
    </row>
    <row r="519" spans="2:15">
      <c r="B519" s="14"/>
      <c r="C519" s="26" t="s">
        <v>315</v>
      </c>
      <c r="D519" s="70" t="s">
        <v>348</v>
      </c>
      <c r="E519" s="18">
        <v>7.5060000000000002</v>
      </c>
      <c r="F519" s="18">
        <f t="shared" si="83"/>
        <v>3</v>
      </c>
      <c r="G519" s="19">
        <f t="shared" si="78"/>
        <v>22.518000000000001</v>
      </c>
      <c r="H519" s="69">
        <v>0</v>
      </c>
      <c r="I519" s="18">
        <v>1</v>
      </c>
      <c r="J519" s="71" t="str">
        <f t="shared" si="79"/>
        <v xml:space="preserve"> </v>
      </c>
      <c r="K519" s="73">
        <f t="shared" si="80"/>
        <v>22.518000000000001</v>
      </c>
      <c r="L519" s="398"/>
      <c r="M519" s="403" t="str">
        <f t="shared" si="84"/>
        <v/>
      </c>
      <c r="N519" s="398"/>
      <c r="O519" s="403" t="str">
        <f t="shared" si="85"/>
        <v/>
      </c>
    </row>
    <row r="520" spans="2:15">
      <c r="B520" s="14"/>
      <c r="C520" s="26" t="s">
        <v>529</v>
      </c>
      <c r="D520" s="70" t="s">
        <v>347</v>
      </c>
      <c r="E520" s="18">
        <v>12.5</v>
      </c>
      <c r="F520" s="18">
        <f t="shared" si="83"/>
        <v>3</v>
      </c>
      <c r="G520" s="19">
        <f>PRODUCT(E520,F520)</f>
        <v>37.5</v>
      </c>
      <c r="H520" s="69">
        <v>0</v>
      </c>
      <c r="I520" s="18">
        <v>1</v>
      </c>
      <c r="J520" s="71">
        <f>IF(D520="Emboço",G520*I520," ")</f>
        <v>37.5</v>
      </c>
      <c r="K520" s="73" t="str">
        <f>IF(D520="Reboco",G520*I520," ")</f>
        <v xml:space="preserve"> </v>
      </c>
      <c r="L520" s="398"/>
      <c r="M520" s="403" t="str">
        <f t="shared" si="84"/>
        <v/>
      </c>
      <c r="N520" s="398"/>
      <c r="O520" s="403" t="str">
        <f t="shared" si="85"/>
        <v/>
      </c>
    </row>
    <row r="521" spans="2:15">
      <c r="B521" s="14"/>
      <c r="C521" s="26" t="s">
        <v>496</v>
      </c>
      <c r="D521" s="70" t="s">
        <v>347</v>
      </c>
      <c r="E521" s="18">
        <v>11.022</v>
      </c>
      <c r="F521" s="18">
        <f t="shared" si="83"/>
        <v>3</v>
      </c>
      <c r="G521" s="19">
        <f t="shared" si="78"/>
        <v>33.066000000000003</v>
      </c>
      <c r="H521" s="69">
        <v>0</v>
      </c>
      <c r="I521" s="18">
        <v>1</v>
      </c>
      <c r="J521" s="71">
        <f t="shared" si="79"/>
        <v>33.066000000000003</v>
      </c>
      <c r="K521" s="73" t="str">
        <f t="shared" si="80"/>
        <v xml:space="preserve"> </v>
      </c>
      <c r="L521" s="398"/>
      <c r="M521" s="403" t="str">
        <f t="shared" si="84"/>
        <v/>
      </c>
      <c r="N521" s="398"/>
      <c r="O521" s="403" t="str">
        <f t="shared" si="85"/>
        <v/>
      </c>
    </row>
    <row r="522" spans="2:15">
      <c r="B522" s="14"/>
      <c r="C522" s="26" t="s">
        <v>495</v>
      </c>
      <c r="D522" s="70" t="s">
        <v>348</v>
      </c>
      <c r="E522" s="18">
        <v>15.85</v>
      </c>
      <c r="F522" s="18">
        <f t="shared" si="83"/>
        <v>3</v>
      </c>
      <c r="G522" s="19">
        <f t="shared" si="78"/>
        <v>47.55</v>
      </c>
      <c r="H522" s="69">
        <v>0</v>
      </c>
      <c r="I522" s="18">
        <v>1</v>
      </c>
      <c r="J522" s="71" t="str">
        <f t="shared" si="79"/>
        <v xml:space="preserve"> </v>
      </c>
      <c r="K522" s="73">
        <f t="shared" si="80"/>
        <v>47.55</v>
      </c>
      <c r="L522" s="398"/>
      <c r="M522" s="403" t="str">
        <f t="shared" si="84"/>
        <v/>
      </c>
      <c r="N522" s="398"/>
      <c r="O522" s="403" t="str">
        <f t="shared" si="85"/>
        <v/>
      </c>
    </row>
    <row r="523" spans="2:15">
      <c r="B523" s="14"/>
      <c r="C523" s="17" t="s">
        <v>423</v>
      </c>
      <c r="D523" s="70" t="s">
        <v>348</v>
      </c>
      <c r="E523" s="18">
        <v>12.05</v>
      </c>
      <c r="F523" s="18">
        <f t="shared" si="83"/>
        <v>3</v>
      </c>
      <c r="G523" s="19">
        <f>PRODUCT(E523,F523)</f>
        <v>36.150000000000006</v>
      </c>
      <c r="H523" s="69">
        <v>0</v>
      </c>
      <c r="I523" s="18">
        <v>1</v>
      </c>
      <c r="J523" s="71" t="str">
        <f>IF(D523="Emboço",G523*I523," ")</f>
        <v xml:space="preserve"> </v>
      </c>
      <c r="K523" s="73">
        <f>IF(D523="Reboco",G523*I523," ")</f>
        <v>36.150000000000006</v>
      </c>
      <c r="L523" s="398"/>
      <c r="M523" s="403" t="str">
        <f t="shared" si="84"/>
        <v/>
      </c>
      <c r="N523" s="398"/>
      <c r="O523" s="403" t="str">
        <f t="shared" si="85"/>
        <v/>
      </c>
    </row>
    <row r="524" spans="2:15">
      <c r="B524" s="14"/>
      <c r="C524" s="17" t="s">
        <v>428</v>
      </c>
      <c r="D524" s="70" t="s">
        <v>347</v>
      </c>
      <c r="E524" s="18">
        <v>10.315999999999999</v>
      </c>
      <c r="F524" s="18">
        <f t="shared" si="83"/>
        <v>3</v>
      </c>
      <c r="G524" s="19">
        <f>PRODUCT(E524,F524)</f>
        <v>30.947999999999997</v>
      </c>
      <c r="H524" s="69">
        <v>0</v>
      </c>
      <c r="I524" s="18">
        <v>1</v>
      </c>
      <c r="J524" s="71">
        <f>IF(D524="Emboço",G524*I524," ")</f>
        <v>30.947999999999997</v>
      </c>
      <c r="K524" s="73" t="str">
        <f>IF(D524="Reboco",G524*I524," ")</f>
        <v xml:space="preserve"> </v>
      </c>
      <c r="L524" s="398"/>
      <c r="M524" s="403" t="str">
        <f t="shared" si="84"/>
        <v/>
      </c>
      <c r="N524" s="398"/>
      <c r="O524" s="403" t="str">
        <f t="shared" si="85"/>
        <v/>
      </c>
    </row>
    <row r="525" spans="2:15">
      <c r="B525" s="14"/>
      <c r="C525" s="26" t="s">
        <v>500</v>
      </c>
      <c r="D525" s="70" t="s">
        <v>348</v>
      </c>
      <c r="E525" s="18">
        <v>21.01</v>
      </c>
      <c r="F525" s="18">
        <f t="shared" si="83"/>
        <v>3</v>
      </c>
      <c r="G525" s="19">
        <f>PRODUCT(E525,F525)</f>
        <v>63.03</v>
      </c>
      <c r="H525" s="69">
        <v>0</v>
      </c>
      <c r="I525" s="18">
        <v>1</v>
      </c>
      <c r="J525" s="71" t="str">
        <f>IF(D525="Emboço",G525*I525," ")</f>
        <v xml:space="preserve"> </v>
      </c>
      <c r="K525" s="73">
        <f>IF(D525="Reboco",G525*I525," ")</f>
        <v>63.03</v>
      </c>
      <c r="L525" s="398"/>
      <c r="M525" s="403" t="str">
        <f t="shared" si="84"/>
        <v/>
      </c>
      <c r="N525" s="398" t="s">
        <v>952</v>
      </c>
      <c r="O525" s="403">
        <f t="shared" si="85"/>
        <v>63.03</v>
      </c>
    </row>
    <row r="526" spans="2:15">
      <c r="B526" s="14"/>
      <c r="C526" s="26" t="s">
        <v>325</v>
      </c>
      <c r="D526" s="70" t="s">
        <v>348</v>
      </c>
      <c r="E526" s="18">
        <v>33.700000000000003</v>
      </c>
      <c r="F526" s="18">
        <f t="shared" si="83"/>
        <v>3</v>
      </c>
      <c r="G526" s="19">
        <f>PRODUCT(E526,F526)</f>
        <v>101.10000000000001</v>
      </c>
      <c r="H526" s="69">
        <v>0</v>
      </c>
      <c r="I526" s="18">
        <v>1</v>
      </c>
      <c r="J526" s="71" t="str">
        <f>IF(D526="Emboço",G526*I526," ")</f>
        <v xml:space="preserve"> </v>
      </c>
      <c r="K526" s="73">
        <f>IF(D526="Reboco",G526*I526," ")</f>
        <v>101.10000000000001</v>
      </c>
      <c r="L526" s="398"/>
      <c r="M526" s="403" t="str">
        <f t="shared" si="84"/>
        <v/>
      </c>
      <c r="N526" s="398"/>
      <c r="O526" s="403" t="str">
        <f t="shared" si="85"/>
        <v/>
      </c>
    </row>
    <row r="527" spans="2:15">
      <c r="B527" s="14"/>
      <c r="C527" s="26" t="s">
        <v>396</v>
      </c>
      <c r="D527" s="70" t="s">
        <v>347</v>
      </c>
      <c r="E527" s="18">
        <v>16.52</v>
      </c>
      <c r="F527" s="18">
        <f t="shared" si="83"/>
        <v>3</v>
      </c>
      <c r="G527" s="19">
        <f t="shared" si="78"/>
        <v>49.56</v>
      </c>
      <c r="H527" s="69">
        <v>0</v>
      </c>
      <c r="I527" s="18">
        <v>1</v>
      </c>
      <c r="J527" s="71">
        <f t="shared" si="79"/>
        <v>49.56</v>
      </c>
      <c r="K527" s="73" t="str">
        <f t="shared" si="80"/>
        <v xml:space="preserve"> </v>
      </c>
      <c r="L527" s="398"/>
      <c r="M527" s="403" t="str">
        <f t="shared" si="84"/>
        <v/>
      </c>
      <c r="N527" s="398"/>
      <c r="O527" s="403" t="str">
        <f t="shared" si="85"/>
        <v/>
      </c>
    </row>
    <row r="528" spans="2:15">
      <c r="B528" s="14"/>
      <c r="C528" s="26" t="s">
        <v>430</v>
      </c>
      <c r="D528" s="70" t="s">
        <v>348</v>
      </c>
      <c r="E528" s="18">
        <v>18.251999999999999</v>
      </c>
      <c r="F528" s="18">
        <f t="shared" si="83"/>
        <v>3</v>
      </c>
      <c r="G528" s="19">
        <f t="shared" si="78"/>
        <v>54.756</v>
      </c>
      <c r="H528" s="69">
        <v>0</v>
      </c>
      <c r="I528" s="18">
        <v>1</v>
      </c>
      <c r="J528" s="71" t="str">
        <f t="shared" si="79"/>
        <v xml:space="preserve"> </v>
      </c>
      <c r="K528" s="73">
        <f t="shared" si="80"/>
        <v>54.756</v>
      </c>
      <c r="L528" s="398"/>
      <c r="M528" s="403" t="str">
        <f t="shared" si="84"/>
        <v/>
      </c>
      <c r="N528" s="398"/>
      <c r="O528" s="403" t="str">
        <f t="shared" si="85"/>
        <v/>
      </c>
    </row>
    <row r="529" spans="2:15">
      <c r="B529" s="14"/>
      <c r="C529" s="17" t="s">
        <v>428</v>
      </c>
      <c r="D529" s="70" t="s">
        <v>347</v>
      </c>
      <c r="E529" s="18">
        <v>9.5399999999999991</v>
      </c>
      <c r="F529" s="18">
        <f t="shared" si="83"/>
        <v>3</v>
      </c>
      <c r="G529" s="19">
        <f t="shared" si="78"/>
        <v>28.619999999999997</v>
      </c>
      <c r="H529" s="69">
        <v>0</v>
      </c>
      <c r="I529" s="18">
        <v>1</v>
      </c>
      <c r="J529" s="71">
        <f t="shared" si="79"/>
        <v>28.619999999999997</v>
      </c>
      <c r="K529" s="73" t="str">
        <f t="shared" si="80"/>
        <v xml:space="preserve"> </v>
      </c>
      <c r="L529" s="398"/>
      <c r="M529" s="403" t="str">
        <f t="shared" si="84"/>
        <v/>
      </c>
      <c r="N529" s="398"/>
      <c r="O529" s="403" t="str">
        <f t="shared" si="85"/>
        <v/>
      </c>
    </row>
    <row r="530" spans="2:15">
      <c r="B530" s="14"/>
      <c r="C530" s="17" t="s">
        <v>430</v>
      </c>
      <c r="D530" s="70" t="s">
        <v>348</v>
      </c>
      <c r="E530" s="18">
        <v>18.251999999999999</v>
      </c>
      <c r="F530" s="18">
        <f t="shared" si="83"/>
        <v>3</v>
      </c>
      <c r="G530" s="19">
        <f t="shared" si="78"/>
        <v>54.756</v>
      </c>
      <c r="H530" s="69">
        <v>0</v>
      </c>
      <c r="I530" s="18">
        <v>1</v>
      </c>
      <c r="J530" s="71" t="str">
        <f t="shared" si="79"/>
        <v xml:space="preserve"> </v>
      </c>
      <c r="K530" s="73">
        <f t="shared" si="80"/>
        <v>54.756</v>
      </c>
      <c r="L530" s="398"/>
      <c r="M530" s="403" t="str">
        <f t="shared" si="84"/>
        <v/>
      </c>
      <c r="N530" s="398"/>
      <c r="O530" s="403" t="str">
        <f t="shared" si="85"/>
        <v/>
      </c>
    </row>
    <row r="531" spans="2:15">
      <c r="B531" s="14"/>
      <c r="C531" s="17" t="s">
        <v>428</v>
      </c>
      <c r="D531" s="70" t="s">
        <v>347</v>
      </c>
      <c r="E531" s="18">
        <v>9.5399999999999991</v>
      </c>
      <c r="F531" s="18">
        <f t="shared" si="83"/>
        <v>3</v>
      </c>
      <c r="G531" s="19">
        <f t="shared" si="78"/>
        <v>28.619999999999997</v>
      </c>
      <c r="H531" s="69">
        <v>0</v>
      </c>
      <c r="I531" s="18">
        <v>1</v>
      </c>
      <c r="J531" s="71">
        <f t="shared" si="79"/>
        <v>28.619999999999997</v>
      </c>
      <c r="K531" s="73" t="str">
        <f t="shared" si="80"/>
        <v xml:space="preserve"> </v>
      </c>
      <c r="L531" s="398"/>
      <c r="M531" s="403" t="str">
        <f t="shared" si="84"/>
        <v/>
      </c>
      <c r="N531" s="398"/>
      <c r="O531" s="403" t="str">
        <f t="shared" si="85"/>
        <v/>
      </c>
    </row>
    <row r="532" spans="2:15">
      <c r="B532" s="14"/>
      <c r="C532" s="26" t="s">
        <v>476</v>
      </c>
      <c r="D532" s="70" t="s">
        <v>347</v>
      </c>
      <c r="E532" s="18">
        <v>11</v>
      </c>
      <c r="F532" s="18">
        <f t="shared" si="83"/>
        <v>3</v>
      </c>
      <c r="G532" s="19">
        <f t="shared" si="78"/>
        <v>33</v>
      </c>
      <c r="H532" s="69">
        <v>0</v>
      </c>
      <c r="I532" s="18">
        <v>1</v>
      </c>
      <c r="J532" s="71">
        <f t="shared" si="79"/>
        <v>33</v>
      </c>
      <c r="K532" s="73" t="str">
        <f t="shared" si="80"/>
        <v xml:space="preserve"> </v>
      </c>
      <c r="L532" s="398"/>
      <c r="M532" s="403" t="str">
        <f t="shared" si="84"/>
        <v/>
      </c>
      <c r="N532" s="398"/>
      <c r="O532" s="403" t="str">
        <f t="shared" si="85"/>
        <v/>
      </c>
    </row>
    <row r="533" spans="2:15">
      <c r="B533" s="14"/>
      <c r="C533" s="26" t="s">
        <v>530</v>
      </c>
      <c r="D533" s="70" t="s">
        <v>348</v>
      </c>
      <c r="E533" s="18">
        <v>86.3</v>
      </c>
      <c r="F533" s="18">
        <f t="shared" si="83"/>
        <v>3</v>
      </c>
      <c r="G533" s="19">
        <f t="shared" si="78"/>
        <v>258.89999999999998</v>
      </c>
      <c r="H533" s="69">
        <v>0</v>
      </c>
      <c r="I533" s="18">
        <v>1</v>
      </c>
      <c r="J533" s="71" t="str">
        <f t="shared" si="79"/>
        <v xml:space="preserve"> </v>
      </c>
      <c r="K533" s="73">
        <f t="shared" si="80"/>
        <v>258.89999999999998</v>
      </c>
      <c r="L533" s="398"/>
      <c r="M533" s="403" t="str">
        <f t="shared" si="84"/>
        <v/>
      </c>
      <c r="N533" s="398" t="s">
        <v>952</v>
      </c>
      <c r="O533" s="403">
        <f t="shared" si="85"/>
        <v>258.89999999999998</v>
      </c>
    </row>
    <row r="534" spans="2:15">
      <c r="B534" s="14"/>
      <c r="C534" s="135" t="s">
        <v>295</v>
      </c>
      <c r="D534" s="70" t="s">
        <v>348</v>
      </c>
      <c r="E534" s="18">
        <f>77.75+68.75</f>
        <v>146.5</v>
      </c>
      <c r="F534" s="18">
        <f t="shared" si="83"/>
        <v>3</v>
      </c>
      <c r="G534" s="19">
        <f t="shared" si="78"/>
        <v>439.5</v>
      </c>
      <c r="H534" s="69">
        <v>0</v>
      </c>
      <c r="I534" s="18">
        <v>1</v>
      </c>
      <c r="J534" s="71" t="str">
        <f t="shared" si="79"/>
        <v xml:space="preserve"> </v>
      </c>
      <c r="K534" s="73">
        <f t="shared" si="80"/>
        <v>439.5</v>
      </c>
      <c r="L534" s="398" t="s">
        <v>952</v>
      </c>
      <c r="M534" s="403">
        <f t="shared" si="84"/>
        <v>439.5</v>
      </c>
      <c r="N534" s="398"/>
      <c r="O534" s="403" t="str">
        <f t="shared" si="85"/>
        <v/>
      </c>
    </row>
    <row r="535" spans="2:15">
      <c r="B535" s="14"/>
      <c r="C535" s="135" t="s">
        <v>508</v>
      </c>
      <c r="D535" s="70" t="s">
        <v>348</v>
      </c>
      <c r="E535" s="18">
        <v>28.06</v>
      </c>
      <c r="F535" s="18">
        <f t="shared" si="83"/>
        <v>3</v>
      </c>
      <c r="G535" s="19">
        <f t="shared" si="78"/>
        <v>84.179999999999993</v>
      </c>
      <c r="H535" s="69">
        <v>0</v>
      </c>
      <c r="I535" s="18">
        <v>1</v>
      </c>
      <c r="J535" s="71" t="str">
        <f t="shared" si="79"/>
        <v xml:space="preserve"> </v>
      </c>
      <c r="K535" s="73">
        <f t="shared" si="80"/>
        <v>84.179999999999993</v>
      </c>
      <c r="L535" s="398"/>
      <c r="M535" s="403" t="str">
        <f t="shared" si="84"/>
        <v/>
      </c>
      <c r="N535" s="398"/>
      <c r="O535" s="403" t="str">
        <f t="shared" si="85"/>
        <v/>
      </c>
    </row>
    <row r="536" spans="2:15">
      <c r="B536" s="14"/>
      <c r="C536" s="135" t="s">
        <v>296</v>
      </c>
      <c r="D536" s="70" t="s">
        <v>348</v>
      </c>
      <c r="E536" s="18">
        <v>64.38</v>
      </c>
      <c r="F536" s="18">
        <f t="shared" si="83"/>
        <v>3</v>
      </c>
      <c r="G536" s="19">
        <f t="shared" si="78"/>
        <v>193.14</v>
      </c>
      <c r="H536" s="69">
        <v>0</v>
      </c>
      <c r="I536" s="18">
        <v>1</v>
      </c>
      <c r="J536" s="71" t="str">
        <f t="shared" si="79"/>
        <v xml:space="preserve"> </v>
      </c>
      <c r="K536" s="73">
        <f t="shared" si="80"/>
        <v>193.14</v>
      </c>
      <c r="L536" s="398"/>
      <c r="M536" s="403" t="str">
        <f t="shared" si="84"/>
        <v/>
      </c>
      <c r="N536" s="398"/>
      <c r="O536" s="403" t="str">
        <f t="shared" si="85"/>
        <v/>
      </c>
    </row>
    <row r="537" spans="2:15">
      <c r="B537" s="14"/>
      <c r="C537" s="135" t="s">
        <v>408</v>
      </c>
      <c r="D537" s="70" t="s">
        <v>348</v>
      </c>
      <c r="E537" s="18">
        <v>36.619999999999997</v>
      </c>
      <c r="F537" s="18">
        <f t="shared" si="83"/>
        <v>3</v>
      </c>
      <c r="G537" s="19">
        <f t="shared" si="78"/>
        <v>109.85999999999999</v>
      </c>
      <c r="H537" s="69">
        <v>0</v>
      </c>
      <c r="I537" s="18">
        <v>1</v>
      </c>
      <c r="J537" s="71" t="str">
        <f t="shared" si="79"/>
        <v xml:space="preserve"> </v>
      </c>
      <c r="K537" s="73">
        <f t="shared" si="80"/>
        <v>109.85999999999999</v>
      </c>
      <c r="L537" s="398"/>
      <c r="M537" s="403" t="str">
        <f t="shared" si="84"/>
        <v/>
      </c>
      <c r="N537" s="398"/>
      <c r="O537" s="403" t="str">
        <f t="shared" si="85"/>
        <v/>
      </c>
    </row>
    <row r="538" spans="2:15">
      <c r="B538" s="14"/>
      <c r="C538" s="135" t="s">
        <v>357</v>
      </c>
      <c r="D538" s="70" t="s">
        <v>347</v>
      </c>
      <c r="E538" s="18">
        <v>7.1</v>
      </c>
      <c r="F538" s="18">
        <f t="shared" si="83"/>
        <v>3</v>
      </c>
      <c r="G538" s="19">
        <f t="shared" ref="G538:G558" si="86">PRODUCT(E538,F538)</f>
        <v>21.299999999999997</v>
      </c>
      <c r="H538" s="69">
        <v>0</v>
      </c>
      <c r="I538" s="18">
        <v>1</v>
      </c>
      <c r="J538" s="71">
        <f t="shared" ref="J538:J558" si="87">IF(D538="Emboço",G538*I538," ")</f>
        <v>21.299999999999997</v>
      </c>
      <c r="K538" s="73" t="str">
        <f t="shared" ref="K538:K558" si="88">IF(D538="Reboco",G538*I538," ")</f>
        <v xml:space="preserve"> </v>
      </c>
      <c r="L538" s="398"/>
      <c r="M538" s="403" t="str">
        <f t="shared" ref="M538:M559" si="89">IF(L538="x",G538,"")</f>
        <v/>
      </c>
      <c r="N538" s="398"/>
      <c r="O538" s="403" t="str">
        <f t="shared" ref="O538:O559" si="90">IF(N538="x",G538,"")</f>
        <v/>
      </c>
    </row>
    <row r="539" spans="2:15">
      <c r="B539" s="14"/>
      <c r="C539" s="135" t="s">
        <v>356</v>
      </c>
      <c r="D539" s="70" t="s">
        <v>347</v>
      </c>
      <c r="E539" s="18">
        <v>7.1</v>
      </c>
      <c r="F539" s="18">
        <f t="shared" ref="F539:F545" si="91">$F$474</f>
        <v>3</v>
      </c>
      <c r="G539" s="19">
        <f t="shared" si="86"/>
        <v>21.299999999999997</v>
      </c>
      <c r="H539" s="69">
        <v>0</v>
      </c>
      <c r="I539" s="18">
        <v>1</v>
      </c>
      <c r="J539" s="71">
        <f t="shared" si="87"/>
        <v>21.299999999999997</v>
      </c>
      <c r="K539" s="73" t="str">
        <f t="shared" si="88"/>
        <v xml:space="preserve"> </v>
      </c>
      <c r="L539" s="398"/>
      <c r="M539" s="403" t="str">
        <f t="shared" si="89"/>
        <v/>
      </c>
      <c r="N539" s="398"/>
      <c r="O539" s="403" t="str">
        <f t="shared" si="90"/>
        <v/>
      </c>
    </row>
    <row r="540" spans="2:15">
      <c r="B540" s="14"/>
      <c r="C540" s="135" t="s">
        <v>297</v>
      </c>
      <c r="D540" s="136" t="s">
        <v>348</v>
      </c>
      <c r="E540" s="137">
        <v>14.3</v>
      </c>
      <c r="F540" s="18">
        <f t="shared" si="91"/>
        <v>3</v>
      </c>
      <c r="G540" s="19">
        <f t="shared" si="86"/>
        <v>42.900000000000006</v>
      </c>
      <c r="H540" s="69">
        <v>0</v>
      </c>
      <c r="I540" s="137">
        <v>1</v>
      </c>
      <c r="J540" s="71" t="str">
        <f t="shared" si="87"/>
        <v xml:space="preserve"> </v>
      </c>
      <c r="K540" s="73">
        <f t="shared" si="88"/>
        <v>42.900000000000006</v>
      </c>
      <c r="L540" s="398" t="s">
        <v>952</v>
      </c>
      <c r="M540" s="403">
        <f t="shared" si="89"/>
        <v>42.900000000000006</v>
      </c>
      <c r="N540" s="398"/>
      <c r="O540" s="403" t="str">
        <f t="shared" si="90"/>
        <v/>
      </c>
    </row>
    <row r="541" spans="2:15">
      <c r="B541" s="14"/>
      <c r="C541" s="135" t="s">
        <v>494</v>
      </c>
      <c r="D541" s="70" t="s">
        <v>348</v>
      </c>
      <c r="E541" s="137">
        <v>9.76</v>
      </c>
      <c r="F541" s="18">
        <f t="shared" si="91"/>
        <v>3</v>
      </c>
      <c r="G541" s="19">
        <f t="shared" si="86"/>
        <v>29.28</v>
      </c>
      <c r="H541" s="69">
        <v>0</v>
      </c>
      <c r="I541" s="137">
        <v>0</v>
      </c>
      <c r="J541" s="71" t="str">
        <f t="shared" si="87"/>
        <v xml:space="preserve"> </v>
      </c>
      <c r="K541" s="73">
        <f t="shared" si="88"/>
        <v>0</v>
      </c>
      <c r="L541" s="398"/>
      <c r="M541" s="403" t="str">
        <f t="shared" si="89"/>
        <v/>
      </c>
      <c r="N541" s="398"/>
      <c r="O541" s="403" t="str">
        <f t="shared" si="90"/>
        <v/>
      </c>
    </row>
    <row r="542" spans="2:15">
      <c r="B542" s="14"/>
      <c r="C542" s="135" t="s">
        <v>307</v>
      </c>
      <c r="D542" s="70" t="s">
        <v>348</v>
      </c>
      <c r="E542" s="18">
        <v>11.8</v>
      </c>
      <c r="F542" s="18">
        <f t="shared" si="91"/>
        <v>3</v>
      </c>
      <c r="G542" s="19">
        <f t="shared" si="86"/>
        <v>35.400000000000006</v>
      </c>
      <c r="H542" s="69">
        <v>0</v>
      </c>
      <c r="I542" s="18">
        <v>2</v>
      </c>
      <c r="J542" s="71" t="str">
        <f t="shared" si="87"/>
        <v xml:space="preserve"> </v>
      </c>
      <c r="K542" s="73">
        <f t="shared" si="88"/>
        <v>70.800000000000011</v>
      </c>
      <c r="L542" s="398" t="s">
        <v>952</v>
      </c>
      <c r="M542" s="403">
        <f t="shared" si="89"/>
        <v>35.400000000000006</v>
      </c>
      <c r="N542" s="398"/>
      <c r="O542" s="403" t="str">
        <f t="shared" si="90"/>
        <v/>
      </c>
    </row>
    <row r="543" spans="2:15">
      <c r="B543" s="14"/>
      <c r="C543" s="135" t="s">
        <v>457</v>
      </c>
      <c r="D543" s="70" t="s">
        <v>348</v>
      </c>
      <c r="E543" s="18">
        <v>20.240000000000002</v>
      </c>
      <c r="F543" s="18">
        <f t="shared" si="91"/>
        <v>3</v>
      </c>
      <c r="G543" s="19">
        <f t="shared" si="86"/>
        <v>60.720000000000006</v>
      </c>
      <c r="H543" s="69">
        <v>0</v>
      </c>
      <c r="I543" s="18">
        <v>1</v>
      </c>
      <c r="J543" s="71" t="str">
        <f t="shared" si="87"/>
        <v xml:space="preserve"> </v>
      </c>
      <c r="K543" s="73">
        <f t="shared" si="88"/>
        <v>60.720000000000006</v>
      </c>
      <c r="L543" s="398" t="s">
        <v>952</v>
      </c>
      <c r="M543" s="403">
        <f t="shared" si="89"/>
        <v>60.720000000000006</v>
      </c>
      <c r="N543" s="398"/>
      <c r="O543" s="403" t="str">
        <f t="shared" si="90"/>
        <v/>
      </c>
    </row>
    <row r="544" spans="2:15">
      <c r="B544" s="14"/>
      <c r="C544" s="135" t="s">
        <v>458</v>
      </c>
      <c r="D544" s="70" t="s">
        <v>348</v>
      </c>
      <c r="E544" s="18">
        <v>20.240000000000002</v>
      </c>
      <c r="F544" s="18">
        <f t="shared" si="91"/>
        <v>3</v>
      </c>
      <c r="G544" s="19">
        <f t="shared" si="86"/>
        <v>60.720000000000006</v>
      </c>
      <c r="H544" s="69">
        <v>0</v>
      </c>
      <c r="I544" s="18">
        <v>1</v>
      </c>
      <c r="J544" s="71" t="str">
        <f t="shared" si="87"/>
        <v xml:space="preserve"> </v>
      </c>
      <c r="K544" s="73">
        <f t="shared" si="88"/>
        <v>60.720000000000006</v>
      </c>
      <c r="L544" s="398" t="s">
        <v>952</v>
      </c>
      <c r="M544" s="403">
        <f t="shared" si="89"/>
        <v>60.720000000000006</v>
      </c>
      <c r="N544" s="398"/>
      <c r="O544" s="403" t="str">
        <f t="shared" si="90"/>
        <v/>
      </c>
    </row>
    <row r="545" spans="2:15">
      <c r="B545" s="14"/>
      <c r="C545" s="135" t="s">
        <v>459</v>
      </c>
      <c r="D545" s="70" t="s">
        <v>348</v>
      </c>
      <c r="E545" s="18">
        <v>19.100000000000001</v>
      </c>
      <c r="F545" s="18">
        <f t="shared" si="91"/>
        <v>3</v>
      </c>
      <c r="G545" s="19">
        <f t="shared" si="86"/>
        <v>57.300000000000004</v>
      </c>
      <c r="H545" s="69">
        <v>0</v>
      </c>
      <c r="I545" s="18">
        <v>1</v>
      </c>
      <c r="J545" s="71" t="str">
        <f t="shared" si="87"/>
        <v xml:space="preserve"> </v>
      </c>
      <c r="K545" s="73">
        <f t="shared" si="88"/>
        <v>57.300000000000004</v>
      </c>
      <c r="L545" s="398" t="s">
        <v>952</v>
      </c>
      <c r="M545" s="403">
        <f t="shared" si="89"/>
        <v>57.300000000000004</v>
      </c>
      <c r="N545" s="398"/>
      <c r="O545" s="403" t="str">
        <f t="shared" si="90"/>
        <v/>
      </c>
    </row>
    <row r="546" spans="2:15">
      <c r="B546" s="14"/>
      <c r="C546" s="135" t="s">
        <v>437</v>
      </c>
      <c r="D546" s="70" t="s">
        <v>348</v>
      </c>
      <c r="E546" s="18">
        <v>15</v>
      </c>
      <c r="F546" s="18">
        <v>4.5</v>
      </c>
      <c r="G546" s="19">
        <f t="shared" si="86"/>
        <v>67.5</v>
      </c>
      <c r="H546" s="69">
        <v>0</v>
      </c>
      <c r="I546" s="18">
        <v>1</v>
      </c>
      <c r="J546" s="71" t="str">
        <f t="shared" si="87"/>
        <v xml:space="preserve"> </v>
      </c>
      <c r="K546" s="73">
        <f t="shared" si="88"/>
        <v>67.5</v>
      </c>
      <c r="L546" s="398" t="s">
        <v>952</v>
      </c>
      <c r="M546" s="403">
        <f t="shared" si="89"/>
        <v>67.5</v>
      </c>
      <c r="N546" s="398"/>
      <c r="O546" s="403" t="str">
        <f t="shared" si="90"/>
        <v/>
      </c>
    </row>
    <row r="547" spans="2:15">
      <c r="B547" s="14"/>
      <c r="C547" s="135" t="s">
        <v>437</v>
      </c>
      <c r="D547" s="70" t="s">
        <v>348</v>
      </c>
      <c r="E547" s="18">
        <v>15</v>
      </c>
      <c r="F547" s="18">
        <v>1</v>
      </c>
      <c r="G547" s="19">
        <f t="shared" si="86"/>
        <v>15</v>
      </c>
      <c r="H547" s="69">
        <v>0</v>
      </c>
      <c r="I547" s="18">
        <v>1</v>
      </c>
      <c r="J547" s="71" t="str">
        <f t="shared" si="87"/>
        <v xml:space="preserve"> </v>
      </c>
      <c r="K547" s="73">
        <f t="shared" si="88"/>
        <v>15</v>
      </c>
      <c r="L547" s="398" t="s">
        <v>952</v>
      </c>
      <c r="M547" s="403">
        <f t="shared" si="89"/>
        <v>15</v>
      </c>
      <c r="N547" s="398"/>
      <c r="O547" s="403" t="str">
        <f t="shared" si="90"/>
        <v/>
      </c>
    </row>
    <row r="548" spans="2:15">
      <c r="B548" s="14"/>
      <c r="C548" s="135" t="s">
        <v>1184</v>
      </c>
      <c r="D548" s="70" t="s">
        <v>348</v>
      </c>
      <c r="E548" s="18">
        <v>7.44</v>
      </c>
      <c r="F548" s="18">
        <v>4.5</v>
      </c>
      <c r="G548" s="19">
        <f t="shared" si="86"/>
        <v>33.480000000000004</v>
      </c>
      <c r="H548" s="69">
        <v>0</v>
      </c>
      <c r="I548" s="18">
        <v>2</v>
      </c>
      <c r="J548" s="71" t="str">
        <f t="shared" si="87"/>
        <v xml:space="preserve"> </v>
      </c>
      <c r="K548" s="73">
        <f t="shared" si="88"/>
        <v>66.960000000000008</v>
      </c>
      <c r="L548" s="398" t="s">
        <v>952</v>
      </c>
      <c r="M548" s="403">
        <f t="shared" si="89"/>
        <v>33.480000000000004</v>
      </c>
      <c r="N548" s="398"/>
      <c r="O548" s="403" t="str">
        <f t="shared" si="90"/>
        <v/>
      </c>
    </row>
    <row r="549" spans="2:15">
      <c r="B549" s="14"/>
      <c r="C549" s="135" t="s">
        <v>1185</v>
      </c>
      <c r="D549" s="70" t="s">
        <v>348</v>
      </c>
      <c r="E549" s="18">
        <v>7.44</v>
      </c>
      <c r="F549" s="18">
        <v>4.5</v>
      </c>
      <c r="G549" s="19">
        <f t="shared" si="86"/>
        <v>33.480000000000004</v>
      </c>
      <c r="H549" s="69">
        <v>0</v>
      </c>
      <c r="I549" s="18">
        <v>2</v>
      </c>
      <c r="J549" s="71" t="str">
        <f t="shared" si="87"/>
        <v xml:space="preserve"> </v>
      </c>
      <c r="K549" s="73">
        <f t="shared" si="88"/>
        <v>66.960000000000008</v>
      </c>
      <c r="L549" s="398" t="s">
        <v>952</v>
      </c>
      <c r="M549" s="403">
        <f t="shared" si="89"/>
        <v>33.480000000000004</v>
      </c>
      <c r="N549" s="398"/>
      <c r="O549" s="403" t="str">
        <f t="shared" si="90"/>
        <v/>
      </c>
    </row>
    <row r="550" spans="2:15">
      <c r="B550" s="14"/>
      <c r="C550" s="135" t="s">
        <v>1183</v>
      </c>
      <c r="D550" s="70" t="s">
        <v>348</v>
      </c>
      <c r="E550" s="18">
        <v>36.85</v>
      </c>
      <c r="F550" s="18">
        <v>4.5</v>
      </c>
      <c r="G550" s="19">
        <f t="shared" si="86"/>
        <v>165.82500000000002</v>
      </c>
      <c r="H550" s="69">
        <v>0</v>
      </c>
      <c r="I550" s="18">
        <v>1</v>
      </c>
      <c r="J550" s="71" t="str">
        <f t="shared" si="87"/>
        <v xml:space="preserve"> </v>
      </c>
      <c r="K550" s="73">
        <f t="shared" si="88"/>
        <v>165.82500000000002</v>
      </c>
      <c r="L550" s="398" t="s">
        <v>952</v>
      </c>
      <c r="M550" s="403">
        <f t="shared" si="89"/>
        <v>165.82500000000002</v>
      </c>
      <c r="N550" s="398"/>
      <c r="O550" s="403" t="str">
        <f t="shared" si="90"/>
        <v/>
      </c>
    </row>
    <row r="551" spans="2:15">
      <c r="B551" s="14"/>
      <c r="C551" s="135" t="s">
        <v>1200</v>
      </c>
      <c r="D551" s="70" t="s">
        <v>347</v>
      </c>
      <c r="E551" s="18">
        <v>27.35</v>
      </c>
      <c r="F551" s="18">
        <v>4.5</v>
      </c>
      <c r="G551" s="19">
        <f t="shared" si="86"/>
        <v>123.075</v>
      </c>
      <c r="H551" s="69">
        <v>0</v>
      </c>
      <c r="I551" s="18">
        <v>1</v>
      </c>
      <c r="J551" s="71">
        <f t="shared" si="87"/>
        <v>123.075</v>
      </c>
      <c r="K551" s="73" t="str">
        <f t="shared" si="88"/>
        <v xml:space="preserve"> </v>
      </c>
      <c r="L551" s="398"/>
      <c r="M551" s="403" t="str">
        <f t="shared" si="89"/>
        <v/>
      </c>
      <c r="N551" s="398"/>
      <c r="O551" s="403" t="str">
        <f t="shared" si="90"/>
        <v/>
      </c>
    </row>
    <row r="552" spans="2:15">
      <c r="B552" s="14"/>
      <c r="C552" s="135" t="s">
        <v>1200</v>
      </c>
      <c r="D552" s="70" t="s">
        <v>347</v>
      </c>
      <c r="E552" s="18">
        <v>19.7</v>
      </c>
      <c r="F552" s="18">
        <v>1</v>
      </c>
      <c r="G552" s="19">
        <f t="shared" si="86"/>
        <v>19.7</v>
      </c>
      <c r="H552" s="69">
        <v>0</v>
      </c>
      <c r="I552" s="18">
        <v>1</v>
      </c>
      <c r="J552" s="71">
        <f t="shared" si="87"/>
        <v>19.7</v>
      </c>
      <c r="K552" s="73" t="str">
        <f t="shared" si="88"/>
        <v xml:space="preserve"> </v>
      </c>
      <c r="L552" s="398"/>
      <c r="M552" s="403" t="str">
        <f t="shared" si="89"/>
        <v/>
      </c>
      <c r="N552" s="398"/>
      <c r="O552" s="403" t="str">
        <f t="shared" si="90"/>
        <v/>
      </c>
    </row>
    <row r="553" spans="2:15">
      <c r="B553" s="14"/>
      <c r="C553" s="135" t="s">
        <v>1201</v>
      </c>
      <c r="D553" s="70" t="s">
        <v>347</v>
      </c>
      <c r="E553" s="18">
        <f>23.8+10.35</f>
        <v>34.15</v>
      </c>
      <c r="F553" s="18">
        <v>4.5</v>
      </c>
      <c r="G553" s="19">
        <f t="shared" si="86"/>
        <v>153.67499999999998</v>
      </c>
      <c r="H553" s="69">
        <v>0</v>
      </c>
      <c r="I553" s="18">
        <v>1</v>
      </c>
      <c r="J553" s="71">
        <f t="shared" si="87"/>
        <v>153.67499999999998</v>
      </c>
      <c r="K553" s="73" t="str">
        <f t="shared" si="88"/>
        <v xml:space="preserve"> </v>
      </c>
      <c r="L553" s="398"/>
      <c r="M553" s="403" t="str">
        <f t="shared" si="89"/>
        <v/>
      </c>
      <c r="N553" s="398"/>
      <c r="O553" s="403" t="str">
        <f t="shared" si="90"/>
        <v/>
      </c>
    </row>
    <row r="554" spans="2:15">
      <c r="B554" s="14"/>
      <c r="C554" s="135" t="s">
        <v>1201</v>
      </c>
      <c r="D554" s="70" t="s">
        <v>347</v>
      </c>
      <c r="E554" s="18">
        <f>9.9+10.8</f>
        <v>20.700000000000003</v>
      </c>
      <c r="F554" s="18">
        <f>1.95+1</f>
        <v>2.95</v>
      </c>
      <c r="G554" s="19">
        <f t="shared" si="86"/>
        <v>61.065000000000012</v>
      </c>
      <c r="H554" s="69">
        <v>0</v>
      </c>
      <c r="I554" s="18">
        <v>1</v>
      </c>
      <c r="J554" s="71">
        <f t="shared" si="87"/>
        <v>61.065000000000012</v>
      </c>
      <c r="K554" s="73" t="str">
        <f t="shared" si="88"/>
        <v xml:space="preserve"> </v>
      </c>
      <c r="L554" s="398"/>
      <c r="M554" s="403" t="str">
        <f t="shared" si="89"/>
        <v/>
      </c>
      <c r="N554" s="398"/>
      <c r="O554" s="403" t="str">
        <f t="shared" si="90"/>
        <v/>
      </c>
    </row>
    <row r="555" spans="2:15">
      <c r="B555" s="14"/>
      <c r="C555" s="135" t="s">
        <v>1201</v>
      </c>
      <c r="D555" s="70" t="s">
        <v>347</v>
      </c>
      <c r="E555" s="18">
        <v>15.3</v>
      </c>
      <c r="F555" s="18">
        <v>1</v>
      </c>
      <c r="G555" s="19">
        <f t="shared" si="86"/>
        <v>15.3</v>
      </c>
      <c r="H555" s="69">
        <v>0</v>
      </c>
      <c r="I555" s="18">
        <v>1</v>
      </c>
      <c r="J555" s="71">
        <f t="shared" si="87"/>
        <v>15.3</v>
      </c>
      <c r="K555" s="73" t="str">
        <f t="shared" si="88"/>
        <v xml:space="preserve"> </v>
      </c>
      <c r="L555" s="398"/>
      <c r="M555" s="403" t="str">
        <f t="shared" si="89"/>
        <v/>
      </c>
      <c r="N555" s="398"/>
      <c r="O555" s="403" t="str">
        <f t="shared" si="90"/>
        <v/>
      </c>
    </row>
    <row r="556" spans="2:15">
      <c r="B556" s="14"/>
      <c r="C556" s="135" t="s">
        <v>1202</v>
      </c>
      <c r="D556" s="70" t="s">
        <v>347</v>
      </c>
      <c r="E556" s="18">
        <v>38.75</v>
      </c>
      <c r="F556" s="18">
        <f>1.95+1</f>
        <v>2.95</v>
      </c>
      <c r="G556" s="19">
        <f t="shared" si="86"/>
        <v>114.3125</v>
      </c>
      <c r="H556" s="69">
        <v>0</v>
      </c>
      <c r="I556" s="18">
        <v>1</v>
      </c>
      <c r="J556" s="71">
        <f t="shared" si="87"/>
        <v>114.3125</v>
      </c>
      <c r="K556" s="73" t="str">
        <f t="shared" si="88"/>
        <v xml:space="preserve"> </v>
      </c>
      <c r="L556" s="398"/>
      <c r="M556" s="403" t="str">
        <f t="shared" si="89"/>
        <v/>
      </c>
      <c r="N556" s="398"/>
      <c r="O556" s="403" t="str">
        <f t="shared" si="90"/>
        <v/>
      </c>
    </row>
    <row r="557" spans="2:15">
      <c r="B557" s="14"/>
      <c r="C557" s="135" t="s">
        <v>1203</v>
      </c>
      <c r="D557" s="70" t="s">
        <v>347</v>
      </c>
      <c r="E557" s="18">
        <v>14.15</v>
      </c>
      <c r="F557" s="18">
        <v>4.5</v>
      </c>
      <c r="G557" s="19">
        <f t="shared" si="86"/>
        <v>63.675000000000004</v>
      </c>
      <c r="H557" s="69">
        <v>0</v>
      </c>
      <c r="I557" s="18">
        <v>1</v>
      </c>
      <c r="J557" s="71">
        <f t="shared" si="87"/>
        <v>63.675000000000004</v>
      </c>
      <c r="K557" s="73" t="str">
        <f t="shared" si="88"/>
        <v xml:space="preserve"> </v>
      </c>
      <c r="L557" s="398"/>
      <c r="M557" s="403" t="str">
        <f t="shared" si="89"/>
        <v/>
      </c>
      <c r="N557" s="398"/>
      <c r="O557" s="403" t="str">
        <f t="shared" si="90"/>
        <v/>
      </c>
    </row>
    <row r="558" spans="2:15">
      <c r="B558" s="14"/>
      <c r="C558" s="135" t="s">
        <v>1203</v>
      </c>
      <c r="D558" s="70" t="s">
        <v>347</v>
      </c>
      <c r="E558" s="18">
        <v>34.799999999999997</v>
      </c>
      <c r="F558" s="18">
        <f>1.95+1</f>
        <v>2.95</v>
      </c>
      <c r="G558" s="19">
        <f t="shared" si="86"/>
        <v>102.66</v>
      </c>
      <c r="H558" s="69">
        <v>0</v>
      </c>
      <c r="I558" s="18">
        <v>1</v>
      </c>
      <c r="J558" s="71">
        <f t="shared" si="87"/>
        <v>102.66</v>
      </c>
      <c r="K558" s="73" t="str">
        <f t="shared" si="88"/>
        <v xml:space="preserve"> </v>
      </c>
      <c r="L558" s="398"/>
      <c r="M558" s="403" t="str">
        <f t="shared" si="89"/>
        <v/>
      </c>
      <c r="N558" s="398"/>
      <c r="O558" s="403" t="str">
        <f t="shared" si="90"/>
        <v/>
      </c>
    </row>
    <row r="559" spans="2:15">
      <c r="L559" s="398"/>
      <c r="M559" s="403" t="str">
        <f t="shared" si="89"/>
        <v/>
      </c>
      <c r="N559" s="398"/>
      <c r="O559" s="403" t="str">
        <f t="shared" si="90"/>
        <v/>
      </c>
    </row>
    <row r="560" spans="2:15">
      <c r="B560" s="14" t="s">
        <v>158</v>
      </c>
      <c r="C560" s="1004" t="s">
        <v>157</v>
      </c>
      <c r="D560" s="1004"/>
      <c r="E560" s="1004"/>
      <c r="F560" s="1004"/>
      <c r="G560" s="1004"/>
      <c r="H560" s="1004"/>
      <c r="I560" s="1004"/>
      <c r="J560" s="76">
        <f>SUM(J561:J636)</f>
        <v>1468.2865000000002</v>
      </c>
      <c r="K560" s="400">
        <f>SUM(K561:K636)</f>
        <v>3933.1259999999997</v>
      </c>
      <c r="L560" s="398"/>
      <c r="M560" s="400">
        <f>SUM(M561:M636)</f>
        <v>1011.825</v>
      </c>
      <c r="N560" s="398"/>
      <c r="O560" s="400">
        <f>SUM(O561:O636)</f>
        <v>0</v>
      </c>
    </row>
    <row r="561" spans="2:15">
      <c r="B561" s="14"/>
      <c r="C561" s="17" t="s">
        <v>534</v>
      </c>
      <c r="D561" s="70" t="s">
        <v>348</v>
      </c>
      <c r="E561" s="18">
        <v>26.3</v>
      </c>
      <c r="F561" s="18">
        <f>$I$24</f>
        <v>3</v>
      </c>
      <c r="G561" s="19">
        <f t="shared" ref="G561:G624" si="92">PRODUCT(E561,F561)</f>
        <v>78.900000000000006</v>
      </c>
      <c r="H561" s="69">
        <v>0</v>
      </c>
      <c r="I561" s="18">
        <v>1</v>
      </c>
      <c r="J561" s="71" t="str">
        <f t="shared" ref="J561:J624" si="93">IF(D561="Emboço",G561*I561," ")</f>
        <v xml:space="preserve"> </v>
      </c>
      <c r="K561" s="73">
        <f t="shared" ref="K561:K624" si="94">IF(D561="Reboco",G561*I561," ")</f>
        <v>78.900000000000006</v>
      </c>
      <c r="L561" s="398"/>
      <c r="M561" s="403" t="str">
        <f t="shared" ref="M561:M592" si="95">IF(L561="x",G561,"")</f>
        <v/>
      </c>
      <c r="N561" s="398"/>
      <c r="O561" s="403" t="str">
        <f t="shared" ref="O561:O592" si="96">IF(N561="x",G561,"")</f>
        <v/>
      </c>
    </row>
    <row r="562" spans="2:15">
      <c r="B562" s="14"/>
      <c r="C562" s="17" t="s">
        <v>428</v>
      </c>
      <c r="D562" s="70" t="s">
        <v>347</v>
      </c>
      <c r="E562" s="18">
        <v>9.1999999999999993</v>
      </c>
      <c r="F562" s="18">
        <f t="shared" ref="F562:F623" si="97">$F$561</f>
        <v>3</v>
      </c>
      <c r="G562" s="19">
        <f t="shared" si="92"/>
        <v>27.599999999999998</v>
      </c>
      <c r="H562" s="69">
        <v>0</v>
      </c>
      <c r="I562" s="18">
        <v>1</v>
      </c>
      <c r="J562" s="71">
        <f t="shared" si="93"/>
        <v>27.599999999999998</v>
      </c>
      <c r="K562" s="73" t="str">
        <f t="shared" si="94"/>
        <v xml:space="preserve"> </v>
      </c>
      <c r="L562" s="398"/>
      <c r="M562" s="403" t="str">
        <f t="shared" si="95"/>
        <v/>
      </c>
      <c r="N562" s="398"/>
      <c r="O562" s="403" t="str">
        <f t="shared" si="96"/>
        <v/>
      </c>
    </row>
    <row r="563" spans="2:15">
      <c r="B563" s="14"/>
      <c r="C563" s="17" t="s">
        <v>535</v>
      </c>
      <c r="D563" s="70" t="s">
        <v>348</v>
      </c>
      <c r="E563" s="18">
        <v>26.3</v>
      </c>
      <c r="F563" s="18">
        <f t="shared" si="97"/>
        <v>3</v>
      </c>
      <c r="G563" s="19">
        <f t="shared" si="92"/>
        <v>78.900000000000006</v>
      </c>
      <c r="H563" s="69">
        <v>0</v>
      </c>
      <c r="I563" s="18">
        <v>1</v>
      </c>
      <c r="J563" s="71" t="str">
        <f t="shared" si="93"/>
        <v xml:space="preserve"> </v>
      </c>
      <c r="K563" s="73">
        <f t="shared" si="94"/>
        <v>78.900000000000006</v>
      </c>
      <c r="L563" s="398"/>
      <c r="M563" s="403" t="str">
        <f t="shared" si="95"/>
        <v/>
      </c>
      <c r="N563" s="398"/>
      <c r="O563" s="403" t="str">
        <f t="shared" si="96"/>
        <v/>
      </c>
    </row>
    <row r="564" spans="2:15">
      <c r="B564" s="14"/>
      <c r="C564" s="17" t="s">
        <v>428</v>
      </c>
      <c r="D564" s="70" t="s">
        <v>347</v>
      </c>
      <c r="E564" s="18">
        <v>9.1999999999999993</v>
      </c>
      <c r="F564" s="18">
        <f t="shared" si="97"/>
        <v>3</v>
      </c>
      <c r="G564" s="19">
        <f t="shared" si="92"/>
        <v>27.599999999999998</v>
      </c>
      <c r="H564" s="69">
        <v>0</v>
      </c>
      <c r="I564" s="18">
        <v>1</v>
      </c>
      <c r="J564" s="71">
        <f t="shared" si="93"/>
        <v>27.599999999999998</v>
      </c>
      <c r="K564" s="73" t="str">
        <f t="shared" si="94"/>
        <v xml:space="preserve"> </v>
      </c>
      <c r="L564" s="398"/>
      <c r="M564" s="403" t="str">
        <f t="shared" si="95"/>
        <v/>
      </c>
      <c r="N564" s="398"/>
      <c r="O564" s="403" t="str">
        <f t="shared" si="96"/>
        <v/>
      </c>
    </row>
    <row r="565" spans="2:15">
      <c r="B565" s="14"/>
      <c r="C565" s="17" t="s">
        <v>536</v>
      </c>
      <c r="D565" s="70" t="s">
        <v>348</v>
      </c>
      <c r="E565" s="18">
        <v>26.3</v>
      </c>
      <c r="F565" s="18">
        <f t="shared" si="97"/>
        <v>3</v>
      </c>
      <c r="G565" s="19">
        <f t="shared" si="92"/>
        <v>78.900000000000006</v>
      </c>
      <c r="H565" s="69">
        <v>0</v>
      </c>
      <c r="I565" s="18">
        <v>1</v>
      </c>
      <c r="J565" s="71" t="str">
        <f t="shared" si="93"/>
        <v xml:space="preserve"> </v>
      </c>
      <c r="K565" s="73">
        <f t="shared" si="94"/>
        <v>78.900000000000006</v>
      </c>
      <c r="L565" s="398"/>
      <c r="M565" s="403" t="str">
        <f t="shared" si="95"/>
        <v/>
      </c>
      <c r="N565" s="398"/>
      <c r="O565" s="403" t="str">
        <f t="shared" si="96"/>
        <v/>
      </c>
    </row>
    <row r="566" spans="2:15">
      <c r="B566" s="14"/>
      <c r="C566" s="17" t="s">
        <v>428</v>
      </c>
      <c r="D566" s="70" t="s">
        <v>347</v>
      </c>
      <c r="E566" s="18">
        <v>9.1999999999999993</v>
      </c>
      <c r="F566" s="18">
        <f t="shared" si="97"/>
        <v>3</v>
      </c>
      <c r="G566" s="19">
        <f t="shared" si="92"/>
        <v>27.599999999999998</v>
      </c>
      <c r="H566" s="69">
        <v>0</v>
      </c>
      <c r="I566" s="18">
        <v>1</v>
      </c>
      <c r="J566" s="71">
        <f t="shared" si="93"/>
        <v>27.599999999999998</v>
      </c>
      <c r="K566" s="73" t="str">
        <f t="shared" si="94"/>
        <v xml:space="preserve"> </v>
      </c>
      <c r="L566" s="398"/>
      <c r="M566" s="403" t="str">
        <f t="shared" si="95"/>
        <v/>
      </c>
      <c r="N566" s="398"/>
      <c r="O566" s="403" t="str">
        <f t="shared" si="96"/>
        <v/>
      </c>
    </row>
    <row r="567" spans="2:15">
      <c r="B567" s="14"/>
      <c r="C567" s="17" t="s">
        <v>537</v>
      </c>
      <c r="D567" s="70" t="s">
        <v>348</v>
      </c>
      <c r="E567" s="18">
        <v>26.3</v>
      </c>
      <c r="F567" s="18">
        <f t="shared" si="97"/>
        <v>3</v>
      </c>
      <c r="G567" s="19">
        <f t="shared" si="92"/>
        <v>78.900000000000006</v>
      </c>
      <c r="H567" s="69">
        <v>0</v>
      </c>
      <c r="I567" s="18">
        <v>1</v>
      </c>
      <c r="J567" s="71" t="str">
        <f t="shared" si="93"/>
        <v xml:space="preserve"> </v>
      </c>
      <c r="K567" s="73">
        <f t="shared" si="94"/>
        <v>78.900000000000006</v>
      </c>
      <c r="L567" s="398"/>
      <c r="M567" s="403" t="str">
        <f t="shared" si="95"/>
        <v/>
      </c>
      <c r="N567" s="398"/>
      <c r="O567" s="403" t="str">
        <f t="shared" si="96"/>
        <v/>
      </c>
    </row>
    <row r="568" spans="2:15">
      <c r="B568" s="14"/>
      <c r="C568" s="17" t="s">
        <v>428</v>
      </c>
      <c r="D568" s="70" t="s">
        <v>347</v>
      </c>
      <c r="E568" s="18">
        <v>9.1999999999999993</v>
      </c>
      <c r="F568" s="18">
        <f t="shared" si="97"/>
        <v>3</v>
      </c>
      <c r="G568" s="19">
        <f t="shared" si="92"/>
        <v>27.599999999999998</v>
      </c>
      <c r="H568" s="69">
        <v>0</v>
      </c>
      <c r="I568" s="18">
        <v>1</v>
      </c>
      <c r="J568" s="71">
        <f t="shared" si="93"/>
        <v>27.599999999999998</v>
      </c>
      <c r="K568" s="73" t="str">
        <f t="shared" si="94"/>
        <v xml:space="preserve"> </v>
      </c>
      <c r="L568" s="398"/>
      <c r="M568" s="403" t="str">
        <f t="shared" si="95"/>
        <v/>
      </c>
      <c r="N568" s="398"/>
      <c r="O568" s="403" t="str">
        <f t="shared" si="96"/>
        <v/>
      </c>
    </row>
    <row r="569" spans="2:15">
      <c r="B569" s="14"/>
      <c r="C569" s="17" t="s">
        <v>538</v>
      </c>
      <c r="D569" s="70" t="s">
        <v>348</v>
      </c>
      <c r="E569" s="18">
        <v>25.43</v>
      </c>
      <c r="F569" s="18">
        <f t="shared" si="97"/>
        <v>3</v>
      </c>
      <c r="G569" s="19">
        <f t="shared" si="92"/>
        <v>76.289999999999992</v>
      </c>
      <c r="H569" s="69">
        <v>0</v>
      </c>
      <c r="I569" s="18">
        <v>1</v>
      </c>
      <c r="J569" s="71" t="str">
        <f t="shared" si="93"/>
        <v xml:space="preserve"> </v>
      </c>
      <c r="K569" s="73">
        <f t="shared" si="94"/>
        <v>76.289999999999992</v>
      </c>
      <c r="L569" s="398"/>
      <c r="M569" s="403" t="str">
        <f t="shared" si="95"/>
        <v/>
      </c>
      <c r="N569" s="398"/>
      <c r="O569" s="403" t="str">
        <f t="shared" si="96"/>
        <v/>
      </c>
    </row>
    <row r="570" spans="2:15">
      <c r="B570" s="14"/>
      <c r="C570" s="17" t="s">
        <v>428</v>
      </c>
      <c r="D570" s="70" t="s">
        <v>347</v>
      </c>
      <c r="E570" s="18">
        <v>9.1999999999999993</v>
      </c>
      <c r="F570" s="18">
        <f t="shared" si="97"/>
        <v>3</v>
      </c>
      <c r="G570" s="19">
        <f t="shared" si="92"/>
        <v>27.599999999999998</v>
      </c>
      <c r="H570" s="69">
        <v>0</v>
      </c>
      <c r="I570" s="18">
        <v>1</v>
      </c>
      <c r="J570" s="71">
        <f t="shared" si="93"/>
        <v>27.599999999999998</v>
      </c>
      <c r="K570" s="73" t="str">
        <f t="shared" si="94"/>
        <v xml:space="preserve"> </v>
      </c>
      <c r="L570" s="398"/>
      <c r="M570" s="403" t="str">
        <f t="shared" si="95"/>
        <v/>
      </c>
      <c r="N570" s="398"/>
      <c r="O570" s="403" t="str">
        <f t="shared" si="96"/>
        <v/>
      </c>
    </row>
    <row r="571" spans="2:15">
      <c r="B571" s="14"/>
      <c r="C571" s="17" t="s">
        <v>421</v>
      </c>
      <c r="D571" s="70" t="s">
        <v>348</v>
      </c>
      <c r="E571" s="18">
        <v>14.760000000000002</v>
      </c>
      <c r="F571" s="18">
        <f t="shared" si="97"/>
        <v>3</v>
      </c>
      <c r="G571" s="19">
        <f t="shared" si="92"/>
        <v>44.28</v>
      </c>
      <c r="H571" s="69">
        <v>0</v>
      </c>
      <c r="I571" s="18">
        <v>1</v>
      </c>
      <c r="J571" s="71" t="str">
        <f t="shared" si="93"/>
        <v xml:space="preserve"> </v>
      </c>
      <c r="K571" s="73">
        <f t="shared" si="94"/>
        <v>44.28</v>
      </c>
      <c r="L571" s="398"/>
      <c r="M571" s="403" t="str">
        <f t="shared" si="95"/>
        <v/>
      </c>
      <c r="N571" s="398"/>
      <c r="O571" s="403" t="str">
        <f t="shared" si="96"/>
        <v/>
      </c>
    </row>
    <row r="572" spans="2:15">
      <c r="B572" s="14"/>
      <c r="C572" s="17" t="s">
        <v>473</v>
      </c>
      <c r="D572" s="70" t="s">
        <v>348</v>
      </c>
      <c r="E572" s="18">
        <v>15.55</v>
      </c>
      <c r="F572" s="18">
        <f t="shared" si="97"/>
        <v>3</v>
      </c>
      <c r="G572" s="19">
        <f t="shared" si="92"/>
        <v>46.650000000000006</v>
      </c>
      <c r="H572" s="69">
        <v>0</v>
      </c>
      <c r="I572" s="18">
        <v>1</v>
      </c>
      <c r="J572" s="71" t="str">
        <f t="shared" si="93"/>
        <v xml:space="preserve"> </v>
      </c>
      <c r="K572" s="73">
        <f t="shared" si="94"/>
        <v>46.650000000000006</v>
      </c>
      <c r="L572" s="398"/>
      <c r="M572" s="403" t="str">
        <f t="shared" si="95"/>
        <v/>
      </c>
      <c r="N572" s="398"/>
      <c r="O572" s="403" t="str">
        <f t="shared" si="96"/>
        <v/>
      </c>
    </row>
    <row r="573" spans="2:15">
      <c r="B573" s="14"/>
      <c r="C573" s="17" t="s">
        <v>430</v>
      </c>
      <c r="D573" s="70" t="s">
        <v>348</v>
      </c>
      <c r="E573" s="18">
        <v>17.3</v>
      </c>
      <c r="F573" s="18">
        <f t="shared" si="97"/>
        <v>3</v>
      </c>
      <c r="G573" s="19">
        <f t="shared" si="92"/>
        <v>51.900000000000006</v>
      </c>
      <c r="H573" s="69">
        <v>0</v>
      </c>
      <c r="I573" s="18">
        <v>1</v>
      </c>
      <c r="J573" s="71" t="str">
        <f t="shared" si="93"/>
        <v xml:space="preserve"> </v>
      </c>
      <c r="K573" s="73">
        <f t="shared" si="94"/>
        <v>51.900000000000006</v>
      </c>
      <c r="L573" s="398"/>
      <c r="M573" s="403" t="str">
        <f t="shared" si="95"/>
        <v/>
      </c>
      <c r="N573" s="398"/>
      <c r="O573" s="403" t="str">
        <f t="shared" si="96"/>
        <v/>
      </c>
    </row>
    <row r="574" spans="2:15">
      <c r="B574" s="14"/>
      <c r="C574" s="17" t="s">
        <v>428</v>
      </c>
      <c r="D574" s="70" t="s">
        <v>347</v>
      </c>
      <c r="E574" s="18">
        <v>8.26</v>
      </c>
      <c r="F574" s="18">
        <f t="shared" si="97"/>
        <v>3</v>
      </c>
      <c r="G574" s="19">
        <f t="shared" si="92"/>
        <v>24.78</v>
      </c>
      <c r="H574" s="69">
        <v>0</v>
      </c>
      <c r="I574" s="18">
        <v>1</v>
      </c>
      <c r="J574" s="71">
        <f t="shared" si="93"/>
        <v>24.78</v>
      </c>
      <c r="K574" s="73" t="str">
        <f t="shared" si="94"/>
        <v xml:space="preserve"> </v>
      </c>
      <c r="L574" s="398"/>
      <c r="M574" s="403" t="str">
        <f t="shared" si="95"/>
        <v/>
      </c>
      <c r="N574" s="398"/>
      <c r="O574" s="403" t="str">
        <f t="shared" si="96"/>
        <v/>
      </c>
    </row>
    <row r="575" spans="2:15">
      <c r="B575" s="14"/>
      <c r="C575" s="17" t="s">
        <v>430</v>
      </c>
      <c r="D575" s="70" t="s">
        <v>348</v>
      </c>
      <c r="E575" s="18">
        <v>17.3</v>
      </c>
      <c r="F575" s="18">
        <f t="shared" si="97"/>
        <v>3</v>
      </c>
      <c r="G575" s="19">
        <f t="shared" si="92"/>
        <v>51.900000000000006</v>
      </c>
      <c r="H575" s="69">
        <v>0</v>
      </c>
      <c r="I575" s="18">
        <v>1</v>
      </c>
      <c r="J575" s="71" t="str">
        <f t="shared" si="93"/>
        <v xml:space="preserve"> </v>
      </c>
      <c r="K575" s="73">
        <f t="shared" si="94"/>
        <v>51.900000000000006</v>
      </c>
      <c r="L575" s="398"/>
      <c r="M575" s="403" t="str">
        <f t="shared" si="95"/>
        <v/>
      </c>
      <c r="N575" s="398"/>
      <c r="O575" s="403" t="str">
        <f t="shared" si="96"/>
        <v/>
      </c>
    </row>
    <row r="576" spans="2:15">
      <c r="B576" s="14"/>
      <c r="C576" s="17" t="s">
        <v>428</v>
      </c>
      <c r="D576" s="70" t="s">
        <v>347</v>
      </c>
      <c r="E576" s="18">
        <v>8.26</v>
      </c>
      <c r="F576" s="18">
        <f t="shared" si="97"/>
        <v>3</v>
      </c>
      <c r="G576" s="19">
        <f t="shared" si="92"/>
        <v>24.78</v>
      </c>
      <c r="H576" s="69">
        <v>0</v>
      </c>
      <c r="I576" s="18">
        <v>1</v>
      </c>
      <c r="J576" s="71">
        <f t="shared" si="93"/>
        <v>24.78</v>
      </c>
      <c r="K576" s="73" t="str">
        <f t="shared" si="94"/>
        <v xml:space="preserve"> </v>
      </c>
      <c r="L576" s="398"/>
      <c r="M576" s="403" t="str">
        <f t="shared" si="95"/>
        <v/>
      </c>
      <c r="N576" s="398"/>
      <c r="O576" s="403" t="str">
        <f t="shared" si="96"/>
        <v/>
      </c>
    </row>
    <row r="577" spans="2:15">
      <c r="B577" s="14"/>
      <c r="C577" s="17" t="s">
        <v>473</v>
      </c>
      <c r="D577" s="70" t="s">
        <v>348</v>
      </c>
      <c r="E577" s="18">
        <v>15.55</v>
      </c>
      <c r="F577" s="18">
        <f t="shared" si="97"/>
        <v>3</v>
      </c>
      <c r="G577" s="19">
        <f t="shared" si="92"/>
        <v>46.650000000000006</v>
      </c>
      <c r="H577" s="69">
        <v>0</v>
      </c>
      <c r="I577" s="18">
        <v>1</v>
      </c>
      <c r="J577" s="71" t="str">
        <f t="shared" si="93"/>
        <v xml:space="preserve"> </v>
      </c>
      <c r="K577" s="73">
        <f t="shared" si="94"/>
        <v>46.650000000000006</v>
      </c>
      <c r="L577" s="398"/>
      <c r="M577" s="403" t="str">
        <f t="shared" si="95"/>
        <v/>
      </c>
      <c r="N577" s="398"/>
      <c r="O577" s="403" t="str">
        <f t="shared" si="96"/>
        <v/>
      </c>
    </row>
    <row r="578" spans="2:15">
      <c r="B578" s="14"/>
      <c r="C578" s="26" t="s">
        <v>421</v>
      </c>
      <c r="D578" s="70" t="s">
        <v>348</v>
      </c>
      <c r="E578" s="18">
        <v>14.760000000000002</v>
      </c>
      <c r="F578" s="18">
        <f t="shared" si="97"/>
        <v>3</v>
      </c>
      <c r="G578" s="19">
        <f t="shared" si="92"/>
        <v>44.28</v>
      </c>
      <c r="H578" s="69">
        <v>0</v>
      </c>
      <c r="I578" s="18">
        <v>1</v>
      </c>
      <c r="J578" s="71" t="str">
        <f t="shared" si="93"/>
        <v xml:space="preserve"> </v>
      </c>
      <c r="K578" s="73">
        <f t="shared" si="94"/>
        <v>44.28</v>
      </c>
      <c r="L578" s="398"/>
      <c r="M578" s="403" t="str">
        <f t="shared" si="95"/>
        <v/>
      </c>
      <c r="N578" s="398"/>
      <c r="O578" s="403" t="str">
        <f t="shared" si="96"/>
        <v/>
      </c>
    </row>
    <row r="579" spans="2:15">
      <c r="B579" s="14"/>
      <c r="C579" s="26" t="s">
        <v>539</v>
      </c>
      <c r="D579" s="70" t="s">
        <v>348</v>
      </c>
      <c r="E579" s="18">
        <v>27.22</v>
      </c>
      <c r="F579" s="18">
        <f t="shared" si="97"/>
        <v>3</v>
      </c>
      <c r="G579" s="19">
        <f t="shared" si="92"/>
        <v>81.66</v>
      </c>
      <c r="H579" s="69">
        <v>0</v>
      </c>
      <c r="I579" s="18">
        <v>1</v>
      </c>
      <c r="J579" s="71" t="str">
        <f t="shared" si="93"/>
        <v xml:space="preserve"> </v>
      </c>
      <c r="K579" s="73">
        <f t="shared" si="94"/>
        <v>81.66</v>
      </c>
      <c r="L579" s="398"/>
      <c r="M579" s="403" t="str">
        <f t="shared" si="95"/>
        <v/>
      </c>
      <c r="N579" s="398"/>
      <c r="O579" s="403" t="str">
        <f t="shared" si="96"/>
        <v/>
      </c>
    </row>
    <row r="580" spans="2:15">
      <c r="B580" s="14"/>
      <c r="C580" s="26" t="s">
        <v>428</v>
      </c>
      <c r="D580" s="70" t="s">
        <v>347</v>
      </c>
      <c r="E580" s="18">
        <v>9.1999999999999993</v>
      </c>
      <c r="F580" s="18">
        <f t="shared" si="97"/>
        <v>3</v>
      </c>
      <c r="G580" s="19">
        <f t="shared" si="92"/>
        <v>27.599999999999998</v>
      </c>
      <c r="H580" s="69">
        <v>0</v>
      </c>
      <c r="I580" s="18">
        <v>1</v>
      </c>
      <c r="J580" s="71">
        <f t="shared" si="93"/>
        <v>27.599999999999998</v>
      </c>
      <c r="K580" s="73" t="str">
        <f t="shared" si="94"/>
        <v xml:space="preserve"> </v>
      </c>
      <c r="L580" s="398"/>
      <c r="M580" s="403" t="str">
        <f t="shared" si="95"/>
        <v/>
      </c>
      <c r="N580" s="398"/>
      <c r="O580" s="403" t="str">
        <f t="shared" si="96"/>
        <v/>
      </c>
    </row>
    <row r="581" spans="2:15">
      <c r="B581" s="14"/>
      <c r="C581" s="26" t="s">
        <v>540</v>
      </c>
      <c r="D581" s="70" t="s">
        <v>348</v>
      </c>
      <c r="E581" s="18">
        <v>27.22</v>
      </c>
      <c r="F581" s="18">
        <f t="shared" si="97"/>
        <v>3</v>
      </c>
      <c r="G581" s="19">
        <f t="shared" si="92"/>
        <v>81.66</v>
      </c>
      <c r="H581" s="69">
        <v>0</v>
      </c>
      <c r="I581" s="18">
        <v>1</v>
      </c>
      <c r="J581" s="71" t="str">
        <f t="shared" si="93"/>
        <v xml:space="preserve"> </v>
      </c>
      <c r="K581" s="73">
        <f t="shared" si="94"/>
        <v>81.66</v>
      </c>
      <c r="L581" s="398"/>
      <c r="M581" s="403" t="str">
        <f t="shared" si="95"/>
        <v/>
      </c>
      <c r="N581" s="398"/>
      <c r="O581" s="403" t="str">
        <f t="shared" si="96"/>
        <v/>
      </c>
    </row>
    <row r="582" spans="2:15">
      <c r="B582" s="14"/>
      <c r="C582" s="26" t="s">
        <v>428</v>
      </c>
      <c r="D582" s="70" t="s">
        <v>347</v>
      </c>
      <c r="E582" s="18">
        <v>9.1999999999999993</v>
      </c>
      <c r="F582" s="18">
        <f t="shared" si="97"/>
        <v>3</v>
      </c>
      <c r="G582" s="19">
        <f t="shared" si="92"/>
        <v>27.599999999999998</v>
      </c>
      <c r="H582" s="69">
        <v>0</v>
      </c>
      <c r="I582" s="18">
        <v>1</v>
      </c>
      <c r="J582" s="71">
        <f t="shared" si="93"/>
        <v>27.599999999999998</v>
      </c>
      <c r="K582" s="73" t="str">
        <f t="shared" si="94"/>
        <v xml:space="preserve"> </v>
      </c>
      <c r="L582" s="398"/>
      <c r="M582" s="403" t="str">
        <f t="shared" si="95"/>
        <v/>
      </c>
      <c r="N582" s="398"/>
      <c r="O582" s="403" t="str">
        <f t="shared" si="96"/>
        <v/>
      </c>
    </row>
    <row r="583" spans="2:15">
      <c r="B583" s="14"/>
      <c r="C583" s="26" t="s">
        <v>541</v>
      </c>
      <c r="D583" s="70" t="s">
        <v>348</v>
      </c>
      <c r="E583" s="18">
        <v>27.22</v>
      </c>
      <c r="F583" s="18">
        <f t="shared" si="97"/>
        <v>3</v>
      </c>
      <c r="G583" s="19">
        <f t="shared" si="92"/>
        <v>81.66</v>
      </c>
      <c r="H583" s="69">
        <v>0</v>
      </c>
      <c r="I583" s="18">
        <v>1</v>
      </c>
      <c r="J583" s="71" t="str">
        <f t="shared" si="93"/>
        <v xml:space="preserve"> </v>
      </c>
      <c r="K583" s="73">
        <f t="shared" si="94"/>
        <v>81.66</v>
      </c>
      <c r="L583" s="398"/>
      <c r="M583" s="403" t="str">
        <f t="shared" si="95"/>
        <v/>
      </c>
      <c r="N583" s="398"/>
      <c r="O583" s="403" t="str">
        <f t="shared" si="96"/>
        <v/>
      </c>
    </row>
    <row r="584" spans="2:15">
      <c r="B584" s="14"/>
      <c r="C584" s="26" t="s">
        <v>428</v>
      </c>
      <c r="D584" s="70" t="s">
        <v>347</v>
      </c>
      <c r="E584" s="18">
        <v>9.1999999999999993</v>
      </c>
      <c r="F584" s="18">
        <f t="shared" si="97"/>
        <v>3</v>
      </c>
      <c r="G584" s="19">
        <f t="shared" si="92"/>
        <v>27.599999999999998</v>
      </c>
      <c r="H584" s="69">
        <v>0</v>
      </c>
      <c r="I584" s="18">
        <v>1</v>
      </c>
      <c r="J584" s="71">
        <f t="shared" si="93"/>
        <v>27.599999999999998</v>
      </c>
      <c r="K584" s="73" t="str">
        <f t="shared" si="94"/>
        <v xml:space="preserve"> </v>
      </c>
      <c r="L584" s="398"/>
      <c r="M584" s="403" t="str">
        <f t="shared" si="95"/>
        <v/>
      </c>
      <c r="N584" s="398"/>
      <c r="O584" s="403" t="str">
        <f t="shared" si="96"/>
        <v/>
      </c>
    </row>
    <row r="585" spans="2:15">
      <c r="B585" s="14"/>
      <c r="C585" s="26" t="s">
        <v>542</v>
      </c>
      <c r="D585" s="70" t="s">
        <v>348</v>
      </c>
      <c r="E585" s="18">
        <v>27.22</v>
      </c>
      <c r="F585" s="18">
        <f t="shared" si="97"/>
        <v>3</v>
      </c>
      <c r="G585" s="19">
        <f t="shared" si="92"/>
        <v>81.66</v>
      </c>
      <c r="H585" s="69">
        <v>0</v>
      </c>
      <c r="I585" s="18">
        <v>1</v>
      </c>
      <c r="J585" s="71" t="str">
        <f t="shared" si="93"/>
        <v xml:space="preserve"> </v>
      </c>
      <c r="K585" s="73">
        <f t="shared" si="94"/>
        <v>81.66</v>
      </c>
      <c r="L585" s="398"/>
      <c r="M585" s="403" t="str">
        <f t="shared" si="95"/>
        <v/>
      </c>
      <c r="N585" s="398"/>
      <c r="O585" s="403" t="str">
        <f t="shared" si="96"/>
        <v/>
      </c>
    </row>
    <row r="586" spans="2:15">
      <c r="B586" s="14"/>
      <c r="C586" s="26" t="s">
        <v>428</v>
      </c>
      <c r="D586" s="70" t="s">
        <v>347</v>
      </c>
      <c r="E586" s="18">
        <v>9.1999999999999993</v>
      </c>
      <c r="F586" s="18">
        <f t="shared" si="97"/>
        <v>3</v>
      </c>
      <c r="G586" s="19">
        <f t="shared" si="92"/>
        <v>27.599999999999998</v>
      </c>
      <c r="H586" s="69">
        <v>0</v>
      </c>
      <c r="I586" s="18">
        <v>1</v>
      </c>
      <c r="J586" s="71">
        <f t="shared" si="93"/>
        <v>27.599999999999998</v>
      </c>
      <c r="K586" s="73" t="str">
        <f t="shared" si="94"/>
        <v xml:space="preserve"> </v>
      </c>
      <c r="L586" s="398"/>
      <c r="M586" s="403" t="str">
        <f t="shared" si="95"/>
        <v/>
      </c>
      <c r="N586" s="398"/>
      <c r="O586" s="403" t="str">
        <f t="shared" si="96"/>
        <v/>
      </c>
    </row>
    <row r="587" spans="2:15">
      <c r="B587" s="14"/>
      <c r="C587" s="26" t="s">
        <v>472</v>
      </c>
      <c r="D587" s="70" t="s">
        <v>347</v>
      </c>
      <c r="E587" s="18">
        <v>9.8239999999999998</v>
      </c>
      <c r="F587" s="18">
        <f t="shared" si="97"/>
        <v>3</v>
      </c>
      <c r="G587" s="19">
        <f t="shared" si="92"/>
        <v>29.472000000000001</v>
      </c>
      <c r="H587" s="69">
        <v>0</v>
      </c>
      <c r="I587" s="18">
        <v>1</v>
      </c>
      <c r="J587" s="71">
        <f t="shared" si="93"/>
        <v>29.472000000000001</v>
      </c>
      <c r="K587" s="73" t="str">
        <f t="shared" si="94"/>
        <v xml:space="preserve"> </v>
      </c>
      <c r="L587" s="398"/>
      <c r="M587" s="403" t="str">
        <f t="shared" si="95"/>
        <v/>
      </c>
      <c r="N587" s="398"/>
      <c r="O587" s="403" t="str">
        <f t="shared" si="96"/>
        <v/>
      </c>
    </row>
    <row r="588" spans="2:15">
      <c r="B588" s="14"/>
      <c r="C588" s="17" t="s">
        <v>308</v>
      </c>
      <c r="D588" s="70" t="s">
        <v>347</v>
      </c>
      <c r="E588" s="18">
        <v>13.624000000000001</v>
      </c>
      <c r="F588" s="18">
        <f t="shared" si="97"/>
        <v>3</v>
      </c>
      <c r="G588" s="19">
        <f t="shared" si="92"/>
        <v>40.872</v>
      </c>
      <c r="H588" s="69">
        <v>0</v>
      </c>
      <c r="I588" s="18">
        <v>1</v>
      </c>
      <c r="J588" s="71">
        <f t="shared" si="93"/>
        <v>40.872</v>
      </c>
      <c r="K588" s="73" t="str">
        <f t="shared" si="94"/>
        <v xml:space="preserve"> </v>
      </c>
      <c r="L588" s="398"/>
      <c r="M588" s="403" t="str">
        <f t="shared" si="95"/>
        <v/>
      </c>
      <c r="N588" s="398"/>
      <c r="O588" s="403" t="str">
        <f t="shared" si="96"/>
        <v/>
      </c>
    </row>
    <row r="589" spans="2:15">
      <c r="B589" s="14"/>
      <c r="C589" s="17" t="s">
        <v>299</v>
      </c>
      <c r="D589" s="70" t="s">
        <v>348</v>
      </c>
      <c r="E589" s="18">
        <v>13.624000000000001</v>
      </c>
      <c r="F589" s="18">
        <f t="shared" si="97"/>
        <v>3</v>
      </c>
      <c r="G589" s="19">
        <f t="shared" si="92"/>
        <v>40.872</v>
      </c>
      <c r="H589" s="69">
        <v>0</v>
      </c>
      <c r="I589" s="18">
        <v>1</v>
      </c>
      <c r="J589" s="71" t="str">
        <f t="shared" si="93"/>
        <v xml:space="preserve"> </v>
      </c>
      <c r="K589" s="73">
        <f t="shared" si="94"/>
        <v>40.872</v>
      </c>
      <c r="L589" s="398"/>
      <c r="M589" s="403" t="str">
        <f t="shared" si="95"/>
        <v/>
      </c>
      <c r="N589" s="398"/>
      <c r="O589" s="403" t="str">
        <f t="shared" si="96"/>
        <v/>
      </c>
    </row>
    <row r="590" spans="2:15">
      <c r="B590" s="14"/>
      <c r="C590" s="17" t="s">
        <v>423</v>
      </c>
      <c r="D590" s="70" t="s">
        <v>348</v>
      </c>
      <c r="E590" s="18">
        <v>14.624000000000001</v>
      </c>
      <c r="F590" s="18">
        <f t="shared" si="97"/>
        <v>3</v>
      </c>
      <c r="G590" s="19">
        <f t="shared" si="92"/>
        <v>43.872</v>
      </c>
      <c r="H590" s="69">
        <v>0</v>
      </c>
      <c r="I590" s="18">
        <v>1</v>
      </c>
      <c r="J590" s="71" t="str">
        <f t="shared" si="93"/>
        <v xml:space="preserve"> </v>
      </c>
      <c r="K590" s="73">
        <f t="shared" si="94"/>
        <v>43.872</v>
      </c>
      <c r="L590" s="398"/>
      <c r="M590" s="403" t="str">
        <f t="shared" si="95"/>
        <v/>
      </c>
      <c r="N590" s="398"/>
      <c r="O590" s="403" t="str">
        <f t="shared" si="96"/>
        <v/>
      </c>
    </row>
    <row r="591" spans="2:15">
      <c r="B591" s="14"/>
      <c r="C591" s="17" t="s">
        <v>543</v>
      </c>
      <c r="D591" s="70" t="s">
        <v>348</v>
      </c>
      <c r="E591" s="18">
        <v>14.352</v>
      </c>
      <c r="F591" s="18">
        <f t="shared" si="97"/>
        <v>3</v>
      </c>
      <c r="G591" s="19">
        <f t="shared" si="92"/>
        <v>43.055999999999997</v>
      </c>
      <c r="H591" s="69">
        <v>0</v>
      </c>
      <c r="I591" s="18">
        <v>1</v>
      </c>
      <c r="J591" s="71" t="str">
        <f t="shared" si="93"/>
        <v xml:space="preserve"> </v>
      </c>
      <c r="K591" s="73">
        <f t="shared" si="94"/>
        <v>43.055999999999997</v>
      </c>
      <c r="L591" s="398"/>
      <c r="M591" s="403" t="str">
        <f t="shared" si="95"/>
        <v/>
      </c>
      <c r="N591" s="398"/>
      <c r="O591" s="403" t="str">
        <f t="shared" si="96"/>
        <v/>
      </c>
    </row>
    <row r="592" spans="2:15">
      <c r="B592" s="14"/>
      <c r="C592" s="17" t="s">
        <v>544</v>
      </c>
      <c r="D592" s="70" t="s">
        <v>348</v>
      </c>
      <c r="E592" s="18">
        <v>14.352</v>
      </c>
      <c r="F592" s="18">
        <f t="shared" si="97"/>
        <v>3</v>
      </c>
      <c r="G592" s="19">
        <f t="shared" si="92"/>
        <v>43.055999999999997</v>
      </c>
      <c r="H592" s="69">
        <v>0</v>
      </c>
      <c r="I592" s="18">
        <v>1</v>
      </c>
      <c r="J592" s="71" t="str">
        <f t="shared" si="93"/>
        <v xml:space="preserve"> </v>
      </c>
      <c r="K592" s="73">
        <f t="shared" si="94"/>
        <v>43.055999999999997</v>
      </c>
      <c r="L592" s="398"/>
      <c r="M592" s="403" t="str">
        <f t="shared" si="95"/>
        <v/>
      </c>
      <c r="N592" s="398"/>
      <c r="O592" s="403" t="str">
        <f t="shared" si="96"/>
        <v/>
      </c>
    </row>
    <row r="593" spans="2:15">
      <c r="B593" s="14"/>
      <c r="C593" s="17" t="s">
        <v>476</v>
      </c>
      <c r="D593" s="70" t="s">
        <v>347</v>
      </c>
      <c r="E593" s="18">
        <v>14.352</v>
      </c>
      <c r="F593" s="18">
        <f t="shared" si="97"/>
        <v>3</v>
      </c>
      <c r="G593" s="19">
        <f t="shared" si="92"/>
        <v>43.055999999999997</v>
      </c>
      <c r="H593" s="69">
        <v>0</v>
      </c>
      <c r="I593" s="18">
        <v>1</v>
      </c>
      <c r="J593" s="71">
        <f t="shared" si="93"/>
        <v>43.055999999999997</v>
      </c>
      <c r="K593" s="73" t="str">
        <f t="shared" si="94"/>
        <v xml:space="preserve"> </v>
      </c>
      <c r="L593" s="398"/>
      <c r="M593" s="403" t="str">
        <f t="shared" ref="M593:M624" si="98">IF(L593="x",G593,"")</f>
        <v/>
      </c>
      <c r="N593" s="398"/>
      <c r="O593" s="403" t="str">
        <f t="shared" ref="O593:O624" si="99">IF(N593="x",G593,"")</f>
        <v/>
      </c>
    </row>
    <row r="594" spans="2:15">
      <c r="B594" s="14"/>
      <c r="C594" s="17" t="s">
        <v>545</v>
      </c>
      <c r="D594" s="70" t="s">
        <v>347</v>
      </c>
      <c r="E594" s="18">
        <v>24.34</v>
      </c>
      <c r="F594" s="18">
        <f t="shared" si="97"/>
        <v>3</v>
      </c>
      <c r="G594" s="19">
        <f t="shared" si="92"/>
        <v>73.02</v>
      </c>
      <c r="H594" s="69">
        <v>0</v>
      </c>
      <c r="I594" s="18">
        <v>1</v>
      </c>
      <c r="J594" s="71">
        <f t="shared" si="93"/>
        <v>73.02</v>
      </c>
      <c r="K594" s="73" t="str">
        <f t="shared" si="94"/>
        <v xml:space="preserve"> </v>
      </c>
      <c r="L594" s="398"/>
      <c r="M594" s="403" t="str">
        <f t="shared" si="98"/>
        <v/>
      </c>
      <c r="N594" s="398"/>
      <c r="O594" s="403" t="str">
        <f t="shared" si="99"/>
        <v/>
      </c>
    </row>
    <row r="595" spans="2:15">
      <c r="B595" s="14"/>
      <c r="C595" s="17" t="s">
        <v>546</v>
      </c>
      <c r="D595" s="70" t="s">
        <v>347</v>
      </c>
      <c r="E595" s="18">
        <v>8.8000000000000007</v>
      </c>
      <c r="F595" s="18">
        <f t="shared" si="97"/>
        <v>3</v>
      </c>
      <c r="G595" s="19">
        <f t="shared" si="92"/>
        <v>26.400000000000002</v>
      </c>
      <c r="H595" s="69">
        <v>0</v>
      </c>
      <c r="I595" s="18">
        <v>1</v>
      </c>
      <c r="J595" s="71">
        <f t="shared" si="93"/>
        <v>26.400000000000002</v>
      </c>
      <c r="K595" s="73" t="str">
        <f t="shared" si="94"/>
        <v xml:space="preserve"> </v>
      </c>
      <c r="L595" s="398"/>
      <c r="M595" s="403" t="str">
        <f t="shared" si="98"/>
        <v/>
      </c>
      <c r="N595" s="398"/>
      <c r="O595" s="403" t="str">
        <f t="shared" si="99"/>
        <v/>
      </c>
    </row>
    <row r="596" spans="2:15">
      <c r="B596" s="14"/>
      <c r="C596" s="17" t="s">
        <v>547</v>
      </c>
      <c r="D596" s="70" t="s">
        <v>347</v>
      </c>
      <c r="E596" s="18">
        <v>8.8000000000000007</v>
      </c>
      <c r="F596" s="18">
        <f t="shared" si="97"/>
        <v>3</v>
      </c>
      <c r="G596" s="19">
        <f t="shared" si="92"/>
        <v>26.400000000000002</v>
      </c>
      <c r="H596" s="69">
        <v>0</v>
      </c>
      <c r="I596" s="18">
        <v>1</v>
      </c>
      <c r="J596" s="71">
        <f t="shared" si="93"/>
        <v>26.400000000000002</v>
      </c>
      <c r="K596" s="73" t="str">
        <f t="shared" si="94"/>
        <v xml:space="preserve"> </v>
      </c>
      <c r="L596" s="398"/>
      <c r="M596" s="403" t="str">
        <f t="shared" si="98"/>
        <v/>
      </c>
      <c r="N596" s="398"/>
      <c r="O596" s="403" t="str">
        <f t="shared" si="99"/>
        <v/>
      </c>
    </row>
    <row r="597" spans="2:15">
      <c r="B597" s="14"/>
      <c r="C597" s="17" t="s">
        <v>548</v>
      </c>
      <c r="D597" s="70" t="s">
        <v>347</v>
      </c>
      <c r="E597" s="18">
        <v>22.85</v>
      </c>
      <c r="F597" s="18">
        <f t="shared" si="97"/>
        <v>3</v>
      </c>
      <c r="G597" s="19">
        <f t="shared" si="92"/>
        <v>68.550000000000011</v>
      </c>
      <c r="H597" s="69">
        <v>0</v>
      </c>
      <c r="I597" s="18">
        <v>1</v>
      </c>
      <c r="J597" s="71">
        <f t="shared" si="93"/>
        <v>68.550000000000011</v>
      </c>
      <c r="K597" s="73" t="str">
        <f t="shared" si="94"/>
        <v xml:space="preserve"> </v>
      </c>
      <c r="L597" s="398"/>
      <c r="M597" s="403" t="str">
        <f t="shared" si="98"/>
        <v/>
      </c>
      <c r="N597" s="398"/>
      <c r="O597" s="403" t="str">
        <f t="shared" si="99"/>
        <v/>
      </c>
    </row>
    <row r="598" spans="2:15">
      <c r="B598" s="14"/>
      <c r="C598" s="17" t="s">
        <v>549</v>
      </c>
      <c r="D598" s="70" t="s">
        <v>348</v>
      </c>
      <c r="E598" s="18">
        <v>14.530000000000001</v>
      </c>
      <c r="F598" s="18">
        <f t="shared" si="97"/>
        <v>3</v>
      </c>
      <c r="G598" s="19">
        <f t="shared" si="92"/>
        <v>43.59</v>
      </c>
      <c r="H598" s="69">
        <v>0</v>
      </c>
      <c r="I598" s="18">
        <v>1</v>
      </c>
      <c r="J598" s="71" t="str">
        <f t="shared" si="93"/>
        <v xml:space="preserve"> </v>
      </c>
      <c r="K598" s="73">
        <f t="shared" si="94"/>
        <v>43.59</v>
      </c>
      <c r="L598" s="398"/>
      <c r="M598" s="403" t="str">
        <f t="shared" si="98"/>
        <v/>
      </c>
      <c r="N598" s="398"/>
      <c r="O598" s="403" t="str">
        <f t="shared" si="99"/>
        <v/>
      </c>
    </row>
    <row r="599" spans="2:15">
      <c r="B599" s="14"/>
      <c r="C599" s="17" t="s">
        <v>550</v>
      </c>
      <c r="D599" s="70" t="s">
        <v>348</v>
      </c>
      <c r="E599" s="18">
        <v>19.155000000000001</v>
      </c>
      <c r="F599" s="18">
        <f t="shared" si="97"/>
        <v>3</v>
      </c>
      <c r="G599" s="19">
        <f t="shared" si="92"/>
        <v>57.465000000000003</v>
      </c>
      <c r="H599" s="69">
        <v>0</v>
      </c>
      <c r="I599" s="18">
        <v>1</v>
      </c>
      <c r="J599" s="71" t="str">
        <f t="shared" si="93"/>
        <v xml:space="preserve"> </v>
      </c>
      <c r="K599" s="73">
        <f t="shared" si="94"/>
        <v>57.465000000000003</v>
      </c>
      <c r="L599" s="398"/>
      <c r="M599" s="403" t="str">
        <f t="shared" si="98"/>
        <v/>
      </c>
      <c r="N599" s="398"/>
      <c r="O599" s="403" t="str">
        <f t="shared" si="99"/>
        <v/>
      </c>
    </row>
    <row r="600" spans="2:15">
      <c r="B600" s="14"/>
      <c r="C600" s="26" t="s">
        <v>428</v>
      </c>
      <c r="D600" s="70" t="s">
        <v>347</v>
      </c>
      <c r="E600" s="18">
        <v>9.4980000000000011</v>
      </c>
      <c r="F600" s="18">
        <f t="shared" si="97"/>
        <v>3</v>
      </c>
      <c r="G600" s="19">
        <f t="shared" si="92"/>
        <v>28.494000000000003</v>
      </c>
      <c r="H600" s="69">
        <v>0</v>
      </c>
      <c r="I600" s="18">
        <v>1</v>
      </c>
      <c r="J600" s="71">
        <f t="shared" si="93"/>
        <v>28.494000000000003</v>
      </c>
      <c r="K600" s="73" t="str">
        <f t="shared" si="94"/>
        <v xml:space="preserve"> </v>
      </c>
      <c r="L600" s="398"/>
      <c r="M600" s="403" t="str">
        <f t="shared" si="98"/>
        <v/>
      </c>
      <c r="N600" s="398"/>
      <c r="O600" s="403" t="str">
        <f t="shared" si="99"/>
        <v/>
      </c>
    </row>
    <row r="601" spans="2:15">
      <c r="B601" s="14"/>
      <c r="C601" s="26" t="s">
        <v>551</v>
      </c>
      <c r="D601" s="70" t="s">
        <v>348</v>
      </c>
      <c r="E601" s="18">
        <v>26.3</v>
      </c>
      <c r="F601" s="18">
        <f t="shared" si="97"/>
        <v>3</v>
      </c>
      <c r="G601" s="19">
        <f t="shared" si="92"/>
        <v>78.900000000000006</v>
      </c>
      <c r="H601" s="69">
        <v>0</v>
      </c>
      <c r="I601" s="18">
        <v>1</v>
      </c>
      <c r="J601" s="71" t="str">
        <f t="shared" si="93"/>
        <v xml:space="preserve"> </v>
      </c>
      <c r="K601" s="73">
        <f t="shared" si="94"/>
        <v>78.900000000000006</v>
      </c>
      <c r="L601" s="398"/>
      <c r="M601" s="403" t="str">
        <f t="shared" si="98"/>
        <v/>
      </c>
      <c r="N601" s="398"/>
      <c r="O601" s="403" t="str">
        <f t="shared" si="99"/>
        <v/>
      </c>
    </row>
    <row r="602" spans="2:15">
      <c r="B602" s="14"/>
      <c r="C602" s="26" t="s">
        <v>428</v>
      </c>
      <c r="D602" s="70" t="s">
        <v>347</v>
      </c>
      <c r="E602" s="18">
        <v>9.1999999999999993</v>
      </c>
      <c r="F602" s="18">
        <f t="shared" si="97"/>
        <v>3</v>
      </c>
      <c r="G602" s="19">
        <f t="shared" si="92"/>
        <v>27.599999999999998</v>
      </c>
      <c r="H602" s="69">
        <v>0</v>
      </c>
      <c r="I602" s="18">
        <v>1</v>
      </c>
      <c r="J602" s="71">
        <f t="shared" si="93"/>
        <v>27.599999999999998</v>
      </c>
      <c r="K602" s="73" t="str">
        <f t="shared" si="94"/>
        <v xml:space="preserve"> </v>
      </c>
      <c r="L602" s="398"/>
      <c r="M602" s="403" t="str">
        <f t="shared" si="98"/>
        <v/>
      </c>
      <c r="N602" s="398"/>
      <c r="O602" s="403" t="str">
        <f t="shared" si="99"/>
        <v/>
      </c>
    </row>
    <row r="603" spans="2:15">
      <c r="B603" s="14"/>
      <c r="C603" s="26" t="s">
        <v>552</v>
      </c>
      <c r="D603" s="70" t="s">
        <v>348</v>
      </c>
      <c r="E603" s="18">
        <v>26.3</v>
      </c>
      <c r="F603" s="18">
        <f t="shared" si="97"/>
        <v>3</v>
      </c>
      <c r="G603" s="19">
        <f t="shared" si="92"/>
        <v>78.900000000000006</v>
      </c>
      <c r="H603" s="69">
        <v>0</v>
      </c>
      <c r="I603" s="18">
        <v>1</v>
      </c>
      <c r="J603" s="71" t="str">
        <f t="shared" si="93"/>
        <v xml:space="preserve"> </v>
      </c>
      <c r="K603" s="73">
        <f t="shared" si="94"/>
        <v>78.900000000000006</v>
      </c>
      <c r="L603" s="398"/>
      <c r="M603" s="403" t="str">
        <f t="shared" si="98"/>
        <v/>
      </c>
      <c r="N603" s="398"/>
      <c r="O603" s="403" t="str">
        <f t="shared" si="99"/>
        <v/>
      </c>
    </row>
    <row r="604" spans="2:15">
      <c r="B604" s="14"/>
      <c r="C604" s="26" t="s">
        <v>428</v>
      </c>
      <c r="D604" s="70" t="s">
        <v>347</v>
      </c>
      <c r="E604" s="18">
        <v>9.1999999999999993</v>
      </c>
      <c r="F604" s="18">
        <f t="shared" si="97"/>
        <v>3</v>
      </c>
      <c r="G604" s="19">
        <f t="shared" si="92"/>
        <v>27.599999999999998</v>
      </c>
      <c r="H604" s="69">
        <v>0</v>
      </c>
      <c r="I604" s="18">
        <v>1</v>
      </c>
      <c r="J604" s="71">
        <f t="shared" si="93"/>
        <v>27.599999999999998</v>
      </c>
      <c r="K604" s="73" t="str">
        <f t="shared" si="94"/>
        <v xml:space="preserve"> </v>
      </c>
      <c r="L604" s="398"/>
      <c r="M604" s="403" t="str">
        <f t="shared" si="98"/>
        <v/>
      </c>
      <c r="N604" s="398"/>
      <c r="O604" s="403" t="str">
        <f t="shared" si="99"/>
        <v/>
      </c>
    </row>
    <row r="605" spans="2:15">
      <c r="B605" s="14"/>
      <c r="C605" s="26" t="s">
        <v>553</v>
      </c>
      <c r="D605" s="70" t="s">
        <v>348</v>
      </c>
      <c r="E605" s="18">
        <v>26.3</v>
      </c>
      <c r="F605" s="18">
        <f t="shared" si="97"/>
        <v>3</v>
      </c>
      <c r="G605" s="19">
        <f t="shared" si="92"/>
        <v>78.900000000000006</v>
      </c>
      <c r="H605" s="69">
        <v>0</v>
      </c>
      <c r="I605" s="18">
        <v>1</v>
      </c>
      <c r="J605" s="71" t="str">
        <f t="shared" si="93"/>
        <v xml:space="preserve"> </v>
      </c>
      <c r="K605" s="73">
        <f t="shared" si="94"/>
        <v>78.900000000000006</v>
      </c>
      <c r="L605" s="398"/>
      <c r="M605" s="403" t="str">
        <f t="shared" si="98"/>
        <v/>
      </c>
      <c r="N605" s="398"/>
      <c r="O605" s="403" t="str">
        <f t="shared" si="99"/>
        <v/>
      </c>
    </row>
    <row r="606" spans="2:15">
      <c r="B606" s="14"/>
      <c r="C606" s="26" t="s">
        <v>428</v>
      </c>
      <c r="D606" s="70" t="s">
        <v>347</v>
      </c>
      <c r="E606" s="18">
        <v>9.1999999999999993</v>
      </c>
      <c r="F606" s="18">
        <f t="shared" si="97"/>
        <v>3</v>
      </c>
      <c r="G606" s="19">
        <f t="shared" si="92"/>
        <v>27.599999999999998</v>
      </c>
      <c r="H606" s="69">
        <v>0</v>
      </c>
      <c r="I606" s="18">
        <v>1</v>
      </c>
      <c r="J606" s="71">
        <f t="shared" si="93"/>
        <v>27.599999999999998</v>
      </c>
      <c r="K606" s="73" t="str">
        <f t="shared" si="94"/>
        <v xml:space="preserve"> </v>
      </c>
      <c r="L606" s="398"/>
      <c r="M606" s="403" t="str">
        <f t="shared" si="98"/>
        <v/>
      </c>
      <c r="N606" s="398"/>
      <c r="O606" s="403" t="str">
        <f t="shared" si="99"/>
        <v/>
      </c>
    </row>
    <row r="607" spans="2:15">
      <c r="B607" s="14"/>
      <c r="C607" s="26" t="s">
        <v>554</v>
      </c>
      <c r="D607" s="70" t="s">
        <v>348</v>
      </c>
      <c r="E607" s="18">
        <v>26.3</v>
      </c>
      <c r="F607" s="18">
        <f t="shared" si="97"/>
        <v>3</v>
      </c>
      <c r="G607" s="19">
        <f t="shared" si="92"/>
        <v>78.900000000000006</v>
      </c>
      <c r="H607" s="69">
        <v>0</v>
      </c>
      <c r="I607" s="18">
        <v>1</v>
      </c>
      <c r="J607" s="71" t="str">
        <f t="shared" si="93"/>
        <v xml:space="preserve"> </v>
      </c>
      <c r="K607" s="73">
        <f t="shared" si="94"/>
        <v>78.900000000000006</v>
      </c>
      <c r="L607" s="398"/>
      <c r="M607" s="403" t="str">
        <f t="shared" si="98"/>
        <v/>
      </c>
      <c r="N607" s="398"/>
      <c r="O607" s="403" t="str">
        <f t="shared" si="99"/>
        <v/>
      </c>
    </row>
    <row r="608" spans="2:15">
      <c r="B608" s="14"/>
      <c r="C608" s="26" t="s">
        <v>428</v>
      </c>
      <c r="D608" s="70" t="s">
        <v>347</v>
      </c>
      <c r="E608" s="18">
        <v>9.1999999999999993</v>
      </c>
      <c r="F608" s="18">
        <f t="shared" si="97"/>
        <v>3</v>
      </c>
      <c r="G608" s="19">
        <f t="shared" si="92"/>
        <v>27.599999999999998</v>
      </c>
      <c r="H608" s="69">
        <v>0</v>
      </c>
      <c r="I608" s="18">
        <v>1</v>
      </c>
      <c r="J608" s="71">
        <f t="shared" si="93"/>
        <v>27.599999999999998</v>
      </c>
      <c r="K608" s="73" t="str">
        <f t="shared" si="94"/>
        <v xml:space="preserve"> </v>
      </c>
      <c r="L608" s="398"/>
      <c r="M608" s="403" t="str">
        <f t="shared" si="98"/>
        <v/>
      </c>
      <c r="N608" s="398"/>
      <c r="O608" s="403" t="str">
        <f t="shared" si="99"/>
        <v/>
      </c>
    </row>
    <row r="609" spans="2:15">
      <c r="B609" s="14"/>
      <c r="C609" s="26" t="s">
        <v>555</v>
      </c>
      <c r="D609" s="70" t="s">
        <v>348</v>
      </c>
      <c r="E609" s="18">
        <v>25.45</v>
      </c>
      <c r="F609" s="18">
        <f t="shared" si="97"/>
        <v>3</v>
      </c>
      <c r="G609" s="19">
        <f t="shared" si="92"/>
        <v>76.349999999999994</v>
      </c>
      <c r="H609" s="69">
        <v>0</v>
      </c>
      <c r="I609" s="18">
        <v>1</v>
      </c>
      <c r="J609" s="71" t="str">
        <f t="shared" si="93"/>
        <v xml:space="preserve"> </v>
      </c>
      <c r="K609" s="73">
        <f t="shared" si="94"/>
        <v>76.349999999999994</v>
      </c>
      <c r="L609" s="398"/>
      <c r="M609" s="403" t="str">
        <f t="shared" si="98"/>
        <v/>
      </c>
      <c r="N609" s="398"/>
      <c r="O609" s="403" t="str">
        <f t="shared" si="99"/>
        <v/>
      </c>
    </row>
    <row r="610" spans="2:15">
      <c r="B610" s="14"/>
      <c r="C610" s="26" t="s">
        <v>428</v>
      </c>
      <c r="D610" s="70" t="s">
        <v>347</v>
      </c>
      <c r="E610" s="18">
        <v>9.1999999999999993</v>
      </c>
      <c r="F610" s="18">
        <f t="shared" si="97"/>
        <v>3</v>
      </c>
      <c r="G610" s="19">
        <f t="shared" si="92"/>
        <v>27.599999999999998</v>
      </c>
      <c r="H610" s="69">
        <v>0</v>
      </c>
      <c r="I610" s="18">
        <v>1</v>
      </c>
      <c r="J610" s="71">
        <f t="shared" si="93"/>
        <v>27.599999999999998</v>
      </c>
      <c r="K610" s="73" t="str">
        <f t="shared" si="94"/>
        <v xml:space="preserve"> </v>
      </c>
      <c r="L610" s="398"/>
      <c r="M610" s="403" t="str">
        <f t="shared" si="98"/>
        <v/>
      </c>
      <c r="N610" s="398"/>
      <c r="O610" s="403" t="str">
        <f t="shared" si="99"/>
        <v/>
      </c>
    </row>
    <row r="611" spans="2:15">
      <c r="B611" s="14"/>
      <c r="C611" s="17" t="s">
        <v>418</v>
      </c>
      <c r="D611" s="70" t="s">
        <v>348</v>
      </c>
      <c r="E611" s="18">
        <f>77.15+177.42</f>
        <v>254.57</v>
      </c>
      <c r="F611" s="18">
        <f t="shared" si="97"/>
        <v>3</v>
      </c>
      <c r="G611" s="19">
        <f t="shared" si="92"/>
        <v>763.71</v>
      </c>
      <c r="H611" s="69">
        <v>0</v>
      </c>
      <c r="I611" s="18">
        <v>1</v>
      </c>
      <c r="J611" s="71" t="str">
        <f t="shared" si="93"/>
        <v xml:space="preserve"> </v>
      </c>
      <c r="K611" s="73">
        <f t="shared" si="94"/>
        <v>763.71</v>
      </c>
      <c r="L611" s="398"/>
      <c r="M611" s="403" t="str">
        <f t="shared" si="98"/>
        <v/>
      </c>
      <c r="N611" s="398"/>
      <c r="O611" s="403" t="str">
        <f t="shared" si="99"/>
        <v/>
      </c>
    </row>
    <row r="612" spans="2:15">
      <c r="B612" s="14"/>
      <c r="C612" s="135" t="s">
        <v>295</v>
      </c>
      <c r="D612" s="70" t="s">
        <v>348</v>
      </c>
      <c r="E612" s="18">
        <f>77.75+68.75</f>
        <v>146.5</v>
      </c>
      <c r="F612" s="18">
        <f t="shared" si="97"/>
        <v>3</v>
      </c>
      <c r="G612" s="19">
        <f t="shared" si="92"/>
        <v>439.5</v>
      </c>
      <c r="H612" s="69">
        <v>0</v>
      </c>
      <c r="I612" s="18">
        <v>1</v>
      </c>
      <c r="J612" s="71" t="str">
        <f t="shared" si="93"/>
        <v xml:space="preserve"> </v>
      </c>
      <c r="K612" s="73">
        <f t="shared" si="94"/>
        <v>439.5</v>
      </c>
      <c r="L612" s="398" t="s">
        <v>952</v>
      </c>
      <c r="M612" s="403">
        <f t="shared" si="98"/>
        <v>439.5</v>
      </c>
      <c r="N612" s="398"/>
      <c r="O612" s="403" t="str">
        <f t="shared" si="99"/>
        <v/>
      </c>
    </row>
    <row r="613" spans="2:15">
      <c r="B613" s="14"/>
      <c r="C613" s="135" t="s">
        <v>533</v>
      </c>
      <c r="D613" s="70" t="s">
        <v>348</v>
      </c>
      <c r="E613" s="18">
        <v>28.06</v>
      </c>
      <c r="F613" s="18">
        <f t="shared" si="97"/>
        <v>3</v>
      </c>
      <c r="G613" s="19">
        <f t="shared" si="92"/>
        <v>84.179999999999993</v>
      </c>
      <c r="H613" s="69">
        <v>0</v>
      </c>
      <c r="I613" s="18">
        <v>1</v>
      </c>
      <c r="J613" s="71" t="str">
        <f t="shared" si="93"/>
        <v xml:space="preserve"> </v>
      </c>
      <c r="K613" s="73">
        <f t="shared" si="94"/>
        <v>84.179999999999993</v>
      </c>
      <c r="L613" s="398"/>
      <c r="M613" s="403" t="str">
        <f t="shared" si="98"/>
        <v/>
      </c>
      <c r="N613" s="398"/>
      <c r="O613" s="403" t="str">
        <f t="shared" si="99"/>
        <v/>
      </c>
    </row>
    <row r="614" spans="2:15">
      <c r="B614" s="14"/>
      <c r="C614" s="135" t="s">
        <v>296</v>
      </c>
      <c r="D614" s="70" t="s">
        <v>348</v>
      </c>
      <c r="E614" s="18">
        <v>64.38</v>
      </c>
      <c r="F614" s="18">
        <f t="shared" si="97"/>
        <v>3</v>
      </c>
      <c r="G614" s="19">
        <f t="shared" si="92"/>
        <v>193.14</v>
      </c>
      <c r="H614" s="69">
        <v>0</v>
      </c>
      <c r="I614" s="18">
        <v>1</v>
      </c>
      <c r="J614" s="71" t="str">
        <f t="shared" si="93"/>
        <v xml:space="preserve"> </v>
      </c>
      <c r="K614" s="73">
        <f t="shared" si="94"/>
        <v>193.14</v>
      </c>
      <c r="L614" s="398"/>
      <c r="M614" s="403" t="str">
        <f t="shared" si="98"/>
        <v/>
      </c>
      <c r="N614" s="398"/>
      <c r="O614" s="403" t="str">
        <f t="shared" si="99"/>
        <v/>
      </c>
    </row>
    <row r="615" spans="2:15">
      <c r="B615" s="14"/>
      <c r="C615" s="135" t="s">
        <v>408</v>
      </c>
      <c r="D615" s="70" t="s">
        <v>348</v>
      </c>
      <c r="E615" s="18">
        <v>36.619999999999997</v>
      </c>
      <c r="F615" s="18">
        <f t="shared" si="97"/>
        <v>3</v>
      </c>
      <c r="G615" s="19">
        <f t="shared" si="92"/>
        <v>109.85999999999999</v>
      </c>
      <c r="H615" s="69">
        <v>0</v>
      </c>
      <c r="I615" s="18">
        <v>1</v>
      </c>
      <c r="J615" s="71" t="str">
        <f t="shared" si="93"/>
        <v xml:space="preserve"> </v>
      </c>
      <c r="K615" s="73">
        <f t="shared" si="94"/>
        <v>109.85999999999999</v>
      </c>
      <c r="L615" s="398"/>
      <c r="M615" s="403" t="str">
        <f t="shared" si="98"/>
        <v/>
      </c>
      <c r="N615" s="398"/>
      <c r="O615" s="403" t="str">
        <f t="shared" si="99"/>
        <v/>
      </c>
    </row>
    <row r="616" spans="2:15">
      <c r="B616" s="14"/>
      <c r="C616" s="135" t="s">
        <v>357</v>
      </c>
      <c r="D616" s="70" t="s">
        <v>347</v>
      </c>
      <c r="E616" s="18">
        <v>7.1</v>
      </c>
      <c r="F616" s="18">
        <f t="shared" si="97"/>
        <v>3</v>
      </c>
      <c r="G616" s="19">
        <f t="shared" si="92"/>
        <v>21.299999999999997</v>
      </c>
      <c r="H616" s="69">
        <v>0</v>
      </c>
      <c r="I616" s="18">
        <v>1</v>
      </c>
      <c r="J616" s="71">
        <f t="shared" si="93"/>
        <v>21.299999999999997</v>
      </c>
      <c r="K616" s="73" t="str">
        <f t="shared" si="94"/>
        <v xml:space="preserve"> </v>
      </c>
      <c r="L616" s="398"/>
      <c r="M616" s="403" t="str">
        <f t="shared" si="98"/>
        <v/>
      </c>
      <c r="N616" s="398"/>
      <c r="O616" s="403" t="str">
        <f t="shared" si="99"/>
        <v/>
      </c>
    </row>
    <row r="617" spans="2:15">
      <c r="B617" s="14"/>
      <c r="C617" s="135" t="s">
        <v>356</v>
      </c>
      <c r="D617" s="70" t="s">
        <v>347</v>
      </c>
      <c r="E617" s="18">
        <v>7.1</v>
      </c>
      <c r="F617" s="18">
        <f t="shared" si="97"/>
        <v>3</v>
      </c>
      <c r="G617" s="19">
        <f t="shared" si="92"/>
        <v>21.299999999999997</v>
      </c>
      <c r="H617" s="69">
        <v>0</v>
      </c>
      <c r="I617" s="18">
        <v>1</v>
      </c>
      <c r="J617" s="71">
        <f t="shared" si="93"/>
        <v>21.299999999999997</v>
      </c>
      <c r="K617" s="73" t="str">
        <f t="shared" si="94"/>
        <v xml:space="preserve"> </v>
      </c>
      <c r="L617" s="398"/>
      <c r="M617" s="403" t="str">
        <f t="shared" si="98"/>
        <v/>
      </c>
      <c r="N617" s="398"/>
      <c r="O617" s="403" t="str">
        <f t="shared" si="99"/>
        <v/>
      </c>
    </row>
    <row r="618" spans="2:15">
      <c r="B618" s="14"/>
      <c r="C618" s="135" t="s">
        <v>297</v>
      </c>
      <c r="D618" s="136" t="s">
        <v>348</v>
      </c>
      <c r="E618" s="137">
        <v>14.3</v>
      </c>
      <c r="F618" s="18">
        <f t="shared" si="97"/>
        <v>3</v>
      </c>
      <c r="G618" s="19">
        <f t="shared" si="92"/>
        <v>42.900000000000006</v>
      </c>
      <c r="H618" s="69">
        <v>0</v>
      </c>
      <c r="I618" s="137">
        <v>1</v>
      </c>
      <c r="J618" s="71" t="str">
        <f t="shared" si="93"/>
        <v xml:space="preserve"> </v>
      </c>
      <c r="K618" s="73">
        <f t="shared" si="94"/>
        <v>42.900000000000006</v>
      </c>
      <c r="L618" s="398" t="s">
        <v>952</v>
      </c>
      <c r="M618" s="403">
        <f t="shared" si="98"/>
        <v>42.900000000000006</v>
      </c>
      <c r="N618" s="398"/>
      <c r="O618" s="403" t="str">
        <f t="shared" si="99"/>
        <v/>
      </c>
    </row>
    <row r="619" spans="2:15">
      <c r="B619" s="14"/>
      <c r="C619" s="135" t="s">
        <v>494</v>
      </c>
      <c r="D619" s="70" t="s">
        <v>348</v>
      </c>
      <c r="E619" s="137">
        <v>9.76</v>
      </c>
      <c r="F619" s="18">
        <f t="shared" si="97"/>
        <v>3</v>
      </c>
      <c r="G619" s="19">
        <f t="shared" si="92"/>
        <v>29.28</v>
      </c>
      <c r="H619" s="69">
        <v>0</v>
      </c>
      <c r="I619" s="137">
        <v>0</v>
      </c>
      <c r="J619" s="71" t="str">
        <f t="shared" si="93"/>
        <v xml:space="preserve"> </v>
      </c>
      <c r="K619" s="73">
        <f t="shared" si="94"/>
        <v>0</v>
      </c>
      <c r="L619" s="398"/>
      <c r="M619" s="403" t="str">
        <f t="shared" si="98"/>
        <v/>
      </c>
      <c r="N619" s="398"/>
      <c r="O619" s="403" t="str">
        <f t="shared" si="99"/>
        <v/>
      </c>
    </row>
    <row r="620" spans="2:15">
      <c r="B620" s="14"/>
      <c r="C620" s="135" t="s">
        <v>307</v>
      </c>
      <c r="D620" s="70" t="s">
        <v>348</v>
      </c>
      <c r="E620" s="18">
        <v>11.8</v>
      </c>
      <c r="F620" s="18">
        <f t="shared" si="97"/>
        <v>3</v>
      </c>
      <c r="G620" s="19">
        <f t="shared" si="92"/>
        <v>35.400000000000006</v>
      </c>
      <c r="H620" s="69">
        <v>0</v>
      </c>
      <c r="I620" s="18">
        <v>2</v>
      </c>
      <c r="J620" s="71" t="str">
        <f t="shared" si="93"/>
        <v xml:space="preserve"> </v>
      </c>
      <c r="K620" s="73">
        <f t="shared" si="94"/>
        <v>70.800000000000011</v>
      </c>
      <c r="L620" s="398" t="s">
        <v>952</v>
      </c>
      <c r="M620" s="403">
        <f t="shared" si="98"/>
        <v>35.400000000000006</v>
      </c>
      <c r="N620" s="398"/>
      <c r="O620" s="403" t="str">
        <f t="shared" si="99"/>
        <v/>
      </c>
    </row>
    <row r="621" spans="2:15">
      <c r="B621" s="14"/>
      <c r="C621" s="135" t="s">
        <v>457</v>
      </c>
      <c r="D621" s="70" t="s">
        <v>348</v>
      </c>
      <c r="E621" s="18">
        <v>20.240000000000002</v>
      </c>
      <c r="F621" s="18">
        <f t="shared" si="97"/>
        <v>3</v>
      </c>
      <c r="G621" s="19">
        <f t="shared" si="92"/>
        <v>60.720000000000006</v>
      </c>
      <c r="H621" s="69">
        <v>0</v>
      </c>
      <c r="I621" s="18">
        <v>1</v>
      </c>
      <c r="J621" s="71" t="str">
        <f t="shared" si="93"/>
        <v xml:space="preserve"> </v>
      </c>
      <c r="K621" s="73">
        <f t="shared" si="94"/>
        <v>60.720000000000006</v>
      </c>
      <c r="L621" s="398" t="s">
        <v>952</v>
      </c>
      <c r="M621" s="403">
        <f t="shared" si="98"/>
        <v>60.720000000000006</v>
      </c>
      <c r="N621" s="398"/>
      <c r="O621" s="403" t="str">
        <f t="shared" si="99"/>
        <v/>
      </c>
    </row>
    <row r="622" spans="2:15">
      <c r="B622" s="14"/>
      <c r="C622" s="135" t="s">
        <v>458</v>
      </c>
      <c r="D622" s="70" t="s">
        <v>348</v>
      </c>
      <c r="E622" s="18">
        <v>20.240000000000002</v>
      </c>
      <c r="F622" s="18">
        <f t="shared" si="97"/>
        <v>3</v>
      </c>
      <c r="G622" s="19">
        <f t="shared" si="92"/>
        <v>60.720000000000006</v>
      </c>
      <c r="H622" s="69">
        <v>0</v>
      </c>
      <c r="I622" s="18">
        <v>1</v>
      </c>
      <c r="J622" s="71" t="str">
        <f t="shared" si="93"/>
        <v xml:space="preserve"> </v>
      </c>
      <c r="K622" s="73">
        <f t="shared" si="94"/>
        <v>60.720000000000006</v>
      </c>
      <c r="L622" s="398" t="s">
        <v>952</v>
      </c>
      <c r="M622" s="403">
        <f t="shared" si="98"/>
        <v>60.720000000000006</v>
      </c>
      <c r="N622" s="398"/>
      <c r="O622" s="403" t="str">
        <f t="shared" si="99"/>
        <v/>
      </c>
    </row>
    <row r="623" spans="2:15">
      <c r="B623" s="14"/>
      <c r="C623" s="135" t="s">
        <v>459</v>
      </c>
      <c r="D623" s="70" t="s">
        <v>348</v>
      </c>
      <c r="E623" s="18">
        <v>19.100000000000001</v>
      </c>
      <c r="F623" s="18">
        <f t="shared" si="97"/>
        <v>3</v>
      </c>
      <c r="G623" s="19">
        <f t="shared" si="92"/>
        <v>57.300000000000004</v>
      </c>
      <c r="H623" s="69">
        <v>0</v>
      </c>
      <c r="I623" s="18">
        <v>1</v>
      </c>
      <c r="J623" s="71" t="str">
        <f t="shared" si="93"/>
        <v xml:space="preserve"> </v>
      </c>
      <c r="K623" s="73">
        <f t="shared" si="94"/>
        <v>57.300000000000004</v>
      </c>
      <c r="L623" s="398" t="s">
        <v>952</v>
      </c>
      <c r="M623" s="403">
        <f t="shared" si="98"/>
        <v>57.300000000000004</v>
      </c>
      <c r="N623" s="398"/>
      <c r="O623" s="403" t="str">
        <f t="shared" si="99"/>
        <v/>
      </c>
    </row>
    <row r="624" spans="2:15">
      <c r="B624" s="14"/>
      <c r="C624" s="135" t="s">
        <v>437</v>
      </c>
      <c r="D624" s="70" t="s">
        <v>348</v>
      </c>
      <c r="E624" s="18">
        <v>15</v>
      </c>
      <c r="F624" s="18">
        <v>4.5</v>
      </c>
      <c r="G624" s="19">
        <f t="shared" si="92"/>
        <v>67.5</v>
      </c>
      <c r="H624" s="69">
        <v>0</v>
      </c>
      <c r="I624" s="18">
        <v>1</v>
      </c>
      <c r="J624" s="71" t="str">
        <f t="shared" si="93"/>
        <v xml:space="preserve"> </v>
      </c>
      <c r="K624" s="73">
        <f t="shared" si="94"/>
        <v>67.5</v>
      </c>
      <c r="L624" s="398" t="s">
        <v>952</v>
      </c>
      <c r="M624" s="403">
        <f t="shared" si="98"/>
        <v>67.5</v>
      </c>
      <c r="N624" s="398"/>
      <c r="O624" s="403" t="str">
        <f t="shared" si="99"/>
        <v/>
      </c>
    </row>
    <row r="625" spans="2:15">
      <c r="B625" s="14"/>
      <c r="C625" s="135" t="s">
        <v>437</v>
      </c>
      <c r="D625" s="70" t="s">
        <v>348</v>
      </c>
      <c r="E625" s="18">
        <v>15</v>
      </c>
      <c r="F625" s="18">
        <v>1</v>
      </c>
      <c r="G625" s="19">
        <f t="shared" ref="G625:G636" si="100">PRODUCT(E625,F625)</f>
        <v>15</v>
      </c>
      <c r="H625" s="69">
        <v>0</v>
      </c>
      <c r="I625" s="18">
        <v>1</v>
      </c>
      <c r="J625" s="71" t="str">
        <f t="shared" ref="J625:J636" si="101">IF(D625="Emboço",G625*I625," ")</f>
        <v xml:space="preserve"> </v>
      </c>
      <c r="K625" s="73">
        <f t="shared" ref="K625:K636" si="102">IF(D625="Reboco",G625*I625," ")</f>
        <v>15</v>
      </c>
      <c r="L625" s="398" t="s">
        <v>952</v>
      </c>
      <c r="M625" s="403">
        <f t="shared" ref="M625:M637" si="103">IF(L625="x",G625,"")</f>
        <v>15</v>
      </c>
      <c r="N625" s="398"/>
      <c r="O625" s="403" t="str">
        <f t="shared" ref="O625:O637" si="104">IF(N625="x",G625,"")</f>
        <v/>
      </c>
    </row>
    <row r="626" spans="2:15">
      <c r="B626" s="14"/>
      <c r="C626" s="135" t="s">
        <v>1184</v>
      </c>
      <c r="D626" s="70" t="s">
        <v>348</v>
      </c>
      <c r="E626" s="18">
        <v>7.44</v>
      </c>
      <c r="F626" s="18">
        <v>4.5</v>
      </c>
      <c r="G626" s="19">
        <f t="shared" si="100"/>
        <v>33.480000000000004</v>
      </c>
      <c r="H626" s="69">
        <v>0</v>
      </c>
      <c r="I626" s="18">
        <v>2</v>
      </c>
      <c r="J626" s="71" t="str">
        <f t="shared" si="101"/>
        <v xml:space="preserve"> </v>
      </c>
      <c r="K626" s="73">
        <f t="shared" si="102"/>
        <v>66.960000000000008</v>
      </c>
      <c r="L626" s="398" t="s">
        <v>952</v>
      </c>
      <c r="M626" s="403">
        <f t="shared" si="103"/>
        <v>33.480000000000004</v>
      </c>
      <c r="N626" s="398"/>
      <c r="O626" s="403" t="str">
        <f t="shared" si="104"/>
        <v/>
      </c>
    </row>
    <row r="627" spans="2:15">
      <c r="B627" s="14"/>
      <c r="C627" s="135" t="s">
        <v>1185</v>
      </c>
      <c r="D627" s="70" t="s">
        <v>348</v>
      </c>
      <c r="E627" s="18">
        <v>7.44</v>
      </c>
      <c r="F627" s="18">
        <v>4.5</v>
      </c>
      <c r="G627" s="19">
        <f t="shared" si="100"/>
        <v>33.480000000000004</v>
      </c>
      <c r="H627" s="69">
        <v>0</v>
      </c>
      <c r="I627" s="18">
        <v>2</v>
      </c>
      <c r="J627" s="71" t="str">
        <f t="shared" si="101"/>
        <v xml:space="preserve"> </v>
      </c>
      <c r="K627" s="73">
        <f t="shared" si="102"/>
        <v>66.960000000000008</v>
      </c>
      <c r="L627" s="398" t="s">
        <v>952</v>
      </c>
      <c r="M627" s="403">
        <f t="shared" si="103"/>
        <v>33.480000000000004</v>
      </c>
      <c r="N627" s="398"/>
      <c r="O627" s="403" t="str">
        <f t="shared" si="104"/>
        <v/>
      </c>
    </row>
    <row r="628" spans="2:15">
      <c r="B628" s="14"/>
      <c r="C628" s="135" t="s">
        <v>1183</v>
      </c>
      <c r="D628" s="70" t="s">
        <v>348</v>
      </c>
      <c r="E628" s="18">
        <v>36.85</v>
      </c>
      <c r="F628" s="18">
        <v>4.5</v>
      </c>
      <c r="G628" s="19">
        <f t="shared" si="100"/>
        <v>165.82500000000002</v>
      </c>
      <c r="H628" s="69">
        <v>0</v>
      </c>
      <c r="I628" s="18">
        <v>1</v>
      </c>
      <c r="J628" s="71" t="str">
        <f t="shared" si="101"/>
        <v xml:space="preserve"> </v>
      </c>
      <c r="K628" s="73">
        <f t="shared" si="102"/>
        <v>165.82500000000002</v>
      </c>
      <c r="L628" s="398" t="s">
        <v>952</v>
      </c>
      <c r="M628" s="403">
        <f t="shared" si="103"/>
        <v>165.82500000000002</v>
      </c>
      <c r="N628" s="398"/>
      <c r="O628" s="403" t="str">
        <f t="shared" si="104"/>
        <v/>
      </c>
    </row>
    <row r="629" spans="2:15">
      <c r="B629" s="14"/>
      <c r="C629" s="135" t="s">
        <v>1204</v>
      </c>
      <c r="D629" s="70" t="s">
        <v>347</v>
      </c>
      <c r="E629" s="18">
        <v>27.35</v>
      </c>
      <c r="F629" s="18">
        <v>4.5</v>
      </c>
      <c r="G629" s="19">
        <f t="shared" si="100"/>
        <v>123.075</v>
      </c>
      <c r="H629" s="69">
        <v>0</v>
      </c>
      <c r="I629" s="18">
        <v>1</v>
      </c>
      <c r="J629" s="71">
        <f t="shared" si="101"/>
        <v>123.075</v>
      </c>
      <c r="K629" s="73" t="str">
        <f t="shared" si="102"/>
        <v xml:space="preserve"> </v>
      </c>
      <c r="L629" s="398"/>
      <c r="M629" s="403" t="str">
        <f t="shared" si="103"/>
        <v/>
      </c>
      <c r="N629" s="398"/>
      <c r="O629" s="403" t="str">
        <f t="shared" si="104"/>
        <v/>
      </c>
    </row>
    <row r="630" spans="2:15">
      <c r="B630" s="14"/>
      <c r="C630" s="135" t="s">
        <v>1204</v>
      </c>
      <c r="D630" s="70" t="s">
        <v>347</v>
      </c>
      <c r="E630" s="18">
        <v>19.7</v>
      </c>
      <c r="F630" s="18">
        <v>1</v>
      </c>
      <c r="G630" s="19">
        <f t="shared" si="100"/>
        <v>19.7</v>
      </c>
      <c r="H630" s="69">
        <v>0</v>
      </c>
      <c r="I630" s="18">
        <v>1</v>
      </c>
      <c r="J630" s="71">
        <f t="shared" si="101"/>
        <v>19.7</v>
      </c>
      <c r="K630" s="73" t="str">
        <f t="shared" si="102"/>
        <v xml:space="preserve"> </v>
      </c>
      <c r="L630" s="398"/>
      <c r="M630" s="403" t="str">
        <f t="shared" si="103"/>
        <v/>
      </c>
      <c r="N630" s="398"/>
      <c r="O630" s="403" t="str">
        <f t="shared" si="104"/>
        <v/>
      </c>
    </row>
    <row r="631" spans="2:15">
      <c r="B631" s="14"/>
      <c r="C631" s="135" t="s">
        <v>1205</v>
      </c>
      <c r="D631" s="70" t="s">
        <v>347</v>
      </c>
      <c r="E631" s="18">
        <f>23.8+10.35</f>
        <v>34.15</v>
      </c>
      <c r="F631" s="18">
        <v>4.5</v>
      </c>
      <c r="G631" s="19">
        <f t="shared" si="100"/>
        <v>153.67499999999998</v>
      </c>
      <c r="H631" s="69">
        <v>0</v>
      </c>
      <c r="I631" s="18">
        <v>1</v>
      </c>
      <c r="J631" s="71">
        <f t="shared" si="101"/>
        <v>153.67499999999998</v>
      </c>
      <c r="K631" s="73" t="str">
        <f t="shared" si="102"/>
        <v xml:space="preserve"> </v>
      </c>
      <c r="L631" s="398"/>
      <c r="M631" s="403" t="str">
        <f t="shared" si="103"/>
        <v/>
      </c>
      <c r="N631" s="398"/>
      <c r="O631" s="403" t="str">
        <f t="shared" si="104"/>
        <v/>
      </c>
    </row>
    <row r="632" spans="2:15">
      <c r="B632" s="14"/>
      <c r="C632" s="135" t="s">
        <v>1205</v>
      </c>
      <c r="D632" s="70" t="s">
        <v>347</v>
      </c>
      <c r="E632" s="18">
        <f>9.9+10.8</f>
        <v>20.700000000000003</v>
      </c>
      <c r="F632" s="18">
        <f>1.95+1</f>
        <v>2.95</v>
      </c>
      <c r="G632" s="19">
        <f t="shared" si="100"/>
        <v>61.065000000000012</v>
      </c>
      <c r="H632" s="69">
        <v>0</v>
      </c>
      <c r="I632" s="18">
        <v>1</v>
      </c>
      <c r="J632" s="71">
        <f t="shared" si="101"/>
        <v>61.065000000000012</v>
      </c>
      <c r="K632" s="73" t="str">
        <f t="shared" si="102"/>
        <v xml:space="preserve"> </v>
      </c>
      <c r="L632" s="398"/>
      <c r="M632" s="403" t="str">
        <f t="shared" si="103"/>
        <v/>
      </c>
      <c r="N632" s="398"/>
      <c r="O632" s="403" t="str">
        <f t="shared" si="104"/>
        <v/>
      </c>
    </row>
    <row r="633" spans="2:15">
      <c r="B633" s="14"/>
      <c r="C633" s="135" t="s">
        <v>1205</v>
      </c>
      <c r="D633" s="70" t="s">
        <v>347</v>
      </c>
      <c r="E633" s="18">
        <v>15.3</v>
      </c>
      <c r="F633" s="18">
        <v>1</v>
      </c>
      <c r="G633" s="19">
        <f t="shared" si="100"/>
        <v>15.3</v>
      </c>
      <c r="H633" s="69">
        <v>0</v>
      </c>
      <c r="I633" s="18">
        <v>1</v>
      </c>
      <c r="J633" s="71">
        <f t="shared" si="101"/>
        <v>15.3</v>
      </c>
      <c r="K633" s="73" t="str">
        <f t="shared" si="102"/>
        <v xml:space="preserve"> </v>
      </c>
      <c r="L633" s="398"/>
      <c r="M633" s="403" t="str">
        <f t="shared" si="103"/>
        <v/>
      </c>
      <c r="N633" s="398"/>
      <c r="O633" s="403" t="str">
        <f t="shared" si="104"/>
        <v/>
      </c>
    </row>
    <row r="634" spans="2:15">
      <c r="B634" s="14"/>
      <c r="C634" s="135" t="s">
        <v>1206</v>
      </c>
      <c r="D634" s="70" t="s">
        <v>347</v>
      </c>
      <c r="E634" s="18">
        <v>38.75</v>
      </c>
      <c r="F634" s="18">
        <f>1.95+1</f>
        <v>2.95</v>
      </c>
      <c r="G634" s="19">
        <f t="shared" si="100"/>
        <v>114.3125</v>
      </c>
      <c r="H634" s="69">
        <v>0</v>
      </c>
      <c r="I634" s="18">
        <v>1</v>
      </c>
      <c r="J634" s="71">
        <f t="shared" si="101"/>
        <v>114.3125</v>
      </c>
      <c r="K634" s="73" t="str">
        <f t="shared" si="102"/>
        <v xml:space="preserve"> </v>
      </c>
      <c r="L634" s="398"/>
      <c r="M634" s="403" t="str">
        <f t="shared" si="103"/>
        <v/>
      </c>
      <c r="N634" s="398"/>
      <c r="O634" s="403" t="str">
        <f t="shared" si="104"/>
        <v/>
      </c>
    </row>
    <row r="635" spans="2:15">
      <c r="B635" s="14"/>
      <c r="C635" s="135" t="s">
        <v>1207</v>
      </c>
      <c r="D635" s="70" t="s">
        <v>347</v>
      </c>
      <c r="E635" s="18">
        <v>14.15</v>
      </c>
      <c r="F635" s="18">
        <v>4.5</v>
      </c>
      <c r="G635" s="19">
        <f t="shared" si="100"/>
        <v>63.675000000000004</v>
      </c>
      <c r="H635" s="69">
        <v>0</v>
      </c>
      <c r="I635" s="18">
        <v>1</v>
      </c>
      <c r="J635" s="71">
        <f t="shared" si="101"/>
        <v>63.675000000000004</v>
      </c>
      <c r="K635" s="73" t="str">
        <f t="shared" si="102"/>
        <v xml:space="preserve"> </v>
      </c>
      <c r="L635" s="398"/>
      <c r="M635" s="403" t="str">
        <f t="shared" si="103"/>
        <v/>
      </c>
      <c r="N635" s="398"/>
      <c r="O635" s="403" t="str">
        <f t="shared" si="104"/>
        <v/>
      </c>
    </row>
    <row r="636" spans="2:15">
      <c r="B636" s="14"/>
      <c r="C636" s="135" t="s">
        <v>1207</v>
      </c>
      <c r="D636" s="70" t="s">
        <v>347</v>
      </c>
      <c r="E636" s="18">
        <v>34.799999999999997</v>
      </c>
      <c r="F636" s="18">
        <f>1.95+1</f>
        <v>2.95</v>
      </c>
      <c r="G636" s="19">
        <f t="shared" si="100"/>
        <v>102.66</v>
      </c>
      <c r="H636" s="69">
        <v>0</v>
      </c>
      <c r="I636" s="18">
        <v>1</v>
      </c>
      <c r="J636" s="71">
        <f t="shared" si="101"/>
        <v>102.66</v>
      </c>
      <c r="K636" s="73" t="str">
        <f t="shared" si="102"/>
        <v xml:space="preserve"> </v>
      </c>
      <c r="L636" s="398"/>
      <c r="M636" s="403" t="str">
        <f t="shared" si="103"/>
        <v/>
      </c>
      <c r="N636" s="398"/>
      <c r="O636" s="403" t="str">
        <f t="shared" si="104"/>
        <v/>
      </c>
    </row>
    <row r="637" spans="2:15">
      <c r="L637" s="398"/>
      <c r="M637" s="403" t="str">
        <f t="shared" si="103"/>
        <v/>
      </c>
      <c r="N637" s="398"/>
      <c r="O637" s="403" t="str">
        <f t="shared" si="104"/>
        <v/>
      </c>
    </row>
    <row r="638" spans="2:15">
      <c r="B638" s="77" t="s">
        <v>160</v>
      </c>
      <c r="C638" s="1002" t="s">
        <v>159</v>
      </c>
      <c r="D638" s="1002"/>
      <c r="E638" s="1002"/>
      <c r="F638" s="1002"/>
      <c r="G638" s="1002"/>
      <c r="H638" s="1002"/>
      <c r="I638" s="1003"/>
      <c r="J638" s="76">
        <f>$J$560</f>
        <v>1468.2865000000002</v>
      </c>
      <c r="K638" s="400">
        <f>$K$560</f>
        <v>3933.1259999999997</v>
      </c>
      <c r="L638" s="398"/>
      <c r="M638" s="400">
        <f>M560</f>
        <v>1011.825</v>
      </c>
      <c r="N638" s="398"/>
      <c r="O638" s="400">
        <f>O560</f>
        <v>0</v>
      </c>
    </row>
    <row r="639" spans="2:15">
      <c r="L639" s="398"/>
      <c r="M639" s="403" t="str">
        <f>IF(L639="x",G639,"")</f>
        <v/>
      </c>
      <c r="N639" s="398"/>
      <c r="O639" s="403" t="str">
        <f>IF(N639="x",G639,"")</f>
        <v/>
      </c>
    </row>
    <row r="640" spans="2:15">
      <c r="B640" s="14" t="s">
        <v>162</v>
      </c>
      <c r="C640" s="1002" t="s">
        <v>161</v>
      </c>
      <c r="D640" s="1002"/>
      <c r="E640" s="1002"/>
      <c r="F640" s="1002"/>
      <c r="G640" s="1002"/>
      <c r="H640" s="1002"/>
      <c r="I640" s="1003"/>
      <c r="J640" s="76">
        <f>J638</f>
        <v>1468.2865000000002</v>
      </c>
      <c r="K640" s="400">
        <f>K638</f>
        <v>3933.1259999999997</v>
      </c>
      <c r="L640" s="398"/>
      <c r="M640" s="579">
        <f>M638</f>
        <v>1011.825</v>
      </c>
      <c r="N640" s="580"/>
      <c r="O640" s="579">
        <f>O638</f>
        <v>0</v>
      </c>
    </row>
    <row r="641" spans="2:15">
      <c r="L641" s="398"/>
      <c r="M641" s="403" t="str">
        <f>IF(L641="x",G641,"")</f>
        <v/>
      </c>
      <c r="N641" s="398"/>
      <c r="O641" s="403" t="str">
        <f>IF(N641="x",G641,"")</f>
        <v/>
      </c>
    </row>
    <row r="642" spans="2:15">
      <c r="B642" s="14" t="s">
        <v>164</v>
      </c>
      <c r="C642" s="1004" t="s">
        <v>163</v>
      </c>
      <c r="D642" s="1004"/>
      <c r="E642" s="1004"/>
      <c r="F642" s="1004"/>
      <c r="G642" s="1004"/>
      <c r="H642" s="1004"/>
      <c r="I642" s="1004"/>
      <c r="J642" s="76">
        <f>SUM(J643:J694)</f>
        <v>988.38249999999994</v>
      </c>
      <c r="K642" s="76">
        <f>SUM(K643:K694)</f>
        <v>3630.8069999999998</v>
      </c>
      <c r="L642" s="398"/>
      <c r="M642" s="76">
        <f>SUM(M643:M694)</f>
        <v>1011.825</v>
      </c>
      <c r="N642" s="398"/>
      <c r="O642" s="76">
        <f>SUM(O643:O694)</f>
        <v>0</v>
      </c>
    </row>
    <row r="643" spans="2:15">
      <c r="B643" s="14"/>
      <c r="C643" s="17" t="s">
        <v>557</v>
      </c>
      <c r="D643" s="70" t="s">
        <v>348</v>
      </c>
      <c r="E643" s="18">
        <v>12.772</v>
      </c>
      <c r="F643" s="18">
        <f>$I$24</f>
        <v>3</v>
      </c>
      <c r="G643" s="19">
        <f t="shared" ref="G643:G694" si="105">PRODUCT(E643,F643)</f>
        <v>38.316000000000003</v>
      </c>
      <c r="H643" s="69">
        <v>0</v>
      </c>
      <c r="I643" s="18">
        <v>1</v>
      </c>
      <c r="J643" s="71" t="str">
        <f t="shared" ref="J643:J694" si="106">IF(D643="Emboço",G643*I643," ")</f>
        <v xml:space="preserve"> </v>
      </c>
      <c r="K643" s="73">
        <f t="shared" ref="K643:K694" si="107">IF(D643="Reboco",G643*I643," ")</f>
        <v>38.316000000000003</v>
      </c>
      <c r="L643" s="398"/>
      <c r="M643" s="403" t="str">
        <f t="shared" ref="M643:M674" si="108">IF(L643="x",G643,"")</f>
        <v/>
      </c>
      <c r="N643" s="398"/>
      <c r="O643" s="403" t="str">
        <f t="shared" ref="O643:O674" si="109">IF(N643="x",G643,"")</f>
        <v/>
      </c>
    </row>
    <row r="644" spans="2:15">
      <c r="B644" s="14"/>
      <c r="C644" s="17" t="s">
        <v>558</v>
      </c>
      <c r="D644" s="70" t="s">
        <v>348</v>
      </c>
      <c r="E644" s="18">
        <v>12.77</v>
      </c>
      <c r="F644" s="18">
        <f t="shared" ref="F644:F681" si="110">$F$643</f>
        <v>3</v>
      </c>
      <c r="G644" s="19">
        <f t="shared" si="105"/>
        <v>38.31</v>
      </c>
      <c r="H644" s="69">
        <v>0</v>
      </c>
      <c r="I644" s="18">
        <v>1</v>
      </c>
      <c r="J644" s="71" t="str">
        <f t="shared" si="106"/>
        <v xml:space="preserve"> </v>
      </c>
      <c r="K644" s="73">
        <f t="shared" si="107"/>
        <v>38.31</v>
      </c>
      <c r="L644" s="398"/>
      <c r="M644" s="403" t="str">
        <f t="shared" si="108"/>
        <v/>
      </c>
      <c r="N644" s="398"/>
      <c r="O644" s="403" t="str">
        <f t="shared" si="109"/>
        <v/>
      </c>
    </row>
    <row r="645" spans="2:15">
      <c r="B645" s="14"/>
      <c r="C645" s="17" t="s">
        <v>559</v>
      </c>
      <c r="D645" s="70" t="s">
        <v>348</v>
      </c>
      <c r="E645" s="18">
        <v>73.19</v>
      </c>
      <c r="F645" s="18">
        <f t="shared" si="110"/>
        <v>3</v>
      </c>
      <c r="G645" s="19">
        <f t="shared" si="105"/>
        <v>219.57</v>
      </c>
      <c r="H645" s="69">
        <v>0</v>
      </c>
      <c r="I645" s="18">
        <v>1</v>
      </c>
      <c r="J645" s="71" t="str">
        <f t="shared" si="106"/>
        <v xml:space="preserve"> </v>
      </c>
      <c r="K645" s="73">
        <f t="shared" si="107"/>
        <v>219.57</v>
      </c>
      <c r="L645" s="398"/>
      <c r="M645" s="403" t="str">
        <f t="shared" si="108"/>
        <v/>
      </c>
      <c r="N645" s="398"/>
      <c r="O645" s="403" t="str">
        <f t="shared" si="109"/>
        <v/>
      </c>
    </row>
    <row r="646" spans="2:15">
      <c r="B646" s="14"/>
      <c r="C646" s="17" t="s">
        <v>560</v>
      </c>
      <c r="D646" s="70" t="s">
        <v>348</v>
      </c>
      <c r="E646" s="18">
        <v>15.926</v>
      </c>
      <c r="F646" s="18">
        <f t="shared" si="110"/>
        <v>3</v>
      </c>
      <c r="G646" s="19">
        <f t="shared" si="105"/>
        <v>47.777999999999999</v>
      </c>
      <c r="H646" s="69">
        <v>0</v>
      </c>
      <c r="I646" s="18">
        <v>1</v>
      </c>
      <c r="J646" s="71" t="str">
        <f t="shared" si="106"/>
        <v xml:space="preserve"> </v>
      </c>
      <c r="K646" s="73">
        <f t="shared" si="107"/>
        <v>47.777999999999999</v>
      </c>
      <c r="L646" s="398"/>
      <c r="M646" s="403" t="str">
        <f t="shared" si="108"/>
        <v/>
      </c>
      <c r="N646" s="398"/>
      <c r="O646" s="403" t="str">
        <f t="shared" si="109"/>
        <v/>
      </c>
    </row>
    <row r="647" spans="2:15">
      <c r="B647" s="14"/>
      <c r="C647" s="17" t="s">
        <v>299</v>
      </c>
      <c r="D647" s="70" t="s">
        <v>348</v>
      </c>
      <c r="E647" s="18">
        <v>12</v>
      </c>
      <c r="F647" s="18">
        <f t="shared" si="110"/>
        <v>3</v>
      </c>
      <c r="G647" s="19">
        <f t="shared" si="105"/>
        <v>36</v>
      </c>
      <c r="H647" s="69">
        <v>0</v>
      </c>
      <c r="I647" s="18">
        <v>1</v>
      </c>
      <c r="J647" s="71" t="str">
        <f t="shared" si="106"/>
        <v xml:space="preserve"> </v>
      </c>
      <c r="K647" s="73">
        <f t="shared" si="107"/>
        <v>36</v>
      </c>
      <c r="L647" s="398"/>
      <c r="M647" s="403" t="str">
        <f t="shared" si="108"/>
        <v/>
      </c>
      <c r="N647" s="398"/>
      <c r="O647" s="403" t="str">
        <f t="shared" si="109"/>
        <v/>
      </c>
    </row>
    <row r="648" spans="2:15">
      <c r="B648" s="14"/>
      <c r="C648" s="17" t="s">
        <v>561</v>
      </c>
      <c r="D648" s="70" t="s">
        <v>348</v>
      </c>
      <c r="E648" s="18">
        <v>20.454000000000001</v>
      </c>
      <c r="F648" s="18">
        <f t="shared" si="110"/>
        <v>3</v>
      </c>
      <c r="G648" s="19">
        <f t="shared" si="105"/>
        <v>61.362000000000002</v>
      </c>
      <c r="H648" s="69">
        <v>0</v>
      </c>
      <c r="I648" s="18">
        <v>1</v>
      </c>
      <c r="J648" s="71" t="str">
        <f t="shared" si="106"/>
        <v xml:space="preserve"> </v>
      </c>
      <c r="K648" s="73">
        <f t="shared" si="107"/>
        <v>61.362000000000002</v>
      </c>
      <c r="L648" s="398"/>
      <c r="M648" s="403" t="str">
        <f t="shared" si="108"/>
        <v/>
      </c>
      <c r="N648" s="398"/>
      <c r="O648" s="403" t="str">
        <f t="shared" si="109"/>
        <v/>
      </c>
    </row>
    <row r="649" spans="2:15">
      <c r="B649" s="14"/>
      <c r="C649" s="17" t="s">
        <v>562</v>
      </c>
      <c r="D649" s="70" t="s">
        <v>348</v>
      </c>
      <c r="E649" s="18">
        <v>33</v>
      </c>
      <c r="F649" s="18">
        <f t="shared" si="110"/>
        <v>3</v>
      </c>
      <c r="G649" s="19">
        <f t="shared" si="105"/>
        <v>99</v>
      </c>
      <c r="H649" s="69">
        <v>0</v>
      </c>
      <c r="I649" s="18">
        <v>1</v>
      </c>
      <c r="J649" s="71" t="str">
        <f t="shared" si="106"/>
        <v xml:space="preserve"> </v>
      </c>
      <c r="K649" s="73">
        <f t="shared" si="107"/>
        <v>99</v>
      </c>
      <c r="L649" s="398"/>
      <c r="M649" s="403" t="str">
        <f t="shared" si="108"/>
        <v/>
      </c>
      <c r="N649" s="398"/>
      <c r="O649" s="403" t="str">
        <f t="shared" si="109"/>
        <v/>
      </c>
    </row>
    <row r="650" spans="2:15">
      <c r="B650" s="14"/>
      <c r="C650" s="17" t="s">
        <v>1208</v>
      </c>
      <c r="D650" s="70" t="s">
        <v>348</v>
      </c>
      <c r="E650" s="18">
        <v>47.5</v>
      </c>
      <c r="F650" s="18">
        <f t="shared" si="110"/>
        <v>3</v>
      </c>
      <c r="G650" s="19">
        <f t="shared" si="105"/>
        <v>142.5</v>
      </c>
      <c r="H650" s="69">
        <v>0</v>
      </c>
      <c r="I650" s="18">
        <v>1</v>
      </c>
      <c r="J650" s="71" t="str">
        <f t="shared" si="106"/>
        <v xml:space="preserve"> </v>
      </c>
      <c r="K650" s="73">
        <f t="shared" si="107"/>
        <v>142.5</v>
      </c>
      <c r="L650" s="398"/>
      <c r="M650" s="403" t="str">
        <f t="shared" si="108"/>
        <v/>
      </c>
      <c r="N650" s="398"/>
      <c r="O650" s="403" t="str">
        <f t="shared" si="109"/>
        <v/>
      </c>
    </row>
    <row r="651" spans="2:15">
      <c r="B651" s="14"/>
      <c r="C651" s="17" t="s">
        <v>565</v>
      </c>
      <c r="D651" s="70" t="s">
        <v>348</v>
      </c>
      <c r="E651" s="18">
        <v>19.940000000000001</v>
      </c>
      <c r="F651" s="18">
        <f t="shared" si="110"/>
        <v>3</v>
      </c>
      <c r="G651" s="19">
        <f t="shared" si="105"/>
        <v>59.820000000000007</v>
      </c>
      <c r="H651" s="69">
        <v>0</v>
      </c>
      <c r="I651" s="18">
        <v>1</v>
      </c>
      <c r="J651" s="71" t="str">
        <f t="shared" si="106"/>
        <v xml:space="preserve"> </v>
      </c>
      <c r="K651" s="73">
        <f t="shared" si="107"/>
        <v>59.820000000000007</v>
      </c>
      <c r="L651" s="398"/>
      <c r="M651" s="403" t="str">
        <f t="shared" si="108"/>
        <v/>
      </c>
      <c r="N651" s="398"/>
      <c r="O651" s="403" t="str">
        <f t="shared" si="109"/>
        <v/>
      </c>
    </row>
    <row r="652" spans="2:15">
      <c r="B652" s="14"/>
      <c r="C652" s="17" t="s">
        <v>566</v>
      </c>
      <c r="D652" s="70" t="s">
        <v>348</v>
      </c>
      <c r="E652" s="18">
        <v>19.940000000000001</v>
      </c>
      <c r="F652" s="18">
        <f t="shared" si="110"/>
        <v>3</v>
      </c>
      <c r="G652" s="19">
        <f t="shared" si="105"/>
        <v>59.820000000000007</v>
      </c>
      <c r="H652" s="69">
        <v>0</v>
      </c>
      <c r="I652" s="18">
        <v>1</v>
      </c>
      <c r="J652" s="71" t="str">
        <f t="shared" si="106"/>
        <v xml:space="preserve"> </v>
      </c>
      <c r="K652" s="73">
        <f t="shared" si="107"/>
        <v>59.820000000000007</v>
      </c>
      <c r="L652" s="398"/>
      <c r="M652" s="403" t="str">
        <f t="shared" si="108"/>
        <v/>
      </c>
      <c r="N652" s="398"/>
      <c r="O652" s="403" t="str">
        <f t="shared" si="109"/>
        <v/>
      </c>
    </row>
    <row r="653" spans="2:15">
      <c r="B653" s="14"/>
      <c r="C653" s="17" t="s">
        <v>567</v>
      </c>
      <c r="D653" s="70" t="s">
        <v>348</v>
      </c>
      <c r="E653" s="18">
        <v>19.940000000000001</v>
      </c>
      <c r="F653" s="18">
        <f t="shared" si="110"/>
        <v>3</v>
      </c>
      <c r="G653" s="19">
        <f t="shared" si="105"/>
        <v>59.820000000000007</v>
      </c>
      <c r="H653" s="69">
        <v>0</v>
      </c>
      <c r="I653" s="18">
        <v>1</v>
      </c>
      <c r="J653" s="71" t="str">
        <f t="shared" si="106"/>
        <v xml:space="preserve"> </v>
      </c>
      <c r="K653" s="73">
        <f t="shared" si="107"/>
        <v>59.820000000000007</v>
      </c>
      <c r="L653" s="398"/>
      <c r="M653" s="403" t="str">
        <f t="shared" si="108"/>
        <v/>
      </c>
      <c r="N653" s="398"/>
      <c r="O653" s="403" t="str">
        <f t="shared" si="109"/>
        <v/>
      </c>
    </row>
    <row r="654" spans="2:15">
      <c r="B654" s="14"/>
      <c r="C654" s="17" t="s">
        <v>568</v>
      </c>
      <c r="D654" s="70" t="s">
        <v>348</v>
      </c>
      <c r="E654" s="18">
        <v>19.940000000000001</v>
      </c>
      <c r="F654" s="18">
        <f t="shared" si="110"/>
        <v>3</v>
      </c>
      <c r="G654" s="19">
        <f t="shared" si="105"/>
        <v>59.820000000000007</v>
      </c>
      <c r="H654" s="69">
        <v>0</v>
      </c>
      <c r="I654" s="18">
        <v>1</v>
      </c>
      <c r="J654" s="71" t="str">
        <f t="shared" si="106"/>
        <v xml:space="preserve"> </v>
      </c>
      <c r="K654" s="73">
        <f t="shared" si="107"/>
        <v>59.820000000000007</v>
      </c>
      <c r="L654" s="398"/>
      <c r="M654" s="403" t="str">
        <f t="shared" si="108"/>
        <v/>
      </c>
      <c r="N654" s="398"/>
      <c r="O654" s="403" t="str">
        <f t="shared" si="109"/>
        <v/>
      </c>
    </row>
    <row r="655" spans="2:15">
      <c r="B655" s="14"/>
      <c r="C655" s="17" t="s">
        <v>569</v>
      </c>
      <c r="D655" s="70" t="s">
        <v>348</v>
      </c>
      <c r="E655" s="18">
        <v>9.1999999999999993</v>
      </c>
      <c r="F655" s="18">
        <f t="shared" si="110"/>
        <v>3</v>
      </c>
      <c r="G655" s="19">
        <f t="shared" si="105"/>
        <v>27.599999999999998</v>
      </c>
      <c r="H655" s="69">
        <v>0</v>
      </c>
      <c r="I655" s="18">
        <v>1</v>
      </c>
      <c r="J655" s="71" t="str">
        <f t="shared" si="106"/>
        <v xml:space="preserve"> </v>
      </c>
      <c r="K655" s="73">
        <f t="shared" si="107"/>
        <v>27.599999999999998</v>
      </c>
      <c r="L655" s="398"/>
      <c r="M655" s="403" t="str">
        <f t="shared" si="108"/>
        <v/>
      </c>
      <c r="N655" s="398"/>
      <c r="O655" s="403" t="str">
        <f t="shared" si="109"/>
        <v/>
      </c>
    </row>
    <row r="656" spans="2:15">
      <c r="B656" s="14"/>
      <c r="C656" s="17" t="s">
        <v>570</v>
      </c>
      <c r="D656" s="70" t="s">
        <v>348</v>
      </c>
      <c r="E656" s="18">
        <v>14.100000000000001</v>
      </c>
      <c r="F656" s="18">
        <f t="shared" si="110"/>
        <v>3</v>
      </c>
      <c r="G656" s="19">
        <f t="shared" si="105"/>
        <v>42.300000000000004</v>
      </c>
      <c r="H656" s="69">
        <v>0</v>
      </c>
      <c r="I656" s="18">
        <v>1</v>
      </c>
      <c r="J656" s="71" t="str">
        <f t="shared" si="106"/>
        <v xml:space="preserve"> </v>
      </c>
      <c r="K656" s="73">
        <f t="shared" si="107"/>
        <v>42.300000000000004</v>
      </c>
      <c r="L656" s="398"/>
      <c r="M656" s="403" t="str">
        <f t="shared" si="108"/>
        <v/>
      </c>
      <c r="N656" s="398"/>
      <c r="O656" s="403" t="str">
        <f t="shared" si="109"/>
        <v/>
      </c>
    </row>
    <row r="657" spans="2:15">
      <c r="B657" s="14"/>
      <c r="C657" s="17" t="s">
        <v>571</v>
      </c>
      <c r="D657" s="70" t="s">
        <v>348</v>
      </c>
      <c r="E657" s="18">
        <v>23.751999999999999</v>
      </c>
      <c r="F657" s="18">
        <f t="shared" si="110"/>
        <v>3</v>
      </c>
      <c r="G657" s="19">
        <f t="shared" si="105"/>
        <v>71.256</v>
      </c>
      <c r="H657" s="69">
        <v>0</v>
      </c>
      <c r="I657" s="18">
        <v>1</v>
      </c>
      <c r="J657" s="71" t="str">
        <f t="shared" si="106"/>
        <v xml:space="preserve"> </v>
      </c>
      <c r="K657" s="73">
        <f t="shared" si="107"/>
        <v>71.256</v>
      </c>
      <c r="L657" s="398"/>
      <c r="M657" s="403" t="str">
        <f t="shared" si="108"/>
        <v/>
      </c>
      <c r="N657" s="398"/>
      <c r="O657" s="403" t="str">
        <f t="shared" si="109"/>
        <v/>
      </c>
    </row>
    <row r="658" spans="2:15">
      <c r="B658" s="14"/>
      <c r="C658" s="17" t="s">
        <v>545</v>
      </c>
      <c r="D658" s="70" t="s">
        <v>347</v>
      </c>
      <c r="E658" s="18">
        <v>24.34</v>
      </c>
      <c r="F658" s="18">
        <f t="shared" si="110"/>
        <v>3</v>
      </c>
      <c r="G658" s="19">
        <f t="shared" si="105"/>
        <v>73.02</v>
      </c>
      <c r="H658" s="69">
        <v>0</v>
      </c>
      <c r="I658" s="18">
        <v>1</v>
      </c>
      <c r="J658" s="71">
        <f t="shared" si="106"/>
        <v>73.02</v>
      </c>
      <c r="K658" s="73" t="str">
        <f t="shared" si="107"/>
        <v xml:space="preserve"> </v>
      </c>
      <c r="L658" s="398"/>
      <c r="M658" s="403" t="str">
        <f t="shared" si="108"/>
        <v/>
      </c>
      <c r="N658" s="398"/>
      <c r="O658" s="403" t="str">
        <f t="shared" si="109"/>
        <v/>
      </c>
    </row>
    <row r="659" spans="2:15">
      <c r="B659" s="14"/>
      <c r="C659" s="17" t="s">
        <v>546</v>
      </c>
      <c r="D659" s="70" t="s">
        <v>347</v>
      </c>
      <c r="E659" s="18">
        <v>8.8000000000000007</v>
      </c>
      <c r="F659" s="18">
        <f t="shared" si="110"/>
        <v>3</v>
      </c>
      <c r="G659" s="19">
        <f t="shared" si="105"/>
        <v>26.400000000000002</v>
      </c>
      <c r="H659" s="69">
        <v>0</v>
      </c>
      <c r="I659" s="18">
        <v>1</v>
      </c>
      <c r="J659" s="71">
        <f t="shared" si="106"/>
        <v>26.400000000000002</v>
      </c>
      <c r="K659" s="73" t="str">
        <f t="shared" si="107"/>
        <v xml:space="preserve"> </v>
      </c>
      <c r="L659" s="398"/>
      <c r="M659" s="403" t="str">
        <f t="shared" si="108"/>
        <v/>
      </c>
      <c r="N659" s="398"/>
      <c r="O659" s="403" t="str">
        <f t="shared" si="109"/>
        <v/>
      </c>
    </row>
    <row r="660" spans="2:15">
      <c r="B660" s="14"/>
      <c r="C660" s="17" t="s">
        <v>547</v>
      </c>
      <c r="D660" s="70" t="s">
        <v>347</v>
      </c>
      <c r="E660" s="18">
        <v>8.8000000000000007</v>
      </c>
      <c r="F660" s="18">
        <f t="shared" si="110"/>
        <v>3</v>
      </c>
      <c r="G660" s="19">
        <f t="shared" si="105"/>
        <v>26.400000000000002</v>
      </c>
      <c r="H660" s="69">
        <v>0</v>
      </c>
      <c r="I660" s="18">
        <v>1</v>
      </c>
      <c r="J660" s="71">
        <f t="shared" si="106"/>
        <v>26.400000000000002</v>
      </c>
      <c r="K660" s="73" t="str">
        <f t="shared" si="107"/>
        <v xml:space="preserve"> </v>
      </c>
      <c r="L660" s="398"/>
      <c r="M660" s="403" t="str">
        <f t="shared" si="108"/>
        <v/>
      </c>
      <c r="N660" s="398"/>
      <c r="O660" s="403" t="str">
        <f t="shared" si="109"/>
        <v/>
      </c>
    </row>
    <row r="661" spans="2:15">
      <c r="B661" s="14"/>
      <c r="C661" s="17" t="s">
        <v>548</v>
      </c>
      <c r="D661" s="70" t="s">
        <v>347</v>
      </c>
      <c r="E661" s="18">
        <v>22.85</v>
      </c>
      <c r="F661" s="18">
        <f t="shared" si="110"/>
        <v>3</v>
      </c>
      <c r="G661" s="19">
        <f t="shared" si="105"/>
        <v>68.550000000000011</v>
      </c>
      <c r="H661" s="69">
        <v>0</v>
      </c>
      <c r="I661" s="18">
        <v>1</v>
      </c>
      <c r="J661" s="71">
        <f t="shared" si="106"/>
        <v>68.550000000000011</v>
      </c>
      <c r="K661" s="73" t="str">
        <f t="shared" si="107"/>
        <v xml:space="preserve"> </v>
      </c>
      <c r="L661" s="398"/>
      <c r="M661" s="403" t="str">
        <f t="shared" si="108"/>
        <v/>
      </c>
      <c r="N661" s="398"/>
      <c r="O661" s="403" t="str">
        <f t="shared" si="109"/>
        <v/>
      </c>
    </row>
    <row r="662" spans="2:15">
      <c r="B662" s="14"/>
      <c r="C662" s="17" t="s">
        <v>411</v>
      </c>
      <c r="D662" s="70" t="s">
        <v>348</v>
      </c>
      <c r="E662" s="18">
        <v>15.602</v>
      </c>
      <c r="F662" s="18">
        <f t="shared" si="110"/>
        <v>3</v>
      </c>
      <c r="G662" s="19">
        <f t="shared" si="105"/>
        <v>46.805999999999997</v>
      </c>
      <c r="H662" s="69">
        <v>0</v>
      </c>
      <c r="I662" s="18">
        <v>1</v>
      </c>
      <c r="J662" s="71" t="str">
        <f t="shared" si="106"/>
        <v xml:space="preserve"> </v>
      </c>
      <c r="K662" s="73">
        <f t="shared" si="107"/>
        <v>46.805999999999997</v>
      </c>
      <c r="L662" s="398"/>
      <c r="M662" s="403" t="str">
        <f t="shared" si="108"/>
        <v/>
      </c>
      <c r="N662" s="398"/>
      <c r="O662" s="403" t="str">
        <f t="shared" si="109"/>
        <v/>
      </c>
    </row>
    <row r="663" spans="2:15">
      <c r="B663" s="14"/>
      <c r="C663" s="26" t="s">
        <v>396</v>
      </c>
      <c r="D663" s="70" t="s">
        <v>347</v>
      </c>
      <c r="E663" s="18">
        <v>23.65</v>
      </c>
      <c r="F663" s="18">
        <f t="shared" si="110"/>
        <v>3</v>
      </c>
      <c r="G663" s="19">
        <f t="shared" si="105"/>
        <v>70.949999999999989</v>
      </c>
      <c r="H663" s="69">
        <v>0</v>
      </c>
      <c r="I663" s="18">
        <v>1</v>
      </c>
      <c r="J663" s="71">
        <f t="shared" si="106"/>
        <v>70.949999999999989</v>
      </c>
      <c r="K663" s="73" t="str">
        <f t="shared" si="107"/>
        <v xml:space="preserve"> </v>
      </c>
      <c r="L663" s="398"/>
      <c r="M663" s="403" t="str">
        <f t="shared" si="108"/>
        <v/>
      </c>
      <c r="N663" s="398"/>
      <c r="O663" s="403" t="str">
        <f t="shared" si="109"/>
        <v/>
      </c>
    </row>
    <row r="664" spans="2:15">
      <c r="B664" s="14"/>
      <c r="C664" s="26" t="s">
        <v>407</v>
      </c>
      <c r="D664" s="70" t="s">
        <v>348</v>
      </c>
      <c r="E664" s="18">
        <v>18.45</v>
      </c>
      <c r="F664" s="18">
        <f t="shared" si="110"/>
        <v>3</v>
      </c>
      <c r="G664" s="19">
        <f t="shared" si="105"/>
        <v>55.349999999999994</v>
      </c>
      <c r="H664" s="69">
        <v>0</v>
      </c>
      <c r="I664" s="18">
        <v>1</v>
      </c>
      <c r="J664" s="71" t="str">
        <f t="shared" si="106"/>
        <v xml:space="preserve"> </v>
      </c>
      <c r="K664" s="73">
        <f t="shared" si="107"/>
        <v>55.349999999999994</v>
      </c>
      <c r="L664" s="398"/>
      <c r="M664" s="403" t="str">
        <f t="shared" si="108"/>
        <v/>
      </c>
      <c r="N664" s="398"/>
      <c r="O664" s="403" t="str">
        <f t="shared" si="109"/>
        <v/>
      </c>
    </row>
    <row r="665" spans="2:15">
      <c r="B665" s="14"/>
      <c r="C665" s="26" t="s">
        <v>572</v>
      </c>
      <c r="D665" s="70" t="s">
        <v>348</v>
      </c>
      <c r="E665" s="18">
        <v>25.74</v>
      </c>
      <c r="F665" s="18">
        <f t="shared" si="110"/>
        <v>3</v>
      </c>
      <c r="G665" s="19">
        <f t="shared" si="105"/>
        <v>77.22</v>
      </c>
      <c r="H665" s="69">
        <v>0</v>
      </c>
      <c r="I665" s="18">
        <v>1</v>
      </c>
      <c r="J665" s="71" t="str">
        <f t="shared" si="106"/>
        <v xml:space="preserve"> </v>
      </c>
      <c r="K665" s="73">
        <f t="shared" si="107"/>
        <v>77.22</v>
      </c>
      <c r="L665" s="398"/>
      <c r="M665" s="403" t="str">
        <f t="shared" si="108"/>
        <v/>
      </c>
      <c r="N665" s="398"/>
      <c r="O665" s="403" t="str">
        <f t="shared" si="109"/>
        <v/>
      </c>
    </row>
    <row r="666" spans="2:15">
      <c r="B666" s="14"/>
      <c r="C666" s="26" t="s">
        <v>397</v>
      </c>
      <c r="D666" s="70" t="s">
        <v>347</v>
      </c>
      <c r="E666" s="18">
        <v>9</v>
      </c>
      <c r="F666" s="18">
        <f t="shared" si="110"/>
        <v>3</v>
      </c>
      <c r="G666" s="19">
        <f t="shared" si="105"/>
        <v>27</v>
      </c>
      <c r="H666" s="69">
        <v>0</v>
      </c>
      <c r="I666" s="18">
        <v>1</v>
      </c>
      <c r="J666" s="71">
        <f t="shared" si="106"/>
        <v>27</v>
      </c>
      <c r="K666" s="73" t="str">
        <f t="shared" si="107"/>
        <v xml:space="preserve"> </v>
      </c>
      <c r="L666" s="398"/>
      <c r="M666" s="403" t="str">
        <f t="shared" si="108"/>
        <v/>
      </c>
      <c r="N666" s="398"/>
      <c r="O666" s="403" t="str">
        <f t="shared" si="109"/>
        <v/>
      </c>
    </row>
    <row r="667" spans="2:15">
      <c r="B667" s="14"/>
      <c r="C667" s="26" t="s">
        <v>1148</v>
      </c>
      <c r="D667" s="70" t="s">
        <v>348</v>
      </c>
      <c r="E667" s="18">
        <v>25.75</v>
      </c>
      <c r="F667" s="18">
        <f t="shared" si="110"/>
        <v>3</v>
      </c>
      <c r="G667" s="19">
        <f t="shared" si="105"/>
        <v>77.25</v>
      </c>
      <c r="H667" s="69">
        <v>0</v>
      </c>
      <c r="I667" s="18">
        <v>1</v>
      </c>
      <c r="J667" s="71" t="str">
        <f t="shared" si="106"/>
        <v xml:space="preserve"> </v>
      </c>
      <c r="K667" s="73">
        <f t="shared" si="107"/>
        <v>77.25</v>
      </c>
      <c r="L667" s="398"/>
      <c r="M667" s="403" t="str">
        <f t="shared" si="108"/>
        <v/>
      </c>
      <c r="N667" s="398"/>
      <c r="O667" s="403" t="str">
        <f t="shared" si="109"/>
        <v/>
      </c>
    </row>
    <row r="668" spans="2:15">
      <c r="B668" s="14"/>
      <c r="C668" s="26" t="s">
        <v>573</v>
      </c>
      <c r="D668" s="70" t="s">
        <v>348</v>
      </c>
      <c r="E668" s="18">
        <v>22.847999999999999</v>
      </c>
      <c r="F668" s="18">
        <f t="shared" si="110"/>
        <v>3</v>
      </c>
      <c r="G668" s="19">
        <f t="shared" si="105"/>
        <v>68.543999999999997</v>
      </c>
      <c r="H668" s="69">
        <v>0</v>
      </c>
      <c r="I668" s="18">
        <v>1</v>
      </c>
      <c r="J668" s="71" t="str">
        <f t="shared" si="106"/>
        <v xml:space="preserve"> </v>
      </c>
      <c r="K668" s="73">
        <f t="shared" si="107"/>
        <v>68.543999999999997</v>
      </c>
      <c r="L668" s="398"/>
      <c r="M668" s="403" t="str">
        <f t="shared" si="108"/>
        <v/>
      </c>
      <c r="N668" s="398"/>
      <c r="O668" s="403" t="str">
        <f t="shared" si="109"/>
        <v/>
      </c>
    </row>
    <row r="669" spans="2:15">
      <c r="B669" s="14"/>
      <c r="C669" s="26" t="s">
        <v>1209</v>
      </c>
      <c r="D669" s="70" t="s">
        <v>348</v>
      </c>
      <c r="E669" s="18">
        <f>164.9+82.1</f>
        <v>247</v>
      </c>
      <c r="F669" s="18">
        <f t="shared" si="110"/>
        <v>3</v>
      </c>
      <c r="G669" s="19">
        <f t="shared" si="105"/>
        <v>741</v>
      </c>
      <c r="H669" s="69">
        <v>0</v>
      </c>
      <c r="I669" s="18">
        <v>1</v>
      </c>
      <c r="J669" s="71" t="str">
        <f t="shared" si="106"/>
        <v xml:space="preserve"> </v>
      </c>
      <c r="K669" s="73">
        <f t="shared" si="107"/>
        <v>741</v>
      </c>
      <c r="L669" s="398"/>
      <c r="M669" s="403" t="str">
        <f t="shared" si="108"/>
        <v/>
      </c>
      <c r="N669" s="398"/>
      <c r="O669" s="403" t="str">
        <f t="shared" si="109"/>
        <v/>
      </c>
    </row>
    <row r="670" spans="2:15">
      <c r="B670" s="14"/>
      <c r="C670" s="135" t="s">
        <v>295</v>
      </c>
      <c r="D670" s="70" t="s">
        <v>348</v>
      </c>
      <c r="E670" s="18">
        <f>77.75+68.75</f>
        <v>146.5</v>
      </c>
      <c r="F670" s="18">
        <f t="shared" si="110"/>
        <v>3</v>
      </c>
      <c r="G670" s="19">
        <f t="shared" si="105"/>
        <v>439.5</v>
      </c>
      <c r="H670" s="69">
        <v>0</v>
      </c>
      <c r="I670" s="18">
        <v>1</v>
      </c>
      <c r="J670" s="71" t="str">
        <f t="shared" si="106"/>
        <v xml:space="preserve"> </v>
      </c>
      <c r="K670" s="73">
        <f t="shared" si="107"/>
        <v>439.5</v>
      </c>
      <c r="L670" s="398" t="s">
        <v>952</v>
      </c>
      <c r="M670" s="403">
        <f t="shared" si="108"/>
        <v>439.5</v>
      </c>
      <c r="N670" s="398"/>
      <c r="O670" s="403" t="str">
        <f t="shared" si="109"/>
        <v/>
      </c>
    </row>
    <row r="671" spans="2:15">
      <c r="B671" s="14"/>
      <c r="C671" s="135" t="s">
        <v>556</v>
      </c>
      <c r="D671" s="70" t="s">
        <v>348</v>
      </c>
      <c r="E671" s="18">
        <v>28.06</v>
      </c>
      <c r="F671" s="18">
        <f t="shared" si="110"/>
        <v>3</v>
      </c>
      <c r="G671" s="19">
        <f t="shared" si="105"/>
        <v>84.179999999999993</v>
      </c>
      <c r="H671" s="69">
        <v>0</v>
      </c>
      <c r="I671" s="18">
        <v>1</v>
      </c>
      <c r="J671" s="71" t="str">
        <f t="shared" si="106"/>
        <v xml:space="preserve"> </v>
      </c>
      <c r="K671" s="73">
        <f t="shared" si="107"/>
        <v>84.179999999999993</v>
      </c>
      <c r="L671" s="398"/>
      <c r="M671" s="403" t="str">
        <f t="shared" si="108"/>
        <v/>
      </c>
      <c r="N671" s="398"/>
      <c r="O671" s="403" t="str">
        <f t="shared" si="109"/>
        <v/>
      </c>
    </row>
    <row r="672" spans="2:15">
      <c r="B672" s="14"/>
      <c r="C672" s="135" t="s">
        <v>296</v>
      </c>
      <c r="D672" s="70" t="s">
        <v>348</v>
      </c>
      <c r="E672" s="18">
        <v>64.38</v>
      </c>
      <c r="F672" s="18">
        <f t="shared" si="110"/>
        <v>3</v>
      </c>
      <c r="G672" s="19">
        <f t="shared" si="105"/>
        <v>193.14</v>
      </c>
      <c r="H672" s="69">
        <v>0</v>
      </c>
      <c r="I672" s="18">
        <v>1</v>
      </c>
      <c r="J672" s="71" t="str">
        <f t="shared" si="106"/>
        <v xml:space="preserve"> </v>
      </c>
      <c r="K672" s="73">
        <f t="shared" si="107"/>
        <v>193.14</v>
      </c>
      <c r="L672" s="398"/>
      <c r="M672" s="403" t="str">
        <f t="shared" si="108"/>
        <v/>
      </c>
      <c r="N672" s="398"/>
      <c r="O672" s="403" t="str">
        <f t="shared" si="109"/>
        <v/>
      </c>
    </row>
    <row r="673" spans="2:15">
      <c r="B673" s="14"/>
      <c r="C673" s="135" t="s">
        <v>408</v>
      </c>
      <c r="D673" s="70" t="s">
        <v>348</v>
      </c>
      <c r="E673" s="18">
        <v>36.619999999999997</v>
      </c>
      <c r="F673" s="18">
        <f t="shared" si="110"/>
        <v>3</v>
      </c>
      <c r="G673" s="19">
        <f t="shared" si="105"/>
        <v>109.85999999999999</v>
      </c>
      <c r="H673" s="69">
        <v>0</v>
      </c>
      <c r="I673" s="18">
        <v>1</v>
      </c>
      <c r="J673" s="71" t="str">
        <f t="shared" si="106"/>
        <v xml:space="preserve"> </v>
      </c>
      <c r="K673" s="73">
        <f t="shared" si="107"/>
        <v>109.85999999999999</v>
      </c>
      <c r="L673" s="398"/>
      <c r="M673" s="403" t="str">
        <f t="shared" si="108"/>
        <v/>
      </c>
      <c r="N673" s="398"/>
      <c r="O673" s="403" t="str">
        <f t="shared" si="109"/>
        <v/>
      </c>
    </row>
    <row r="674" spans="2:15">
      <c r="B674" s="14"/>
      <c r="C674" s="135" t="s">
        <v>357</v>
      </c>
      <c r="D674" s="70" t="s">
        <v>347</v>
      </c>
      <c r="E674" s="18">
        <v>7.1</v>
      </c>
      <c r="F674" s="18">
        <f t="shared" si="110"/>
        <v>3</v>
      </c>
      <c r="G674" s="19">
        <f t="shared" si="105"/>
        <v>21.299999999999997</v>
      </c>
      <c r="H674" s="69">
        <v>0</v>
      </c>
      <c r="I674" s="18">
        <v>1</v>
      </c>
      <c r="J674" s="71">
        <f t="shared" si="106"/>
        <v>21.299999999999997</v>
      </c>
      <c r="K674" s="73" t="str">
        <f t="shared" si="107"/>
        <v xml:space="preserve"> </v>
      </c>
      <c r="L674" s="398"/>
      <c r="M674" s="403" t="str">
        <f t="shared" si="108"/>
        <v/>
      </c>
      <c r="N674" s="398"/>
      <c r="O674" s="403" t="str">
        <f t="shared" si="109"/>
        <v/>
      </c>
    </row>
    <row r="675" spans="2:15">
      <c r="B675" s="14"/>
      <c r="C675" s="135" t="s">
        <v>356</v>
      </c>
      <c r="D675" s="70" t="s">
        <v>347</v>
      </c>
      <c r="E675" s="18">
        <v>7.1</v>
      </c>
      <c r="F675" s="18">
        <f t="shared" si="110"/>
        <v>3</v>
      </c>
      <c r="G675" s="19">
        <f t="shared" si="105"/>
        <v>21.299999999999997</v>
      </c>
      <c r="H675" s="69">
        <v>0</v>
      </c>
      <c r="I675" s="18">
        <v>1</v>
      </c>
      <c r="J675" s="71">
        <f t="shared" si="106"/>
        <v>21.299999999999997</v>
      </c>
      <c r="K675" s="73" t="str">
        <f t="shared" si="107"/>
        <v xml:space="preserve"> </v>
      </c>
      <c r="L675" s="398"/>
      <c r="M675" s="403" t="str">
        <f t="shared" ref="M675:M695" si="111">IF(L675="x",G675,"")</f>
        <v/>
      </c>
      <c r="N675" s="398"/>
      <c r="O675" s="403" t="str">
        <f t="shared" ref="O675:O695" si="112">IF(N675="x",G675,"")</f>
        <v/>
      </c>
    </row>
    <row r="676" spans="2:15">
      <c r="B676" s="14"/>
      <c r="C676" s="135" t="s">
        <v>297</v>
      </c>
      <c r="D676" s="136" t="s">
        <v>348</v>
      </c>
      <c r="E676" s="137">
        <v>14.3</v>
      </c>
      <c r="F676" s="18">
        <f t="shared" si="110"/>
        <v>3</v>
      </c>
      <c r="G676" s="19">
        <f t="shared" si="105"/>
        <v>42.900000000000006</v>
      </c>
      <c r="H676" s="69">
        <v>0</v>
      </c>
      <c r="I676" s="137">
        <v>1</v>
      </c>
      <c r="J676" s="71" t="str">
        <f t="shared" si="106"/>
        <v xml:space="preserve"> </v>
      </c>
      <c r="K676" s="73">
        <f t="shared" si="107"/>
        <v>42.900000000000006</v>
      </c>
      <c r="L676" s="398" t="s">
        <v>952</v>
      </c>
      <c r="M676" s="403">
        <f t="shared" si="111"/>
        <v>42.900000000000006</v>
      </c>
      <c r="N676" s="398"/>
      <c r="O676" s="403" t="str">
        <f t="shared" si="112"/>
        <v/>
      </c>
    </row>
    <row r="677" spans="2:15">
      <c r="B677" s="14"/>
      <c r="C677" s="135" t="s">
        <v>494</v>
      </c>
      <c r="D677" s="70" t="s">
        <v>348</v>
      </c>
      <c r="E677" s="137">
        <v>9.76</v>
      </c>
      <c r="F677" s="18">
        <f t="shared" si="110"/>
        <v>3</v>
      </c>
      <c r="G677" s="19">
        <f t="shared" si="105"/>
        <v>29.28</v>
      </c>
      <c r="H677" s="69">
        <v>0</v>
      </c>
      <c r="I677" s="137">
        <v>0</v>
      </c>
      <c r="J677" s="71" t="str">
        <f t="shared" si="106"/>
        <v xml:space="preserve"> </v>
      </c>
      <c r="K677" s="73">
        <f t="shared" si="107"/>
        <v>0</v>
      </c>
      <c r="L677" s="398"/>
      <c r="M677" s="403" t="str">
        <f t="shared" si="111"/>
        <v/>
      </c>
      <c r="N677" s="398"/>
      <c r="O677" s="403" t="str">
        <f t="shared" si="112"/>
        <v/>
      </c>
    </row>
    <row r="678" spans="2:15">
      <c r="B678" s="14"/>
      <c r="C678" s="135" t="s">
        <v>307</v>
      </c>
      <c r="D678" s="70" t="s">
        <v>348</v>
      </c>
      <c r="E678" s="18">
        <v>11.8</v>
      </c>
      <c r="F678" s="18">
        <f t="shared" si="110"/>
        <v>3</v>
      </c>
      <c r="G678" s="19">
        <f t="shared" si="105"/>
        <v>35.400000000000006</v>
      </c>
      <c r="H678" s="69">
        <v>0</v>
      </c>
      <c r="I678" s="18">
        <v>2</v>
      </c>
      <c r="J678" s="71" t="str">
        <f t="shared" si="106"/>
        <v xml:space="preserve"> </v>
      </c>
      <c r="K678" s="73">
        <f t="shared" si="107"/>
        <v>70.800000000000011</v>
      </c>
      <c r="L678" s="398" t="s">
        <v>952</v>
      </c>
      <c r="M678" s="403">
        <f t="shared" si="111"/>
        <v>35.400000000000006</v>
      </c>
      <c r="N678" s="398"/>
      <c r="O678" s="403" t="str">
        <f t="shared" si="112"/>
        <v/>
      </c>
    </row>
    <row r="679" spans="2:15">
      <c r="B679" s="14"/>
      <c r="C679" s="135" t="s">
        <v>457</v>
      </c>
      <c r="D679" s="70" t="s">
        <v>348</v>
      </c>
      <c r="E679" s="18">
        <v>20.240000000000002</v>
      </c>
      <c r="F679" s="18">
        <f t="shared" si="110"/>
        <v>3</v>
      </c>
      <c r="G679" s="19">
        <f t="shared" si="105"/>
        <v>60.720000000000006</v>
      </c>
      <c r="H679" s="69">
        <v>0</v>
      </c>
      <c r="I679" s="18">
        <v>1</v>
      </c>
      <c r="J679" s="71" t="str">
        <f t="shared" si="106"/>
        <v xml:space="preserve"> </v>
      </c>
      <c r="K679" s="73">
        <f t="shared" si="107"/>
        <v>60.720000000000006</v>
      </c>
      <c r="L679" s="398" t="s">
        <v>952</v>
      </c>
      <c r="M679" s="403">
        <f t="shared" si="111"/>
        <v>60.720000000000006</v>
      </c>
      <c r="N679" s="398"/>
      <c r="O679" s="403" t="str">
        <f t="shared" si="112"/>
        <v/>
      </c>
    </row>
    <row r="680" spans="2:15">
      <c r="B680" s="14"/>
      <c r="C680" s="135" t="s">
        <v>458</v>
      </c>
      <c r="D680" s="70" t="s">
        <v>348</v>
      </c>
      <c r="E680" s="18">
        <v>20.240000000000002</v>
      </c>
      <c r="F680" s="18">
        <f t="shared" si="110"/>
        <v>3</v>
      </c>
      <c r="G680" s="19">
        <f t="shared" si="105"/>
        <v>60.720000000000006</v>
      </c>
      <c r="H680" s="69">
        <v>0</v>
      </c>
      <c r="I680" s="18">
        <v>1</v>
      </c>
      <c r="J680" s="71" t="str">
        <f t="shared" si="106"/>
        <v xml:space="preserve"> </v>
      </c>
      <c r="K680" s="73">
        <f t="shared" si="107"/>
        <v>60.720000000000006</v>
      </c>
      <c r="L680" s="398" t="s">
        <v>952</v>
      </c>
      <c r="M680" s="403">
        <f t="shared" si="111"/>
        <v>60.720000000000006</v>
      </c>
      <c r="N680" s="398"/>
      <c r="O680" s="403" t="str">
        <f t="shared" si="112"/>
        <v/>
      </c>
    </row>
    <row r="681" spans="2:15">
      <c r="B681" s="14"/>
      <c r="C681" s="135" t="s">
        <v>459</v>
      </c>
      <c r="D681" s="70" t="s">
        <v>348</v>
      </c>
      <c r="E681" s="18">
        <v>19.100000000000001</v>
      </c>
      <c r="F681" s="18">
        <f t="shared" si="110"/>
        <v>3</v>
      </c>
      <c r="G681" s="19">
        <f t="shared" si="105"/>
        <v>57.300000000000004</v>
      </c>
      <c r="H681" s="69">
        <v>0</v>
      </c>
      <c r="I681" s="18">
        <v>1</v>
      </c>
      <c r="J681" s="71" t="str">
        <f t="shared" si="106"/>
        <v xml:space="preserve"> </v>
      </c>
      <c r="K681" s="73">
        <f t="shared" si="107"/>
        <v>57.300000000000004</v>
      </c>
      <c r="L681" s="398" t="s">
        <v>952</v>
      </c>
      <c r="M681" s="403">
        <f t="shared" si="111"/>
        <v>57.300000000000004</v>
      </c>
      <c r="N681" s="398"/>
      <c r="O681" s="403" t="str">
        <f t="shared" si="112"/>
        <v/>
      </c>
    </row>
    <row r="682" spans="2:15">
      <c r="B682" s="14"/>
      <c r="C682" s="135" t="s">
        <v>437</v>
      </c>
      <c r="D682" s="70" t="s">
        <v>348</v>
      </c>
      <c r="E682" s="18">
        <v>15</v>
      </c>
      <c r="F682" s="18">
        <v>4.5</v>
      </c>
      <c r="G682" s="19">
        <f t="shared" si="105"/>
        <v>67.5</v>
      </c>
      <c r="H682" s="69">
        <v>0</v>
      </c>
      <c r="I682" s="18">
        <v>1</v>
      </c>
      <c r="J682" s="71" t="str">
        <f t="shared" si="106"/>
        <v xml:space="preserve"> </v>
      </c>
      <c r="K682" s="73">
        <f t="shared" si="107"/>
        <v>67.5</v>
      </c>
      <c r="L682" s="398" t="s">
        <v>952</v>
      </c>
      <c r="M682" s="403">
        <f t="shared" si="111"/>
        <v>67.5</v>
      </c>
      <c r="N682" s="398"/>
      <c r="O682" s="403" t="str">
        <f t="shared" si="112"/>
        <v/>
      </c>
    </row>
    <row r="683" spans="2:15">
      <c r="B683" s="14"/>
      <c r="C683" s="135" t="s">
        <v>437</v>
      </c>
      <c r="D683" s="70" t="s">
        <v>348</v>
      </c>
      <c r="E683" s="18">
        <v>15</v>
      </c>
      <c r="F683" s="18">
        <v>1</v>
      </c>
      <c r="G683" s="19">
        <f t="shared" si="105"/>
        <v>15</v>
      </c>
      <c r="H683" s="69">
        <v>0</v>
      </c>
      <c r="I683" s="18">
        <v>1</v>
      </c>
      <c r="J683" s="71" t="str">
        <f t="shared" si="106"/>
        <v xml:space="preserve"> </v>
      </c>
      <c r="K683" s="73">
        <f t="shared" si="107"/>
        <v>15</v>
      </c>
      <c r="L683" s="398" t="s">
        <v>952</v>
      </c>
      <c r="M683" s="403">
        <f t="shared" si="111"/>
        <v>15</v>
      </c>
      <c r="N683" s="398"/>
      <c r="O683" s="403" t="str">
        <f t="shared" si="112"/>
        <v/>
      </c>
    </row>
    <row r="684" spans="2:15">
      <c r="B684" s="14"/>
      <c r="C684" s="135" t="s">
        <v>1184</v>
      </c>
      <c r="D684" s="70" t="s">
        <v>348</v>
      </c>
      <c r="E684" s="18">
        <v>7.44</v>
      </c>
      <c r="F684" s="18">
        <v>4.5</v>
      </c>
      <c r="G684" s="19">
        <f t="shared" si="105"/>
        <v>33.480000000000004</v>
      </c>
      <c r="H684" s="69">
        <v>0</v>
      </c>
      <c r="I684" s="18">
        <v>2</v>
      </c>
      <c r="J684" s="71" t="str">
        <f t="shared" si="106"/>
        <v xml:space="preserve"> </v>
      </c>
      <c r="K684" s="73">
        <f t="shared" si="107"/>
        <v>66.960000000000008</v>
      </c>
      <c r="L684" s="398" t="s">
        <v>952</v>
      </c>
      <c r="M684" s="403">
        <f t="shared" si="111"/>
        <v>33.480000000000004</v>
      </c>
      <c r="N684" s="398"/>
      <c r="O684" s="403" t="str">
        <f t="shared" si="112"/>
        <v/>
      </c>
    </row>
    <row r="685" spans="2:15">
      <c r="B685" s="14"/>
      <c r="C685" s="135" t="s">
        <v>1185</v>
      </c>
      <c r="D685" s="70" t="s">
        <v>348</v>
      </c>
      <c r="E685" s="18">
        <v>7.44</v>
      </c>
      <c r="F685" s="18">
        <v>4.5</v>
      </c>
      <c r="G685" s="19">
        <f t="shared" si="105"/>
        <v>33.480000000000004</v>
      </c>
      <c r="H685" s="69">
        <v>0</v>
      </c>
      <c r="I685" s="18">
        <v>2</v>
      </c>
      <c r="J685" s="71" t="str">
        <f t="shared" si="106"/>
        <v xml:space="preserve"> </v>
      </c>
      <c r="K685" s="73">
        <f t="shared" si="107"/>
        <v>66.960000000000008</v>
      </c>
      <c r="L685" s="398" t="s">
        <v>952</v>
      </c>
      <c r="M685" s="403">
        <f t="shared" si="111"/>
        <v>33.480000000000004</v>
      </c>
      <c r="N685" s="398"/>
      <c r="O685" s="403" t="str">
        <f t="shared" si="112"/>
        <v/>
      </c>
    </row>
    <row r="686" spans="2:15">
      <c r="B686" s="14"/>
      <c r="C686" s="135" t="s">
        <v>1183</v>
      </c>
      <c r="D686" s="70" t="s">
        <v>348</v>
      </c>
      <c r="E686" s="18">
        <v>36.85</v>
      </c>
      <c r="F686" s="18">
        <v>4.5</v>
      </c>
      <c r="G686" s="19">
        <f t="shared" si="105"/>
        <v>165.82500000000002</v>
      </c>
      <c r="H686" s="69">
        <v>0</v>
      </c>
      <c r="I686" s="18">
        <v>1</v>
      </c>
      <c r="J686" s="71" t="str">
        <f t="shared" si="106"/>
        <v xml:space="preserve"> </v>
      </c>
      <c r="K686" s="73">
        <f t="shared" si="107"/>
        <v>165.82500000000002</v>
      </c>
      <c r="L686" s="398" t="s">
        <v>952</v>
      </c>
      <c r="M686" s="403">
        <f t="shared" si="111"/>
        <v>165.82500000000002</v>
      </c>
      <c r="N686" s="398"/>
      <c r="O686" s="403" t="str">
        <f t="shared" si="112"/>
        <v/>
      </c>
    </row>
    <row r="687" spans="2:15">
      <c r="B687" s="14"/>
      <c r="C687" s="135" t="s">
        <v>1210</v>
      </c>
      <c r="D687" s="70" t="s">
        <v>347</v>
      </c>
      <c r="E687" s="18">
        <v>27.35</v>
      </c>
      <c r="F687" s="18">
        <v>4.5</v>
      </c>
      <c r="G687" s="19">
        <f t="shared" si="105"/>
        <v>123.075</v>
      </c>
      <c r="H687" s="69">
        <v>0</v>
      </c>
      <c r="I687" s="18">
        <v>1</v>
      </c>
      <c r="J687" s="71">
        <f t="shared" si="106"/>
        <v>123.075</v>
      </c>
      <c r="K687" s="73" t="str">
        <f t="shared" si="107"/>
        <v xml:space="preserve"> </v>
      </c>
      <c r="L687" s="398"/>
      <c r="M687" s="403" t="str">
        <f t="shared" si="111"/>
        <v/>
      </c>
      <c r="N687" s="398"/>
      <c r="O687" s="403" t="str">
        <f t="shared" si="112"/>
        <v/>
      </c>
    </row>
    <row r="688" spans="2:15">
      <c r="B688" s="14"/>
      <c r="C688" s="135" t="s">
        <v>1210</v>
      </c>
      <c r="D688" s="70" t="s">
        <v>347</v>
      </c>
      <c r="E688" s="18">
        <v>19.7</v>
      </c>
      <c r="F688" s="18">
        <v>1</v>
      </c>
      <c r="G688" s="19">
        <f t="shared" si="105"/>
        <v>19.7</v>
      </c>
      <c r="H688" s="69">
        <v>0</v>
      </c>
      <c r="I688" s="18">
        <v>1</v>
      </c>
      <c r="J688" s="71">
        <f t="shared" si="106"/>
        <v>19.7</v>
      </c>
      <c r="K688" s="73" t="str">
        <f t="shared" si="107"/>
        <v xml:space="preserve"> </v>
      </c>
      <c r="L688" s="398"/>
      <c r="M688" s="403" t="str">
        <f t="shared" si="111"/>
        <v/>
      </c>
      <c r="N688" s="398"/>
      <c r="O688" s="403" t="str">
        <f t="shared" si="112"/>
        <v/>
      </c>
    </row>
    <row r="689" spans="2:15">
      <c r="B689" s="14"/>
      <c r="C689" s="135" t="s">
        <v>1211</v>
      </c>
      <c r="D689" s="70" t="s">
        <v>347</v>
      </c>
      <c r="E689" s="18">
        <f>23.8+10.35</f>
        <v>34.15</v>
      </c>
      <c r="F689" s="18">
        <v>4.5</v>
      </c>
      <c r="G689" s="19">
        <f t="shared" si="105"/>
        <v>153.67499999999998</v>
      </c>
      <c r="H689" s="69">
        <v>0</v>
      </c>
      <c r="I689" s="18">
        <v>1</v>
      </c>
      <c r="J689" s="71">
        <f t="shared" si="106"/>
        <v>153.67499999999998</v>
      </c>
      <c r="K689" s="73" t="str">
        <f t="shared" si="107"/>
        <v xml:space="preserve"> </v>
      </c>
      <c r="L689" s="398"/>
      <c r="M689" s="403" t="str">
        <f t="shared" si="111"/>
        <v/>
      </c>
      <c r="N689" s="398"/>
      <c r="O689" s="403" t="str">
        <f t="shared" si="112"/>
        <v/>
      </c>
    </row>
    <row r="690" spans="2:15">
      <c r="B690" s="14"/>
      <c r="C690" s="135" t="s">
        <v>1211</v>
      </c>
      <c r="D690" s="70" t="s">
        <v>347</v>
      </c>
      <c r="E690" s="18">
        <f>9.9+10.8</f>
        <v>20.700000000000003</v>
      </c>
      <c r="F690" s="18">
        <f>1.95+1</f>
        <v>2.95</v>
      </c>
      <c r="G690" s="19">
        <f t="shared" si="105"/>
        <v>61.065000000000012</v>
      </c>
      <c r="H690" s="69">
        <v>0</v>
      </c>
      <c r="I690" s="18">
        <v>1</v>
      </c>
      <c r="J690" s="71">
        <f t="shared" si="106"/>
        <v>61.065000000000012</v>
      </c>
      <c r="K690" s="73" t="str">
        <f t="shared" si="107"/>
        <v xml:space="preserve"> </v>
      </c>
      <c r="L690" s="398"/>
      <c r="M690" s="403" t="str">
        <f t="shared" si="111"/>
        <v/>
      </c>
      <c r="N690" s="398"/>
      <c r="O690" s="403" t="str">
        <f t="shared" si="112"/>
        <v/>
      </c>
    </row>
    <row r="691" spans="2:15">
      <c r="B691" s="14"/>
      <c r="C691" s="135" t="s">
        <v>1211</v>
      </c>
      <c r="D691" s="70" t="s">
        <v>347</v>
      </c>
      <c r="E691" s="18">
        <v>15.3</v>
      </c>
      <c r="F691" s="18">
        <v>1</v>
      </c>
      <c r="G691" s="19">
        <f t="shared" si="105"/>
        <v>15.3</v>
      </c>
      <c r="H691" s="69">
        <v>0</v>
      </c>
      <c r="I691" s="18">
        <v>1</v>
      </c>
      <c r="J691" s="71">
        <f t="shared" si="106"/>
        <v>15.3</v>
      </c>
      <c r="K691" s="73" t="str">
        <f t="shared" si="107"/>
        <v xml:space="preserve"> </v>
      </c>
      <c r="L691" s="398"/>
      <c r="M691" s="403" t="str">
        <f t="shared" si="111"/>
        <v/>
      </c>
      <c r="N691" s="398"/>
      <c r="O691" s="403" t="str">
        <f t="shared" si="112"/>
        <v/>
      </c>
    </row>
    <row r="692" spans="2:15">
      <c r="B692" s="14"/>
      <c r="C692" s="135" t="s">
        <v>1212</v>
      </c>
      <c r="D692" s="70" t="s">
        <v>347</v>
      </c>
      <c r="E692" s="18">
        <v>38.75</v>
      </c>
      <c r="F692" s="18">
        <f>1.95+1</f>
        <v>2.95</v>
      </c>
      <c r="G692" s="19">
        <f t="shared" si="105"/>
        <v>114.3125</v>
      </c>
      <c r="H692" s="69">
        <v>0</v>
      </c>
      <c r="I692" s="18">
        <v>1</v>
      </c>
      <c r="J692" s="71">
        <f t="shared" si="106"/>
        <v>114.3125</v>
      </c>
      <c r="K692" s="73" t="str">
        <f t="shared" si="107"/>
        <v xml:space="preserve"> </v>
      </c>
      <c r="L692" s="398"/>
      <c r="M692" s="403" t="str">
        <f t="shared" si="111"/>
        <v/>
      </c>
      <c r="N692" s="398"/>
      <c r="O692" s="403" t="str">
        <f t="shared" si="112"/>
        <v/>
      </c>
    </row>
    <row r="693" spans="2:15">
      <c r="B693" s="14"/>
      <c r="C693" s="135" t="s">
        <v>1213</v>
      </c>
      <c r="D693" s="70" t="s">
        <v>347</v>
      </c>
      <c r="E693" s="18">
        <v>14.15</v>
      </c>
      <c r="F693" s="18">
        <v>4.5</v>
      </c>
      <c r="G693" s="19">
        <f t="shared" si="105"/>
        <v>63.675000000000004</v>
      </c>
      <c r="H693" s="69">
        <v>0</v>
      </c>
      <c r="I693" s="18">
        <v>1</v>
      </c>
      <c r="J693" s="71">
        <f t="shared" si="106"/>
        <v>63.675000000000004</v>
      </c>
      <c r="K693" s="73" t="str">
        <f t="shared" si="107"/>
        <v xml:space="preserve"> </v>
      </c>
      <c r="L693" s="398"/>
      <c r="M693" s="403" t="str">
        <f t="shared" si="111"/>
        <v/>
      </c>
      <c r="N693" s="398"/>
      <c r="O693" s="403" t="str">
        <f t="shared" si="112"/>
        <v/>
      </c>
    </row>
    <row r="694" spans="2:15">
      <c r="B694" s="14"/>
      <c r="C694" s="135" t="s">
        <v>1213</v>
      </c>
      <c r="D694" s="70" t="s">
        <v>347</v>
      </c>
      <c r="E694" s="18">
        <v>34.799999999999997</v>
      </c>
      <c r="F694" s="18">
        <f>1.95+1</f>
        <v>2.95</v>
      </c>
      <c r="G694" s="19">
        <f t="shared" si="105"/>
        <v>102.66</v>
      </c>
      <c r="H694" s="69">
        <v>0</v>
      </c>
      <c r="I694" s="18">
        <v>1</v>
      </c>
      <c r="J694" s="71">
        <f t="shared" si="106"/>
        <v>102.66</v>
      </c>
      <c r="K694" s="73" t="str">
        <f t="shared" si="107"/>
        <v xml:space="preserve"> </v>
      </c>
      <c r="L694" s="398"/>
      <c r="M694" s="403" t="str">
        <f t="shared" si="111"/>
        <v/>
      </c>
      <c r="N694" s="398"/>
      <c r="O694" s="403" t="str">
        <f t="shared" si="112"/>
        <v/>
      </c>
    </row>
    <row r="695" spans="2:15">
      <c r="L695" s="398"/>
      <c r="M695" s="403" t="str">
        <f t="shared" si="111"/>
        <v/>
      </c>
      <c r="N695" s="398"/>
      <c r="O695" s="403" t="str">
        <f t="shared" si="112"/>
        <v/>
      </c>
    </row>
    <row r="696" spans="2:15">
      <c r="B696" s="14" t="s">
        <v>166</v>
      </c>
      <c r="C696" s="1004" t="s">
        <v>165</v>
      </c>
      <c r="D696" s="1004"/>
      <c r="E696" s="1004"/>
      <c r="F696" s="1004"/>
      <c r="G696" s="1004"/>
      <c r="H696" s="1004"/>
      <c r="I696" s="1004"/>
      <c r="J696" s="76">
        <f>SUM(J697:J707)</f>
        <v>399.90600000000006</v>
      </c>
      <c r="K696" s="400">
        <f>SUM(K697:K707)</f>
        <v>1672.962</v>
      </c>
      <c r="L696" s="398"/>
      <c r="M696" s="400">
        <f>SUM(M697:M707)</f>
        <v>711.55799999999999</v>
      </c>
      <c r="N696" s="398"/>
      <c r="O696" s="400">
        <f>SUM(O697:O707)</f>
        <v>0</v>
      </c>
    </row>
    <row r="697" spans="2:15">
      <c r="B697" s="14"/>
      <c r="C697" s="17" t="s">
        <v>579</v>
      </c>
      <c r="D697" s="70" t="s">
        <v>348</v>
      </c>
      <c r="E697" s="18">
        <v>47.1</v>
      </c>
      <c r="F697" s="18">
        <v>2.6</v>
      </c>
      <c r="G697" s="19">
        <f t="shared" ref="G697:G707" si="113">PRODUCT(E697,F697)</f>
        <v>122.46000000000001</v>
      </c>
      <c r="H697" s="69">
        <v>0</v>
      </c>
      <c r="I697" s="18">
        <v>1</v>
      </c>
      <c r="J697" s="71" t="str">
        <f t="shared" ref="J697:J707" si="114">IF(D697="Emboço",G697*I697," ")</f>
        <v xml:space="preserve"> </v>
      </c>
      <c r="K697" s="73">
        <f t="shared" ref="K697:K707" si="115">IF(D697="Reboco",G697*I697," ")</f>
        <v>122.46000000000001</v>
      </c>
      <c r="L697" s="398"/>
      <c r="M697" s="403" t="str">
        <f t="shared" ref="M697:M728" si="116">IF(L697="x",G697,"")</f>
        <v/>
      </c>
      <c r="N697" s="398"/>
      <c r="O697" s="403" t="str">
        <f t="shared" ref="O697:O728" si="117">IF(N697="x",G697,"")</f>
        <v/>
      </c>
    </row>
    <row r="698" spans="2:15">
      <c r="B698" s="14"/>
      <c r="C698" s="17" t="s">
        <v>580</v>
      </c>
      <c r="D698" s="70" t="s">
        <v>348</v>
      </c>
      <c r="E698" s="18">
        <v>70.8</v>
      </c>
      <c r="F698" s="18">
        <v>3.6</v>
      </c>
      <c r="G698" s="19">
        <f t="shared" si="113"/>
        <v>254.88</v>
      </c>
      <c r="H698" s="69">
        <v>0</v>
      </c>
      <c r="I698" s="18">
        <v>1</v>
      </c>
      <c r="J698" s="71" t="str">
        <f t="shared" si="114"/>
        <v xml:space="preserve"> </v>
      </c>
      <c r="K698" s="73">
        <f t="shared" si="115"/>
        <v>254.88</v>
      </c>
      <c r="L698" s="398"/>
      <c r="M698" s="403" t="str">
        <f t="shared" si="116"/>
        <v/>
      </c>
      <c r="N698" s="398"/>
      <c r="O698" s="403" t="str">
        <f t="shared" si="117"/>
        <v/>
      </c>
    </row>
    <row r="699" spans="2:15">
      <c r="B699" s="14"/>
      <c r="C699" s="135" t="s">
        <v>295</v>
      </c>
      <c r="D699" s="70" t="s">
        <v>348</v>
      </c>
      <c r="E699" s="18">
        <f>77.75+68.75</f>
        <v>146.5</v>
      </c>
      <c r="F699" s="18">
        <v>3.6</v>
      </c>
      <c r="G699" s="19">
        <f t="shared" si="113"/>
        <v>527.4</v>
      </c>
      <c r="H699" s="69">
        <v>0</v>
      </c>
      <c r="I699" s="18">
        <v>1</v>
      </c>
      <c r="J699" s="71" t="str">
        <f t="shared" si="114"/>
        <v xml:space="preserve"> </v>
      </c>
      <c r="K699" s="73">
        <f t="shared" si="115"/>
        <v>527.4</v>
      </c>
      <c r="L699" s="398" t="s">
        <v>952</v>
      </c>
      <c r="M699" s="403">
        <f t="shared" si="116"/>
        <v>527.4</v>
      </c>
      <c r="N699" s="398"/>
      <c r="O699" s="403" t="str">
        <f t="shared" si="117"/>
        <v/>
      </c>
    </row>
    <row r="700" spans="2:15">
      <c r="B700" s="14"/>
      <c r="C700" s="135" t="s">
        <v>1214</v>
      </c>
      <c r="D700" s="70" t="s">
        <v>348</v>
      </c>
      <c r="E700" s="18">
        <v>19.100000000000001</v>
      </c>
      <c r="F700" s="18">
        <v>2.6</v>
      </c>
      <c r="G700" s="19">
        <f t="shared" si="113"/>
        <v>49.660000000000004</v>
      </c>
      <c r="H700" s="69">
        <v>0</v>
      </c>
      <c r="I700" s="18">
        <v>2</v>
      </c>
      <c r="J700" s="71" t="str">
        <f t="shared" si="114"/>
        <v xml:space="preserve"> </v>
      </c>
      <c r="K700" s="73">
        <f t="shared" si="115"/>
        <v>99.320000000000007</v>
      </c>
      <c r="L700" s="398" t="s">
        <v>952</v>
      </c>
      <c r="M700" s="403">
        <f t="shared" si="116"/>
        <v>49.660000000000004</v>
      </c>
      <c r="N700" s="398"/>
      <c r="O700" s="403" t="str">
        <f t="shared" si="117"/>
        <v/>
      </c>
    </row>
    <row r="701" spans="2:15">
      <c r="B701" s="14"/>
      <c r="C701" s="135" t="s">
        <v>1215</v>
      </c>
      <c r="D701" s="70" t="s">
        <v>348</v>
      </c>
      <c r="E701" s="18">
        <v>7.44</v>
      </c>
      <c r="F701" s="18">
        <v>2.6</v>
      </c>
      <c r="G701" s="19">
        <f t="shared" si="113"/>
        <v>19.344000000000001</v>
      </c>
      <c r="H701" s="69">
        <v>0</v>
      </c>
      <c r="I701" s="18">
        <v>2</v>
      </c>
      <c r="J701" s="71" t="str">
        <f t="shared" si="114"/>
        <v xml:space="preserve"> </v>
      </c>
      <c r="K701" s="73">
        <f t="shared" si="115"/>
        <v>38.688000000000002</v>
      </c>
      <c r="L701" s="398" t="s">
        <v>952</v>
      </c>
      <c r="M701" s="403">
        <f t="shared" si="116"/>
        <v>19.344000000000001</v>
      </c>
      <c r="N701" s="398"/>
      <c r="O701" s="403" t="str">
        <f t="shared" si="117"/>
        <v/>
      </c>
    </row>
    <row r="702" spans="2:15">
      <c r="B702" s="14"/>
      <c r="C702" s="135" t="s">
        <v>1215</v>
      </c>
      <c r="D702" s="70" t="s">
        <v>348</v>
      </c>
      <c r="E702" s="18">
        <v>7.44</v>
      </c>
      <c r="F702" s="18">
        <v>2.6</v>
      </c>
      <c r="G702" s="19">
        <f t="shared" si="113"/>
        <v>19.344000000000001</v>
      </c>
      <c r="H702" s="69">
        <v>0</v>
      </c>
      <c r="I702" s="18">
        <v>2</v>
      </c>
      <c r="J702" s="71" t="str">
        <f t="shared" si="114"/>
        <v xml:space="preserve"> </v>
      </c>
      <c r="K702" s="73">
        <f t="shared" si="115"/>
        <v>38.688000000000002</v>
      </c>
      <c r="L702" s="398" t="s">
        <v>952</v>
      </c>
      <c r="M702" s="403">
        <f t="shared" si="116"/>
        <v>19.344000000000001</v>
      </c>
      <c r="N702" s="398"/>
      <c r="O702" s="403" t="str">
        <f t="shared" si="117"/>
        <v/>
      </c>
    </row>
    <row r="703" spans="2:15">
      <c r="B703" s="14"/>
      <c r="C703" s="135" t="s">
        <v>1183</v>
      </c>
      <c r="D703" s="70" t="s">
        <v>348</v>
      </c>
      <c r="E703" s="18">
        <v>36.85</v>
      </c>
      <c r="F703" s="18">
        <v>2.6</v>
      </c>
      <c r="G703" s="19">
        <f t="shared" si="113"/>
        <v>95.81</v>
      </c>
      <c r="H703" s="69">
        <v>0</v>
      </c>
      <c r="I703" s="18">
        <v>2</v>
      </c>
      <c r="J703" s="71" t="str">
        <f t="shared" si="114"/>
        <v xml:space="preserve"> </v>
      </c>
      <c r="K703" s="73">
        <f t="shared" si="115"/>
        <v>191.62</v>
      </c>
      <c r="L703" s="398" t="s">
        <v>952</v>
      </c>
      <c r="M703" s="403">
        <f t="shared" si="116"/>
        <v>95.81</v>
      </c>
      <c r="N703" s="398"/>
      <c r="O703" s="403" t="str">
        <f t="shared" si="117"/>
        <v/>
      </c>
    </row>
    <row r="704" spans="2:15">
      <c r="B704" s="14"/>
      <c r="C704" s="135" t="s">
        <v>1216</v>
      </c>
      <c r="D704" s="70" t="s">
        <v>347</v>
      </c>
      <c r="E704" s="18">
        <v>108.45</v>
      </c>
      <c r="F704" s="18">
        <v>2.6</v>
      </c>
      <c r="G704" s="19">
        <f>PRODUCT(E704,F704)</f>
        <v>281.97000000000003</v>
      </c>
      <c r="H704" s="69">
        <v>0</v>
      </c>
      <c r="I704" s="18">
        <v>1</v>
      </c>
      <c r="J704" s="71">
        <f t="shared" si="114"/>
        <v>281.97000000000003</v>
      </c>
      <c r="K704" s="73" t="str">
        <f t="shared" si="115"/>
        <v xml:space="preserve"> </v>
      </c>
      <c r="L704" s="398"/>
      <c r="M704" s="403" t="str">
        <f t="shared" si="116"/>
        <v/>
      </c>
      <c r="N704" s="398"/>
      <c r="O704" s="403" t="str">
        <f t="shared" si="117"/>
        <v/>
      </c>
    </row>
    <row r="705" spans="2:15">
      <c r="B705" s="14"/>
      <c r="C705" s="135" t="s">
        <v>1216</v>
      </c>
      <c r="D705" s="70" t="s">
        <v>348</v>
      </c>
      <c r="E705" s="18">
        <v>108.45</v>
      </c>
      <c r="F705" s="18">
        <v>2.6</v>
      </c>
      <c r="G705" s="19">
        <f>PRODUCT(E705,F705)</f>
        <v>281.97000000000003</v>
      </c>
      <c r="H705" s="69">
        <v>0</v>
      </c>
      <c r="I705" s="18">
        <v>1</v>
      </c>
      <c r="J705" s="71" t="str">
        <f t="shared" si="114"/>
        <v xml:space="preserve"> </v>
      </c>
      <c r="K705" s="73">
        <f t="shared" si="115"/>
        <v>281.97000000000003</v>
      </c>
      <c r="L705" s="398"/>
      <c r="M705" s="403" t="str">
        <f t="shared" si="116"/>
        <v/>
      </c>
      <c r="N705" s="398"/>
      <c r="O705" s="403" t="str">
        <f t="shared" si="117"/>
        <v/>
      </c>
    </row>
    <row r="706" spans="2:15">
      <c r="B706" s="14"/>
      <c r="C706" s="135" t="s">
        <v>1217</v>
      </c>
      <c r="D706" s="70" t="s">
        <v>347</v>
      </c>
      <c r="E706" s="18">
        <v>45.36</v>
      </c>
      <c r="F706" s="18">
        <v>2.6</v>
      </c>
      <c r="G706" s="19">
        <f t="shared" si="113"/>
        <v>117.93600000000001</v>
      </c>
      <c r="H706" s="69">
        <v>0</v>
      </c>
      <c r="I706" s="18">
        <v>1</v>
      </c>
      <c r="J706" s="71">
        <f t="shared" si="114"/>
        <v>117.93600000000001</v>
      </c>
      <c r="K706" s="73" t="str">
        <f t="shared" si="115"/>
        <v xml:space="preserve"> </v>
      </c>
      <c r="L706" s="398"/>
      <c r="M706" s="403" t="str">
        <f t="shared" si="116"/>
        <v/>
      </c>
      <c r="N706" s="398"/>
      <c r="O706" s="403" t="str">
        <f t="shared" si="117"/>
        <v/>
      </c>
    </row>
    <row r="707" spans="2:15">
      <c r="B707" s="14"/>
      <c r="C707" s="135" t="s">
        <v>1217</v>
      </c>
      <c r="D707" s="70" t="s">
        <v>348</v>
      </c>
      <c r="E707" s="18">
        <v>45.36</v>
      </c>
      <c r="F707" s="18">
        <v>2.6</v>
      </c>
      <c r="G707" s="19">
        <f t="shared" si="113"/>
        <v>117.93600000000001</v>
      </c>
      <c r="H707" s="69">
        <v>0</v>
      </c>
      <c r="I707" s="18">
        <v>1</v>
      </c>
      <c r="J707" s="71" t="str">
        <f t="shared" si="114"/>
        <v xml:space="preserve"> </v>
      </c>
      <c r="K707" s="73">
        <f t="shared" si="115"/>
        <v>117.93600000000001</v>
      </c>
      <c r="L707" s="398"/>
      <c r="M707" s="403" t="str">
        <f t="shared" si="116"/>
        <v/>
      </c>
      <c r="N707" s="398"/>
      <c r="O707" s="403" t="str">
        <f t="shared" si="117"/>
        <v/>
      </c>
    </row>
    <row r="708" spans="2:15">
      <c r="L708" s="398"/>
      <c r="M708" s="403" t="str">
        <f t="shared" si="116"/>
        <v/>
      </c>
      <c r="N708" s="398"/>
      <c r="O708" s="403" t="str">
        <f t="shared" si="117"/>
        <v/>
      </c>
    </row>
    <row r="709" spans="2:15">
      <c r="L709" s="398"/>
      <c r="M709" s="403" t="str">
        <f t="shared" si="116"/>
        <v/>
      </c>
      <c r="N709" s="398"/>
      <c r="O709" s="403" t="str">
        <f t="shared" si="117"/>
        <v/>
      </c>
    </row>
    <row r="710" spans="2:15">
      <c r="L710" s="398"/>
      <c r="M710" s="403" t="str">
        <f t="shared" si="116"/>
        <v/>
      </c>
      <c r="N710" s="398"/>
      <c r="O710" s="403" t="str">
        <f t="shared" si="117"/>
        <v/>
      </c>
    </row>
    <row r="711" spans="2:15">
      <c r="L711" s="398"/>
      <c r="M711" s="403" t="str">
        <f t="shared" si="116"/>
        <v/>
      </c>
      <c r="N711" s="398"/>
      <c r="O711" s="403" t="str">
        <f t="shared" si="117"/>
        <v/>
      </c>
    </row>
    <row r="712" spans="2:15">
      <c r="L712" s="398"/>
      <c r="M712" s="403" t="str">
        <f t="shared" si="116"/>
        <v/>
      </c>
      <c r="N712" s="398"/>
      <c r="O712" s="403" t="str">
        <f t="shared" si="117"/>
        <v/>
      </c>
    </row>
    <row r="713" spans="2:15">
      <c r="L713" s="398"/>
      <c r="M713" s="403" t="str">
        <f t="shared" si="116"/>
        <v/>
      </c>
      <c r="N713" s="398"/>
      <c r="O713" s="403" t="str">
        <f t="shared" si="117"/>
        <v/>
      </c>
    </row>
    <row r="714" spans="2:15">
      <c r="C714" s="261" t="s">
        <v>2081</v>
      </c>
      <c r="L714" s="398"/>
      <c r="M714" s="403" t="str">
        <f t="shared" si="116"/>
        <v/>
      </c>
      <c r="N714" s="398"/>
      <c r="O714" s="403" t="str">
        <f t="shared" si="117"/>
        <v/>
      </c>
    </row>
    <row r="715" spans="2:15">
      <c r="C715" s="17" t="s">
        <v>1174</v>
      </c>
      <c r="D715" s="143">
        <f>SUMIF($C$65:$C$707,C715,$J$65:$J$707)</f>
        <v>617.04</v>
      </c>
      <c r="K715" s="143">
        <f t="shared" ref="K715:K749" si="118">SUMIF($C$65:$C$707,C715,$K$65:$K$707)</f>
        <v>0</v>
      </c>
      <c r="L715" s="398"/>
      <c r="M715" s="403" t="str">
        <f t="shared" si="116"/>
        <v/>
      </c>
      <c r="N715" s="398"/>
      <c r="O715" s="403" t="str">
        <f t="shared" si="117"/>
        <v/>
      </c>
    </row>
    <row r="716" spans="2:15">
      <c r="C716" s="135" t="s">
        <v>1217</v>
      </c>
      <c r="D716" s="143">
        <f t="shared" ref="D716:D748" si="119">SUMIF($C$65:$C$707,C716,$J$65:$J$707)</f>
        <v>117.93600000000001</v>
      </c>
      <c r="K716" s="143">
        <f t="shared" si="118"/>
        <v>117.93600000000001</v>
      </c>
      <c r="L716" s="398"/>
      <c r="M716" s="403" t="str">
        <f t="shared" si="116"/>
        <v/>
      </c>
      <c r="N716" s="398"/>
      <c r="O716" s="403" t="str">
        <f t="shared" si="117"/>
        <v/>
      </c>
    </row>
    <row r="717" spans="2:15">
      <c r="C717" s="135" t="s">
        <v>1216</v>
      </c>
      <c r="D717" s="143">
        <f t="shared" si="119"/>
        <v>281.97000000000003</v>
      </c>
      <c r="K717" s="143">
        <f t="shared" si="118"/>
        <v>281.97000000000003</v>
      </c>
      <c r="L717" s="398"/>
      <c r="M717" s="403" t="str">
        <f t="shared" si="116"/>
        <v/>
      </c>
      <c r="N717" s="398"/>
      <c r="O717" s="403" t="str">
        <f t="shared" si="117"/>
        <v/>
      </c>
    </row>
    <row r="718" spans="2:15">
      <c r="C718" s="17" t="s">
        <v>1159</v>
      </c>
      <c r="D718" s="143">
        <f t="shared" si="119"/>
        <v>0</v>
      </c>
      <c r="K718" s="143">
        <f t="shared" si="118"/>
        <v>264.15000000000003</v>
      </c>
      <c r="L718" s="398"/>
      <c r="M718" s="403" t="str">
        <f t="shared" si="116"/>
        <v/>
      </c>
      <c r="N718" s="398"/>
      <c r="O718" s="403" t="str">
        <f t="shared" si="117"/>
        <v/>
      </c>
    </row>
    <row r="719" spans="2:15">
      <c r="C719" s="17" t="s">
        <v>1160</v>
      </c>
      <c r="D719" s="143">
        <f t="shared" si="119"/>
        <v>0</v>
      </c>
      <c r="K719" s="143">
        <f t="shared" si="118"/>
        <v>1199.4750000000001</v>
      </c>
      <c r="L719" s="398"/>
      <c r="M719" s="403" t="str">
        <f t="shared" si="116"/>
        <v/>
      </c>
      <c r="N719" s="398"/>
      <c r="O719" s="403" t="str">
        <f t="shared" si="117"/>
        <v/>
      </c>
    </row>
    <row r="720" spans="2:15">
      <c r="C720" s="17" t="s">
        <v>1175</v>
      </c>
      <c r="D720" s="143">
        <f t="shared" si="119"/>
        <v>132.29999999999998</v>
      </c>
      <c r="K720" s="143">
        <f t="shared" si="118"/>
        <v>0</v>
      </c>
      <c r="L720" s="398"/>
      <c r="M720" s="403" t="str">
        <f t="shared" si="116"/>
        <v/>
      </c>
      <c r="N720" s="398"/>
      <c r="O720" s="403" t="str">
        <f t="shared" si="117"/>
        <v/>
      </c>
    </row>
    <row r="721" spans="3:15">
      <c r="C721" s="17" t="s">
        <v>1176</v>
      </c>
      <c r="D721" s="143">
        <f t="shared" si="119"/>
        <v>185.77500000000001</v>
      </c>
      <c r="K721" s="143">
        <f t="shared" si="118"/>
        <v>0</v>
      </c>
      <c r="L721" s="398"/>
      <c r="M721" s="403" t="str">
        <f t="shared" si="116"/>
        <v/>
      </c>
      <c r="N721" s="398"/>
      <c r="O721" s="403" t="str">
        <f t="shared" si="117"/>
        <v/>
      </c>
    </row>
    <row r="722" spans="3:15">
      <c r="C722" s="17" t="s">
        <v>1177</v>
      </c>
      <c r="D722" s="143">
        <f t="shared" si="119"/>
        <v>364.36</v>
      </c>
      <c r="K722" s="143">
        <f t="shared" si="118"/>
        <v>0</v>
      </c>
      <c r="L722" s="398"/>
      <c r="M722" s="403" t="str">
        <f t="shared" si="116"/>
        <v/>
      </c>
      <c r="N722" s="398"/>
      <c r="O722" s="403" t="str">
        <f t="shared" si="117"/>
        <v/>
      </c>
    </row>
    <row r="723" spans="3:15">
      <c r="C723" s="17" t="s">
        <v>1178</v>
      </c>
      <c r="D723" s="143">
        <f t="shared" si="119"/>
        <v>340.55</v>
      </c>
      <c r="K723" s="143">
        <f t="shared" si="118"/>
        <v>0</v>
      </c>
      <c r="L723" s="398"/>
      <c r="M723" s="403" t="str">
        <f t="shared" si="116"/>
        <v/>
      </c>
      <c r="N723" s="398"/>
      <c r="O723" s="403" t="str">
        <f t="shared" si="117"/>
        <v/>
      </c>
    </row>
    <row r="724" spans="3:15">
      <c r="C724" s="17" t="s">
        <v>1179</v>
      </c>
      <c r="D724" s="143">
        <f t="shared" si="119"/>
        <v>185.32500000000002</v>
      </c>
      <c r="K724" s="143">
        <f t="shared" si="118"/>
        <v>0</v>
      </c>
      <c r="L724" s="398"/>
      <c r="M724" s="403" t="str">
        <f t="shared" si="116"/>
        <v/>
      </c>
      <c r="N724" s="398"/>
      <c r="O724" s="403" t="str">
        <f t="shared" si="117"/>
        <v/>
      </c>
    </row>
    <row r="725" spans="3:15">
      <c r="C725" s="26" t="s">
        <v>1188</v>
      </c>
      <c r="D725" s="143">
        <f t="shared" si="119"/>
        <v>114.3125</v>
      </c>
      <c r="K725" s="143">
        <f t="shared" si="118"/>
        <v>0</v>
      </c>
      <c r="L725" s="398"/>
      <c r="M725" s="403" t="str">
        <f t="shared" si="116"/>
        <v/>
      </c>
      <c r="N725" s="398"/>
      <c r="O725" s="403" t="str">
        <f t="shared" si="117"/>
        <v/>
      </c>
    </row>
    <row r="726" spans="3:15">
      <c r="C726" s="26" t="s">
        <v>1187</v>
      </c>
      <c r="D726" s="143">
        <f t="shared" si="119"/>
        <v>230.04000000000002</v>
      </c>
      <c r="K726" s="143">
        <f t="shared" si="118"/>
        <v>0</v>
      </c>
      <c r="L726" s="398"/>
      <c r="M726" s="403" t="str">
        <f t="shared" si="116"/>
        <v/>
      </c>
      <c r="N726" s="398"/>
      <c r="O726" s="403" t="str">
        <f t="shared" si="117"/>
        <v/>
      </c>
    </row>
    <row r="727" spans="3:15">
      <c r="C727" s="26" t="s">
        <v>1186</v>
      </c>
      <c r="D727" s="143">
        <f t="shared" si="119"/>
        <v>142.77500000000001</v>
      </c>
      <c r="K727" s="143">
        <f t="shared" si="118"/>
        <v>0</v>
      </c>
      <c r="L727" s="398"/>
      <c r="M727" s="403" t="str">
        <f t="shared" si="116"/>
        <v/>
      </c>
      <c r="N727" s="398"/>
      <c r="O727" s="403" t="str">
        <f t="shared" si="117"/>
        <v/>
      </c>
    </row>
    <row r="728" spans="3:15">
      <c r="C728" s="26" t="s">
        <v>1189</v>
      </c>
      <c r="D728" s="143">
        <f t="shared" si="119"/>
        <v>169.97750000000002</v>
      </c>
      <c r="K728" s="143">
        <f t="shared" si="118"/>
        <v>0</v>
      </c>
      <c r="L728" s="398"/>
      <c r="M728" s="403" t="str">
        <f t="shared" si="116"/>
        <v/>
      </c>
      <c r="N728" s="398"/>
      <c r="O728" s="403" t="str">
        <f t="shared" si="117"/>
        <v/>
      </c>
    </row>
    <row r="729" spans="3:15">
      <c r="C729" s="135" t="s">
        <v>1192</v>
      </c>
      <c r="D729" s="143">
        <f t="shared" si="119"/>
        <v>114.3125</v>
      </c>
      <c r="K729" s="143">
        <f t="shared" si="118"/>
        <v>0</v>
      </c>
      <c r="L729" s="398"/>
      <c r="M729" s="403" t="str">
        <f t="shared" ref="M729:M750" si="120">IF(L729="x",G729,"")</f>
        <v/>
      </c>
      <c r="N729" s="398"/>
      <c r="O729" s="403" t="str">
        <f t="shared" ref="O729:O750" si="121">IF(N729="x",G729,"")</f>
        <v/>
      </c>
    </row>
    <row r="730" spans="3:15">
      <c r="C730" s="135" t="s">
        <v>1191</v>
      </c>
      <c r="D730" s="143">
        <f t="shared" si="119"/>
        <v>230.04000000000002</v>
      </c>
      <c r="K730" s="143">
        <f t="shared" si="118"/>
        <v>0</v>
      </c>
      <c r="L730" s="398"/>
      <c r="M730" s="403" t="str">
        <f t="shared" si="120"/>
        <v/>
      </c>
      <c r="N730" s="398"/>
      <c r="O730" s="403" t="str">
        <f t="shared" si="121"/>
        <v/>
      </c>
    </row>
    <row r="731" spans="3:15">
      <c r="C731" s="135" t="s">
        <v>1190</v>
      </c>
      <c r="D731" s="143">
        <f t="shared" si="119"/>
        <v>142.77500000000001</v>
      </c>
      <c r="K731" s="143">
        <f t="shared" si="118"/>
        <v>0</v>
      </c>
      <c r="L731" s="398"/>
      <c r="M731" s="403" t="str">
        <f t="shared" si="120"/>
        <v/>
      </c>
      <c r="N731" s="398"/>
      <c r="O731" s="403" t="str">
        <f t="shared" si="121"/>
        <v/>
      </c>
    </row>
    <row r="732" spans="3:15">
      <c r="C732" s="135" t="s">
        <v>1193</v>
      </c>
      <c r="D732" s="143">
        <f t="shared" si="119"/>
        <v>166.33500000000001</v>
      </c>
      <c r="K732" s="143">
        <f t="shared" si="118"/>
        <v>0</v>
      </c>
      <c r="L732" s="398"/>
      <c r="M732" s="403" t="str">
        <f t="shared" si="120"/>
        <v/>
      </c>
      <c r="N732" s="398"/>
      <c r="O732" s="403" t="str">
        <f t="shared" si="121"/>
        <v/>
      </c>
    </row>
    <row r="733" spans="3:15">
      <c r="C733" s="135" t="s">
        <v>1196</v>
      </c>
      <c r="D733" s="143">
        <f t="shared" si="119"/>
        <v>114.3125</v>
      </c>
      <c r="K733" s="143">
        <f t="shared" si="118"/>
        <v>0</v>
      </c>
      <c r="L733" s="398"/>
      <c r="M733" s="403" t="str">
        <f t="shared" si="120"/>
        <v/>
      </c>
      <c r="N733" s="398"/>
      <c r="O733" s="403" t="str">
        <f t="shared" si="121"/>
        <v/>
      </c>
    </row>
    <row r="734" spans="3:15">
      <c r="C734" s="135" t="s">
        <v>1195</v>
      </c>
      <c r="D734" s="143">
        <f t="shared" si="119"/>
        <v>230.04000000000002</v>
      </c>
      <c r="K734" s="143">
        <f t="shared" si="118"/>
        <v>0</v>
      </c>
      <c r="L734" s="398"/>
      <c r="M734" s="403" t="str">
        <f t="shared" si="120"/>
        <v/>
      </c>
      <c r="N734" s="398"/>
      <c r="O734" s="403" t="str">
        <f t="shared" si="121"/>
        <v/>
      </c>
    </row>
    <row r="735" spans="3:15">
      <c r="C735" s="135" t="s">
        <v>1194</v>
      </c>
      <c r="D735" s="143">
        <f t="shared" si="119"/>
        <v>142.77500000000001</v>
      </c>
      <c r="K735" s="143">
        <f t="shared" si="118"/>
        <v>0</v>
      </c>
      <c r="L735" s="398"/>
      <c r="M735" s="403" t="str">
        <f t="shared" si="120"/>
        <v/>
      </c>
      <c r="N735" s="398"/>
      <c r="O735" s="403" t="str">
        <f t="shared" si="121"/>
        <v/>
      </c>
    </row>
    <row r="736" spans="3:15">
      <c r="C736" s="135" t="s">
        <v>1197</v>
      </c>
      <c r="D736" s="143">
        <f t="shared" si="119"/>
        <v>166.33500000000001</v>
      </c>
      <c r="K736" s="143">
        <f t="shared" si="118"/>
        <v>0</v>
      </c>
      <c r="L736" s="398"/>
      <c r="M736" s="403" t="str">
        <f t="shared" si="120"/>
        <v/>
      </c>
      <c r="N736" s="398"/>
      <c r="O736" s="403" t="str">
        <f t="shared" si="121"/>
        <v/>
      </c>
    </row>
    <row r="737" spans="3:15">
      <c r="C737" s="135" t="s">
        <v>1202</v>
      </c>
      <c r="D737" s="143">
        <f t="shared" si="119"/>
        <v>114.3125</v>
      </c>
      <c r="K737" s="143">
        <f t="shared" si="118"/>
        <v>0</v>
      </c>
      <c r="L737" s="398"/>
      <c r="M737" s="403" t="str">
        <f t="shared" si="120"/>
        <v/>
      </c>
      <c r="N737" s="398"/>
      <c r="O737" s="403" t="str">
        <f t="shared" si="121"/>
        <v/>
      </c>
    </row>
    <row r="738" spans="3:15">
      <c r="C738" s="135" t="s">
        <v>1201</v>
      </c>
      <c r="D738" s="143">
        <f t="shared" si="119"/>
        <v>230.04000000000002</v>
      </c>
      <c r="K738" s="143">
        <f t="shared" si="118"/>
        <v>0</v>
      </c>
      <c r="L738" s="398"/>
      <c r="M738" s="403" t="str">
        <f t="shared" si="120"/>
        <v/>
      </c>
      <c r="N738" s="398"/>
      <c r="O738" s="403" t="str">
        <f t="shared" si="121"/>
        <v/>
      </c>
    </row>
    <row r="739" spans="3:15">
      <c r="C739" s="135" t="s">
        <v>1200</v>
      </c>
      <c r="D739" s="143">
        <f t="shared" si="119"/>
        <v>142.77500000000001</v>
      </c>
      <c r="K739" s="143">
        <f t="shared" si="118"/>
        <v>0</v>
      </c>
      <c r="L739" s="398"/>
      <c r="M739" s="403" t="str">
        <f t="shared" si="120"/>
        <v/>
      </c>
      <c r="N739" s="398"/>
      <c r="O739" s="403" t="str">
        <f t="shared" si="121"/>
        <v/>
      </c>
    </row>
    <row r="740" spans="3:15">
      <c r="C740" s="135" t="s">
        <v>1203</v>
      </c>
      <c r="D740" s="143">
        <f t="shared" si="119"/>
        <v>166.33500000000001</v>
      </c>
      <c r="K740" s="143">
        <f t="shared" si="118"/>
        <v>0</v>
      </c>
      <c r="L740" s="398"/>
      <c r="M740" s="403" t="str">
        <f t="shared" si="120"/>
        <v/>
      </c>
      <c r="N740" s="398"/>
      <c r="O740" s="403" t="str">
        <f t="shared" si="121"/>
        <v/>
      </c>
    </row>
    <row r="741" spans="3:15">
      <c r="C741" s="135" t="s">
        <v>1204</v>
      </c>
      <c r="D741" s="143">
        <f t="shared" si="119"/>
        <v>142.77500000000001</v>
      </c>
      <c r="K741" s="143">
        <f t="shared" si="118"/>
        <v>0</v>
      </c>
      <c r="L741" s="398"/>
      <c r="M741" s="403" t="str">
        <f t="shared" si="120"/>
        <v/>
      </c>
      <c r="N741" s="398"/>
      <c r="O741" s="403" t="str">
        <f t="shared" si="121"/>
        <v/>
      </c>
    </row>
    <row r="742" spans="3:15">
      <c r="C742" s="135" t="s">
        <v>1206</v>
      </c>
      <c r="D742" s="143">
        <f t="shared" si="119"/>
        <v>114.3125</v>
      </c>
      <c r="K742" s="143">
        <f t="shared" si="118"/>
        <v>0</v>
      </c>
      <c r="L742" s="398"/>
      <c r="M742" s="403" t="str">
        <f t="shared" si="120"/>
        <v/>
      </c>
      <c r="N742" s="398"/>
      <c r="O742" s="403" t="str">
        <f t="shared" si="121"/>
        <v/>
      </c>
    </row>
    <row r="743" spans="3:15">
      <c r="C743" s="135" t="s">
        <v>1205</v>
      </c>
      <c r="D743" s="143">
        <f t="shared" si="119"/>
        <v>230.04000000000002</v>
      </c>
      <c r="K743" s="143">
        <f t="shared" si="118"/>
        <v>0</v>
      </c>
      <c r="L743" s="398"/>
      <c r="M743" s="403" t="str">
        <f t="shared" si="120"/>
        <v/>
      </c>
      <c r="N743" s="398"/>
      <c r="O743" s="403" t="str">
        <f t="shared" si="121"/>
        <v/>
      </c>
    </row>
    <row r="744" spans="3:15">
      <c r="C744" s="135" t="s">
        <v>1207</v>
      </c>
      <c r="D744" s="143">
        <f t="shared" si="119"/>
        <v>166.33500000000001</v>
      </c>
      <c r="K744" s="143">
        <f t="shared" si="118"/>
        <v>0</v>
      </c>
      <c r="L744" s="398"/>
      <c r="M744" s="403" t="str">
        <f t="shared" si="120"/>
        <v/>
      </c>
      <c r="N744" s="398"/>
      <c r="O744" s="403" t="str">
        <f t="shared" si="121"/>
        <v/>
      </c>
    </row>
    <row r="745" spans="3:15">
      <c r="C745" s="135" t="s">
        <v>1212</v>
      </c>
      <c r="D745" s="143">
        <f t="shared" si="119"/>
        <v>114.3125</v>
      </c>
      <c r="K745" s="143">
        <f t="shared" si="118"/>
        <v>0</v>
      </c>
      <c r="L745" s="398"/>
      <c r="M745" s="403" t="str">
        <f t="shared" si="120"/>
        <v/>
      </c>
      <c r="N745" s="398"/>
      <c r="O745" s="403" t="str">
        <f t="shared" si="121"/>
        <v/>
      </c>
    </row>
    <row r="746" spans="3:15">
      <c r="C746" s="135" t="s">
        <v>1211</v>
      </c>
      <c r="D746" s="143">
        <f t="shared" si="119"/>
        <v>230.04000000000002</v>
      </c>
      <c r="K746" s="143">
        <f t="shared" si="118"/>
        <v>0</v>
      </c>
      <c r="L746" s="398"/>
      <c r="M746" s="403" t="str">
        <f t="shared" si="120"/>
        <v/>
      </c>
      <c r="N746" s="398"/>
      <c r="O746" s="403" t="str">
        <f t="shared" si="121"/>
        <v/>
      </c>
    </row>
    <row r="747" spans="3:15">
      <c r="C747" s="135" t="s">
        <v>1210</v>
      </c>
      <c r="D747" s="143">
        <f t="shared" si="119"/>
        <v>142.77500000000001</v>
      </c>
      <c r="K747" s="143">
        <f t="shared" si="118"/>
        <v>0</v>
      </c>
      <c r="L747" s="398"/>
      <c r="M747" s="403" t="str">
        <f t="shared" si="120"/>
        <v/>
      </c>
      <c r="N747" s="398"/>
      <c r="O747" s="403" t="str">
        <f t="shared" si="121"/>
        <v/>
      </c>
    </row>
    <row r="748" spans="3:15">
      <c r="C748" s="135" t="s">
        <v>1213</v>
      </c>
      <c r="D748" s="143">
        <f t="shared" si="119"/>
        <v>166.33500000000001</v>
      </c>
      <c r="K748" s="143">
        <f t="shared" si="118"/>
        <v>0</v>
      </c>
      <c r="L748" s="398"/>
      <c r="M748" s="403" t="str">
        <f t="shared" si="120"/>
        <v/>
      </c>
      <c r="N748" s="398"/>
      <c r="O748" s="403" t="str">
        <f t="shared" si="121"/>
        <v/>
      </c>
    </row>
    <row r="749" spans="3:15">
      <c r="C749" s="229" t="s">
        <v>1442</v>
      </c>
      <c r="D749" s="230">
        <f>SUM(D715:D748)</f>
        <v>6149.673499999999</v>
      </c>
      <c r="K749" s="143">
        <f t="shared" si="118"/>
        <v>0</v>
      </c>
      <c r="L749" s="398"/>
      <c r="M749" s="403" t="str">
        <f t="shared" si="120"/>
        <v/>
      </c>
      <c r="N749" s="398"/>
      <c r="O749" s="403" t="str">
        <f t="shared" si="121"/>
        <v/>
      </c>
    </row>
    <row r="750" spans="3:15">
      <c r="L750" s="398"/>
      <c r="M750" s="403" t="str">
        <f t="shared" si="120"/>
        <v/>
      </c>
      <c r="N750" s="398"/>
      <c r="O750" s="403" t="str">
        <f t="shared" si="121"/>
        <v/>
      </c>
    </row>
  </sheetData>
  <sortState ref="C707:C772">
    <sortCondition ref="C707"/>
  </sortState>
  <mergeCells count="22">
    <mergeCell ref="C642:I642"/>
    <mergeCell ref="C696:I696"/>
    <mergeCell ref="C337:I337"/>
    <mergeCell ref="C410:I410"/>
    <mergeCell ref="C473:I473"/>
    <mergeCell ref="C560:I560"/>
    <mergeCell ref="C638:I638"/>
    <mergeCell ref="C64:I64"/>
    <mergeCell ref="C135:I135"/>
    <mergeCell ref="C145:I145"/>
    <mergeCell ref="L62:M62"/>
    <mergeCell ref="C640:I640"/>
    <mergeCell ref="C157:I157"/>
    <mergeCell ref="C186:I186"/>
    <mergeCell ref="C223:I223"/>
    <mergeCell ref="C244:I244"/>
    <mergeCell ref="C254:I254"/>
    <mergeCell ref="N62:O62"/>
    <mergeCell ref="L27:M27"/>
    <mergeCell ref="N27:O27"/>
    <mergeCell ref="B3:K3"/>
    <mergeCell ref="B27:I27"/>
  </mergeCells>
  <dataValidations disablePrompts="1" count="1">
    <dataValidation type="list" allowBlank="1" showInputMessage="1" showErrorMessage="1" sqref="D65:D133 D136:D143 D146:D155 D158:D184 D187:D221 D224:D242 D245:D252 D338:D408 D561:D636 D255:D335 D474:D558 D411:D471 D643:D694 D697:D707">
      <formula1>"Emboço,Reboco"</formula1>
    </dataValidation>
  </dataValidations>
  <printOptions horizontalCentered="1"/>
  <pageMargins left="0.51181102362204722" right="0.51181102362204722" top="0.78740157480314965" bottom="0.78740157480314965" header="0.31496062992125984" footer="0.31496062992125984"/>
  <pageSetup paperSize="9" scale="50" orientation="landscape" r:id="rId1"/>
</worksheet>
</file>

<file path=xl/worksheets/sheet7.xml><?xml version="1.0" encoding="utf-8"?>
<worksheet xmlns="http://schemas.openxmlformats.org/spreadsheetml/2006/main" xmlns:r="http://schemas.openxmlformats.org/officeDocument/2006/relationships">
  <sheetPr>
    <pageSetUpPr fitToPage="1"/>
  </sheetPr>
  <dimension ref="C2:H35"/>
  <sheetViews>
    <sheetView workbookViewId="0"/>
  </sheetViews>
  <sheetFormatPr defaultRowHeight="15.6"/>
  <cols>
    <col min="3" max="3" width="39.69921875" bestFit="1" customWidth="1"/>
    <col min="4" max="4" width="11.3984375" customWidth="1"/>
    <col min="5" max="5" width="26.59765625" bestFit="1" customWidth="1"/>
    <col min="7" max="7" width="39.5" bestFit="1" customWidth="1"/>
  </cols>
  <sheetData>
    <row r="2" spans="3:8" ht="18">
      <c r="C2" s="1039" t="s">
        <v>595</v>
      </c>
      <c r="D2" s="1039"/>
      <c r="E2" s="1039"/>
    </row>
    <row r="4" spans="3:8">
      <c r="C4" s="89" t="s">
        <v>583</v>
      </c>
      <c r="D4" s="90" t="s">
        <v>584</v>
      </c>
      <c r="E4" s="90" t="s">
        <v>585</v>
      </c>
    </row>
    <row r="5" spans="3:8">
      <c r="C5" s="88" t="s">
        <v>586</v>
      </c>
      <c r="D5" s="91">
        <f>1316.17-72.76</f>
        <v>1243.4100000000001</v>
      </c>
      <c r="E5" s="88" t="s">
        <v>594</v>
      </c>
    </row>
    <row r="6" spans="3:8">
      <c r="C6" s="88" t="s">
        <v>587</v>
      </c>
      <c r="D6" s="91"/>
      <c r="E6" s="88" t="s">
        <v>593</v>
      </c>
    </row>
    <row r="7" spans="3:8">
      <c r="C7" s="88" t="s">
        <v>588</v>
      </c>
      <c r="D7" s="91">
        <v>120.17</v>
      </c>
      <c r="E7" s="88" t="s">
        <v>594</v>
      </c>
    </row>
    <row r="8" spans="3:8">
      <c r="C8" s="88" t="s">
        <v>589</v>
      </c>
      <c r="D8" s="91">
        <v>353.49</v>
      </c>
      <c r="E8" s="88" t="s">
        <v>596</v>
      </c>
    </row>
    <row r="9" spans="3:8">
      <c r="C9" s="88" t="s">
        <v>590</v>
      </c>
      <c r="D9" s="91">
        <f>296.87+37.1</f>
        <v>333.97</v>
      </c>
      <c r="E9" s="88" t="s">
        <v>594</v>
      </c>
    </row>
    <row r="10" spans="3:8">
      <c r="C10" s="88" t="s">
        <v>591</v>
      </c>
      <c r="D10" s="91">
        <f>247.28+242.91</f>
        <v>490.19</v>
      </c>
      <c r="E10" s="88" t="s">
        <v>594</v>
      </c>
    </row>
    <row r="11" spans="3:8">
      <c r="C11" s="88" t="s">
        <v>592</v>
      </c>
      <c r="D11" s="91">
        <v>161.41999999999999</v>
      </c>
      <c r="E11" s="88" t="s">
        <v>594</v>
      </c>
    </row>
    <row r="12" spans="3:8">
      <c r="C12" s="88" t="s">
        <v>2469</v>
      </c>
      <c r="D12" s="91"/>
      <c r="E12" s="88"/>
    </row>
    <row r="13" spans="3:8">
      <c r="C13" s="89" t="s">
        <v>9</v>
      </c>
      <c r="D13" s="94">
        <f>SUM(D5:D11)</f>
        <v>2702.65</v>
      </c>
      <c r="E13" s="89"/>
    </row>
    <row r="15" spans="3:8" ht="18">
      <c r="C15" s="1040" t="s">
        <v>1054</v>
      </c>
      <c r="D15" s="1040"/>
      <c r="E15" s="110"/>
      <c r="G15" s="1040" t="s">
        <v>1056</v>
      </c>
      <c r="H15" s="1040"/>
    </row>
    <row r="16" spans="3:8">
      <c r="C16" s="89" t="s">
        <v>583</v>
      </c>
      <c r="D16" s="90" t="s">
        <v>217</v>
      </c>
      <c r="G16" s="89" t="s">
        <v>583</v>
      </c>
      <c r="H16" s="90" t="s">
        <v>217</v>
      </c>
    </row>
    <row r="17" spans="3:8">
      <c r="C17" s="88" t="s">
        <v>586</v>
      </c>
      <c r="D17" s="91">
        <f>33.5*4+39.3</f>
        <v>173.3</v>
      </c>
      <c r="G17" s="88" t="s">
        <v>586</v>
      </c>
      <c r="H17" s="91">
        <f>39.3+5.3+5.3</f>
        <v>49.899999999999991</v>
      </c>
    </row>
    <row r="18" spans="3:8">
      <c r="C18" s="88" t="s">
        <v>1441</v>
      </c>
      <c r="D18" s="91">
        <f>12.25+11.68+3.45+18.85+7.38</f>
        <v>53.610000000000007</v>
      </c>
      <c r="G18" s="88"/>
      <c r="H18" s="91"/>
    </row>
    <row r="19" spans="3:8">
      <c r="C19" s="88" t="s">
        <v>587</v>
      </c>
      <c r="D19" s="91"/>
      <c r="G19" s="88" t="s">
        <v>587</v>
      </c>
      <c r="H19" s="91"/>
    </row>
    <row r="20" spans="3:8">
      <c r="C20" s="88" t="s">
        <v>588</v>
      </c>
      <c r="D20" s="91">
        <v>11.1</v>
      </c>
      <c r="G20" s="88" t="s">
        <v>588</v>
      </c>
      <c r="H20" s="91">
        <v>42.56</v>
      </c>
    </row>
    <row r="21" spans="3:8">
      <c r="C21" s="88" t="s">
        <v>589</v>
      </c>
      <c r="D21" s="91">
        <v>28.08</v>
      </c>
      <c r="G21" s="88" t="s">
        <v>589</v>
      </c>
      <c r="H21" s="91">
        <v>79.739999999999995</v>
      </c>
    </row>
    <row r="22" spans="3:8">
      <c r="C22" s="88" t="s">
        <v>590</v>
      </c>
      <c r="D22" s="91">
        <f>23.95+11.4</f>
        <v>35.35</v>
      </c>
      <c r="G22" s="88" t="s">
        <v>590</v>
      </c>
      <c r="H22" s="91">
        <f>D32</f>
        <v>100.16</v>
      </c>
    </row>
    <row r="23" spans="3:8">
      <c r="C23" s="88" t="s">
        <v>591</v>
      </c>
      <c r="D23" s="91">
        <f>23.8+14.57</f>
        <v>38.370000000000005</v>
      </c>
      <c r="G23" s="88" t="s">
        <v>591</v>
      </c>
      <c r="H23" s="91">
        <f>D33</f>
        <v>138.1</v>
      </c>
    </row>
    <row r="24" spans="3:8">
      <c r="C24" s="88" t="s">
        <v>592</v>
      </c>
      <c r="D24" s="91">
        <v>22.23</v>
      </c>
      <c r="G24" s="88" t="s">
        <v>592</v>
      </c>
      <c r="H24" s="91">
        <f>D34</f>
        <v>59.760000000000005</v>
      </c>
    </row>
    <row r="25" spans="3:8">
      <c r="C25" s="89" t="s">
        <v>9</v>
      </c>
      <c r="D25" s="94">
        <f>SUM(D17:D24)</f>
        <v>362.04000000000008</v>
      </c>
      <c r="G25" s="89" t="s">
        <v>9</v>
      </c>
      <c r="H25" s="94">
        <f>SUM(H17:H24)</f>
        <v>470.22</v>
      </c>
    </row>
    <row r="26" spans="3:8" ht="18">
      <c r="C26" s="1040" t="s">
        <v>1055</v>
      </c>
      <c r="D26" s="1040"/>
      <c r="G26" s="1040" t="s">
        <v>1435</v>
      </c>
      <c r="H26" s="1040"/>
    </row>
    <row r="27" spans="3:8">
      <c r="C27" s="89" t="s">
        <v>583</v>
      </c>
      <c r="D27" s="90" t="s">
        <v>217</v>
      </c>
      <c r="G27" s="89" t="s">
        <v>583</v>
      </c>
      <c r="H27" s="90" t="s">
        <v>217</v>
      </c>
    </row>
    <row r="28" spans="3:8">
      <c r="C28" s="88" t="s">
        <v>586</v>
      </c>
      <c r="D28" s="91">
        <f>39.3+5.3+5.3</f>
        <v>49.899999999999991</v>
      </c>
      <c r="G28" s="88" t="s">
        <v>1437</v>
      </c>
      <c r="H28" s="91">
        <f>(37.9+19.75+4.1+4.1)*2</f>
        <v>131.69999999999999</v>
      </c>
    </row>
    <row r="29" spans="3:8">
      <c r="C29" s="88" t="s">
        <v>587</v>
      </c>
      <c r="D29" s="91"/>
      <c r="G29" s="88" t="s">
        <v>1438</v>
      </c>
      <c r="H29" s="91">
        <v>308.22000000000003</v>
      </c>
    </row>
    <row r="30" spans="3:8">
      <c r="C30" s="88" t="s">
        <v>588</v>
      </c>
      <c r="D30" s="91">
        <v>41.24</v>
      </c>
      <c r="G30" s="88" t="s">
        <v>1436</v>
      </c>
      <c r="H30" s="91">
        <f>7.4*(20+20+4.3+4.1)+3.6*(15.9+15.6)</f>
        <v>471.56000000000006</v>
      </c>
    </row>
    <row r="31" spans="3:8">
      <c r="C31" s="88" t="s">
        <v>589</v>
      </c>
      <c r="D31" s="91">
        <v>78.42</v>
      </c>
      <c r="G31" s="88"/>
      <c r="H31" s="91"/>
    </row>
    <row r="32" spans="3:8">
      <c r="C32" s="88" t="s">
        <v>590</v>
      </c>
      <c r="D32" s="91">
        <f>(23.74+12.62)*2+8.12*2+11.2</f>
        <v>100.16</v>
      </c>
      <c r="G32" s="88"/>
      <c r="H32" s="91"/>
    </row>
    <row r="33" spans="3:8">
      <c r="C33" s="88" t="s">
        <v>591</v>
      </c>
      <c r="D33" s="91">
        <f>13.52*2+23.8*2+17.15*2+14.58*2</f>
        <v>138.1</v>
      </c>
      <c r="G33" s="88"/>
      <c r="H33" s="91"/>
    </row>
    <row r="34" spans="3:8">
      <c r="C34" s="88" t="s">
        <v>592</v>
      </c>
      <c r="D34" s="91">
        <f>22.23*2+7.65*2</f>
        <v>59.760000000000005</v>
      </c>
      <c r="G34" s="88"/>
      <c r="H34" s="91"/>
    </row>
    <row r="35" spans="3:8">
      <c r="C35" s="89" t="s">
        <v>9</v>
      </c>
      <c r="D35" s="94">
        <f>SUM(D28:D34)</f>
        <v>467.58000000000004</v>
      </c>
      <c r="G35" s="89" t="s">
        <v>9</v>
      </c>
      <c r="H35" s="94">
        <f>SUM(H28:H34)</f>
        <v>911.48</v>
      </c>
    </row>
  </sheetData>
  <mergeCells count="5">
    <mergeCell ref="C2:E2"/>
    <mergeCell ref="C15:D15"/>
    <mergeCell ref="C26:D26"/>
    <mergeCell ref="G15:H15"/>
    <mergeCell ref="G26:H26"/>
  </mergeCells>
  <pageMargins left="0.51181102362204722" right="0.51181102362204722" top="0.78740157480314965" bottom="0.78740157480314965" header="0.31496062992125984" footer="0.31496062992125984"/>
  <pageSetup paperSize="9" scale="84" orientation="landscape" r:id="rId1"/>
</worksheet>
</file>

<file path=xl/worksheets/sheet8.xml><?xml version="1.0" encoding="utf-8"?>
<worksheet xmlns="http://schemas.openxmlformats.org/spreadsheetml/2006/main" xmlns:r="http://schemas.openxmlformats.org/officeDocument/2006/relationships">
  <sheetPr>
    <pageSetUpPr fitToPage="1"/>
  </sheetPr>
  <dimension ref="A1:AWF499"/>
  <sheetViews>
    <sheetView tabSelected="1" view="pageBreakPreview" topLeftCell="B463" zoomScale="85" zoomScaleNormal="70" zoomScaleSheetLayoutView="85" workbookViewId="0">
      <selection activeCell="K473" sqref="K473"/>
    </sheetView>
  </sheetViews>
  <sheetFormatPr defaultRowHeight="15.6"/>
  <cols>
    <col min="1" max="1" width="8.5" style="283" customWidth="1"/>
    <col min="2" max="2" width="14.3984375" style="411" customWidth="1"/>
    <col min="3" max="3" width="3.09765625" style="449" customWidth="1"/>
    <col min="4" max="4" width="11.59765625" style="283" customWidth="1"/>
    <col min="5" max="5" width="68.8984375" style="284" customWidth="1"/>
    <col min="6" max="6" width="8.69921875" style="283" bestFit="1" customWidth="1"/>
    <col min="7" max="7" width="7.8984375" style="282" bestFit="1" customWidth="1"/>
    <col min="8" max="8" width="10.5" style="282" bestFit="1" customWidth="1"/>
    <col min="9" max="9" width="9.8984375" style="282" customWidth="1"/>
    <col min="10" max="10" width="10.5" style="282" bestFit="1" customWidth="1"/>
    <col min="11" max="11" width="7.8984375" style="273" customWidth="1"/>
    <col min="12" max="12" width="8" style="501" customWidth="1"/>
    <col min="13" max="13" width="15.5" style="730" customWidth="1"/>
    <col min="14" max="14" width="12.8984375" style="630" customWidth="1"/>
    <col min="15" max="15" width="9.19921875" style="273" bestFit="1" customWidth="1"/>
    <col min="16" max="258" width="9" style="273"/>
    <col min="259" max="259" width="8.5" style="273" customWidth="1"/>
    <col min="260" max="260" width="13.59765625" style="273" bestFit="1" customWidth="1"/>
    <col min="261" max="261" width="11.59765625" style="273" customWidth="1"/>
    <col min="262" max="262" width="65.3984375" style="273" customWidth="1"/>
    <col min="263" max="263" width="8.69921875" style="273" bestFit="1" customWidth="1"/>
    <col min="264" max="264" width="9.8984375" style="273" customWidth="1"/>
    <col min="265" max="265" width="20" style="273" customWidth="1"/>
    <col min="266" max="266" width="23.3984375" style="273" customWidth="1"/>
    <col min="267" max="267" width="21.59765625" style="273" bestFit="1" customWidth="1"/>
    <col min="268" max="268" width="12.69921875" style="273" customWidth="1"/>
    <col min="269" max="269" width="15.5" style="273" customWidth="1"/>
    <col min="270" max="270" width="8.09765625" style="273" bestFit="1" customWidth="1"/>
    <col min="271" max="514" width="9" style="273"/>
    <col min="515" max="515" width="8.5" style="273" customWidth="1"/>
    <col min="516" max="516" width="13.59765625" style="273" bestFit="1" customWidth="1"/>
    <col min="517" max="517" width="11.59765625" style="273" customWidth="1"/>
    <col min="518" max="518" width="65.3984375" style="273" customWidth="1"/>
    <col min="519" max="519" width="8.69921875" style="273" bestFit="1" customWidth="1"/>
    <col min="520" max="520" width="9.8984375" style="273" customWidth="1"/>
    <col min="521" max="521" width="20" style="273" customWidth="1"/>
    <col min="522" max="522" width="23.3984375" style="273" customWidth="1"/>
    <col min="523" max="523" width="21.59765625" style="273" bestFit="1" customWidth="1"/>
    <col min="524" max="524" width="12.69921875" style="273" customWidth="1"/>
    <col min="525" max="525" width="15.5" style="273" customWidth="1"/>
    <col min="526" max="526" width="8.09765625" style="273" bestFit="1" customWidth="1"/>
    <col min="527" max="770" width="9" style="273"/>
    <col min="771" max="771" width="8.5" style="273" customWidth="1"/>
    <col min="772" max="772" width="13.59765625" style="273" bestFit="1" customWidth="1"/>
    <col min="773" max="773" width="11.59765625" style="273" customWidth="1"/>
    <col min="774" max="774" width="65.3984375" style="273" customWidth="1"/>
    <col min="775" max="775" width="8.69921875" style="273" bestFit="1" customWidth="1"/>
    <col min="776" max="776" width="9.8984375" style="273" customWidth="1"/>
    <col min="777" max="777" width="20" style="273" customWidth="1"/>
    <col min="778" max="778" width="23.3984375" style="273" customWidth="1"/>
    <col min="779" max="779" width="21.59765625" style="273" bestFit="1" customWidth="1"/>
    <col min="780" max="780" width="12.69921875" style="273" customWidth="1"/>
    <col min="781" max="781" width="15.5" style="273" customWidth="1"/>
    <col min="782" max="782" width="8.09765625" style="273" bestFit="1" customWidth="1"/>
    <col min="783" max="1026" width="9" style="273"/>
    <col min="1027" max="1027" width="8.5" style="273" customWidth="1"/>
    <col min="1028" max="1028" width="13.59765625" style="273" bestFit="1" customWidth="1"/>
    <col min="1029" max="1029" width="11.59765625" style="273" customWidth="1"/>
    <col min="1030" max="1030" width="65.3984375" style="273" customWidth="1"/>
    <col min="1031" max="1031" width="8.69921875" style="273" bestFit="1" customWidth="1"/>
    <col min="1032" max="1032" width="9.8984375" style="273" customWidth="1"/>
    <col min="1033" max="1033" width="20" style="273" customWidth="1"/>
    <col min="1034" max="1034" width="23.3984375" style="273" customWidth="1"/>
    <col min="1035" max="1035" width="21.59765625" style="273" bestFit="1" customWidth="1"/>
    <col min="1036" max="1036" width="12.69921875" style="273" customWidth="1"/>
    <col min="1037" max="1037" width="15.5" style="273" customWidth="1"/>
    <col min="1038" max="1038" width="8.09765625" style="273" bestFit="1" customWidth="1"/>
    <col min="1039" max="1282" width="9" style="273"/>
    <col min="1283" max="1283" width="8.5" style="273" customWidth="1"/>
    <col min="1284" max="1284" width="13.59765625" style="273" bestFit="1" customWidth="1"/>
    <col min="1285" max="1285" width="11.59765625" style="273" customWidth="1"/>
    <col min="1286" max="1286" width="65.3984375" style="273" customWidth="1"/>
    <col min="1287" max="1287" width="8.69921875" style="273" bestFit="1" customWidth="1"/>
    <col min="1288" max="1288" width="9.8984375" style="273" customWidth="1"/>
    <col min="1289" max="1289" width="20" style="273" customWidth="1"/>
    <col min="1290" max="1290" width="23.3984375" style="273" customWidth="1"/>
    <col min="1291" max="1291" width="21.59765625" style="273" bestFit="1" customWidth="1"/>
    <col min="1292" max="1292" width="12.69921875" style="273" customWidth="1"/>
    <col min="1293" max="1293" width="15.5" style="273" customWidth="1"/>
    <col min="1294" max="1294" width="8.09765625" style="273" bestFit="1" customWidth="1"/>
    <col min="1295" max="1538" width="9" style="273"/>
    <col min="1539" max="1539" width="8.5" style="273" customWidth="1"/>
    <col min="1540" max="1540" width="13.59765625" style="273" bestFit="1" customWidth="1"/>
    <col min="1541" max="1541" width="11.59765625" style="273" customWidth="1"/>
    <col min="1542" max="1542" width="65.3984375" style="273" customWidth="1"/>
    <col min="1543" max="1543" width="8.69921875" style="273" bestFit="1" customWidth="1"/>
    <col min="1544" max="1544" width="9.8984375" style="273" customWidth="1"/>
    <col min="1545" max="1545" width="20" style="273" customWidth="1"/>
    <col min="1546" max="1546" width="23.3984375" style="273" customWidth="1"/>
    <col min="1547" max="1547" width="21.59765625" style="273" bestFit="1" customWidth="1"/>
    <col min="1548" max="1548" width="12.69921875" style="273" customWidth="1"/>
    <col min="1549" max="1549" width="15.5" style="273" customWidth="1"/>
    <col min="1550" max="1550" width="8.09765625" style="273" bestFit="1" customWidth="1"/>
    <col min="1551" max="1794" width="9" style="273"/>
    <col min="1795" max="1795" width="8.5" style="273" customWidth="1"/>
    <col min="1796" max="1796" width="13.59765625" style="273" bestFit="1" customWidth="1"/>
    <col min="1797" max="1797" width="11.59765625" style="273" customWidth="1"/>
    <col min="1798" max="1798" width="65.3984375" style="273" customWidth="1"/>
    <col min="1799" max="1799" width="8.69921875" style="273" bestFit="1" customWidth="1"/>
    <col min="1800" max="1800" width="9.8984375" style="273" customWidth="1"/>
    <col min="1801" max="1801" width="20" style="273" customWidth="1"/>
    <col min="1802" max="1802" width="23.3984375" style="273" customWidth="1"/>
    <col min="1803" max="1803" width="21.59765625" style="273" bestFit="1" customWidth="1"/>
    <col min="1804" max="1804" width="12.69921875" style="273" customWidth="1"/>
    <col min="1805" max="1805" width="15.5" style="273" customWidth="1"/>
    <col min="1806" max="1806" width="8.09765625" style="273" bestFit="1" customWidth="1"/>
    <col min="1807" max="2050" width="9" style="273"/>
    <col min="2051" max="2051" width="8.5" style="273" customWidth="1"/>
    <col min="2052" max="2052" width="13.59765625" style="273" bestFit="1" customWidth="1"/>
    <col min="2053" max="2053" width="11.59765625" style="273" customWidth="1"/>
    <col min="2054" max="2054" width="65.3984375" style="273" customWidth="1"/>
    <col min="2055" max="2055" width="8.69921875" style="273" bestFit="1" customWidth="1"/>
    <col min="2056" max="2056" width="9.8984375" style="273" customWidth="1"/>
    <col min="2057" max="2057" width="20" style="273" customWidth="1"/>
    <col min="2058" max="2058" width="23.3984375" style="273" customWidth="1"/>
    <col min="2059" max="2059" width="21.59765625" style="273" bestFit="1" customWidth="1"/>
    <col min="2060" max="2060" width="12.69921875" style="273" customWidth="1"/>
    <col min="2061" max="2061" width="15.5" style="273" customWidth="1"/>
    <col min="2062" max="2062" width="8.09765625" style="273" bestFit="1" customWidth="1"/>
    <col min="2063" max="2306" width="9" style="273"/>
    <col min="2307" max="2307" width="8.5" style="273" customWidth="1"/>
    <col min="2308" max="2308" width="13.59765625" style="273" bestFit="1" customWidth="1"/>
    <col min="2309" max="2309" width="11.59765625" style="273" customWidth="1"/>
    <col min="2310" max="2310" width="65.3984375" style="273" customWidth="1"/>
    <col min="2311" max="2311" width="8.69921875" style="273" bestFit="1" customWidth="1"/>
    <col min="2312" max="2312" width="9.8984375" style="273" customWidth="1"/>
    <col min="2313" max="2313" width="20" style="273" customWidth="1"/>
    <col min="2314" max="2314" width="23.3984375" style="273" customWidth="1"/>
    <col min="2315" max="2315" width="21.59765625" style="273" bestFit="1" customWidth="1"/>
    <col min="2316" max="2316" width="12.69921875" style="273" customWidth="1"/>
    <col min="2317" max="2317" width="15.5" style="273" customWidth="1"/>
    <col min="2318" max="2318" width="8.09765625" style="273" bestFit="1" customWidth="1"/>
    <col min="2319" max="2562" width="9" style="273"/>
    <col min="2563" max="2563" width="8.5" style="273" customWidth="1"/>
    <col min="2564" max="2564" width="13.59765625" style="273" bestFit="1" customWidth="1"/>
    <col min="2565" max="2565" width="11.59765625" style="273" customWidth="1"/>
    <col min="2566" max="2566" width="65.3984375" style="273" customWidth="1"/>
    <col min="2567" max="2567" width="8.69921875" style="273" bestFit="1" customWidth="1"/>
    <col min="2568" max="2568" width="9.8984375" style="273" customWidth="1"/>
    <col min="2569" max="2569" width="20" style="273" customWidth="1"/>
    <col min="2570" max="2570" width="23.3984375" style="273" customWidth="1"/>
    <col min="2571" max="2571" width="21.59765625" style="273" bestFit="1" customWidth="1"/>
    <col min="2572" max="2572" width="12.69921875" style="273" customWidth="1"/>
    <col min="2573" max="2573" width="15.5" style="273" customWidth="1"/>
    <col min="2574" max="2574" width="8.09765625" style="273" bestFit="1" customWidth="1"/>
    <col min="2575" max="2818" width="9" style="273"/>
    <col min="2819" max="2819" width="8.5" style="273" customWidth="1"/>
    <col min="2820" max="2820" width="13.59765625" style="273" bestFit="1" customWidth="1"/>
    <col min="2821" max="2821" width="11.59765625" style="273" customWidth="1"/>
    <col min="2822" max="2822" width="65.3984375" style="273" customWidth="1"/>
    <col min="2823" max="2823" width="8.69921875" style="273" bestFit="1" customWidth="1"/>
    <col min="2824" max="2824" width="9.8984375" style="273" customWidth="1"/>
    <col min="2825" max="2825" width="20" style="273" customWidth="1"/>
    <col min="2826" max="2826" width="23.3984375" style="273" customWidth="1"/>
    <col min="2827" max="2827" width="21.59765625" style="273" bestFit="1" customWidth="1"/>
    <col min="2828" max="2828" width="12.69921875" style="273" customWidth="1"/>
    <col min="2829" max="2829" width="15.5" style="273" customWidth="1"/>
    <col min="2830" max="2830" width="8.09765625" style="273" bestFit="1" customWidth="1"/>
    <col min="2831" max="3074" width="9" style="273"/>
    <col min="3075" max="3075" width="8.5" style="273" customWidth="1"/>
    <col min="3076" max="3076" width="13.59765625" style="273" bestFit="1" customWidth="1"/>
    <col min="3077" max="3077" width="11.59765625" style="273" customWidth="1"/>
    <col min="3078" max="3078" width="65.3984375" style="273" customWidth="1"/>
    <col min="3079" max="3079" width="8.69921875" style="273" bestFit="1" customWidth="1"/>
    <col min="3080" max="3080" width="9.8984375" style="273" customWidth="1"/>
    <col min="3081" max="3081" width="20" style="273" customWidth="1"/>
    <col min="3082" max="3082" width="23.3984375" style="273" customWidth="1"/>
    <col min="3083" max="3083" width="21.59765625" style="273" bestFit="1" customWidth="1"/>
    <col min="3084" max="3084" width="12.69921875" style="273" customWidth="1"/>
    <col min="3085" max="3085" width="15.5" style="273" customWidth="1"/>
    <col min="3086" max="3086" width="8.09765625" style="273" bestFit="1" customWidth="1"/>
    <col min="3087" max="3330" width="9" style="273"/>
    <col min="3331" max="3331" width="8.5" style="273" customWidth="1"/>
    <col min="3332" max="3332" width="13.59765625" style="273" bestFit="1" customWidth="1"/>
    <col min="3333" max="3333" width="11.59765625" style="273" customWidth="1"/>
    <col min="3334" max="3334" width="65.3984375" style="273" customWidth="1"/>
    <col min="3335" max="3335" width="8.69921875" style="273" bestFit="1" customWidth="1"/>
    <col min="3336" max="3336" width="9.8984375" style="273" customWidth="1"/>
    <col min="3337" max="3337" width="20" style="273" customWidth="1"/>
    <col min="3338" max="3338" width="23.3984375" style="273" customWidth="1"/>
    <col min="3339" max="3339" width="21.59765625" style="273" bestFit="1" customWidth="1"/>
    <col min="3340" max="3340" width="12.69921875" style="273" customWidth="1"/>
    <col min="3341" max="3341" width="15.5" style="273" customWidth="1"/>
    <col min="3342" max="3342" width="8.09765625" style="273" bestFit="1" customWidth="1"/>
    <col min="3343" max="3586" width="9" style="273"/>
    <col min="3587" max="3587" width="8.5" style="273" customWidth="1"/>
    <col min="3588" max="3588" width="13.59765625" style="273" bestFit="1" customWidth="1"/>
    <col min="3589" max="3589" width="11.59765625" style="273" customWidth="1"/>
    <col min="3590" max="3590" width="65.3984375" style="273" customWidth="1"/>
    <col min="3591" max="3591" width="8.69921875" style="273" bestFit="1" customWidth="1"/>
    <col min="3592" max="3592" width="9.8984375" style="273" customWidth="1"/>
    <col min="3593" max="3593" width="20" style="273" customWidth="1"/>
    <col min="3594" max="3594" width="23.3984375" style="273" customWidth="1"/>
    <col min="3595" max="3595" width="21.59765625" style="273" bestFit="1" customWidth="1"/>
    <col min="3596" max="3596" width="12.69921875" style="273" customWidth="1"/>
    <col min="3597" max="3597" width="15.5" style="273" customWidth="1"/>
    <col min="3598" max="3598" width="8.09765625" style="273" bestFit="1" customWidth="1"/>
    <col min="3599" max="3842" width="9" style="273"/>
    <col min="3843" max="3843" width="8.5" style="273" customWidth="1"/>
    <col min="3844" max="3844" width="13.59765625" style="273" bestFit="1" customWidth="1"/>
    <col min="3845" max="3845" width="11.59765625" style="273" customWidth="1"/>
    <col min="3846" max="3846" width="65.3984375" style="273" customWidth="1"/>
    <col min="3847" max="3847" width="8.69921875" style="273" bestFit="1" customWidth="1"/>
    <col min="3848" max="3848" width="9.8984375" style="273" customWidth="1"/>
    <col min="3849" max="3849" width="20" style="273" customWidth="1"/>
    <col min="3850" max="3850" width="23.3984375" style="273" customWidth="1"/>
    <col min="3851" max="3851" width="21.59765625" style="273" bestFit="1" customWidth="1"/>
    <col min="3852" max="3852" width="12.69921875" style="273" customWidth="1"/>
    <col min="3853" max="3853" width="15.5" style="273" customWidth="1"/>
    <col min="3854" max="3854" width="8.09765625" style="273" bestFit="1" customWidth="1"/>
    <col min="3855" max="4098" width="9" style="273"/>
    <col min="4099" max="4099" width="8.5" style="273" customWidth="1"/>
    <col min="4100" max="4100" width="13.59765625" style="273" bestFit="1" customWidth="1"/>
    <col min="4101" max="4101" width="11.59765625" style="273" customWidth="1"/>
    <col min="4102" max="4102" width="65.3984375" style="273" customWidth="1"/>
    <col min="4103" max="4103" width="8.69921875" style="273" bestFit="1" customWidth="1"/>
    <col min="4104" max="4104" width="9.8984375" style="273" customWidth="1"/>
    <col min="4105" max="4105" width="20" style="273" customWidth="1"/>
    <col min="4106" max="4106" width="23.3984375" style="273" customWidth="1"/>
    <col min="4107" max="4107" width="21.59765625" style="273" bestFit="1" customWidth="1"/>
    <col min="4108" max="4108" width="12.69921875" style="273" customWidth="1"/>
    <col min="4109" max="4109" width="15.5" style="273" customWidth="1"/>
    <col min="4110" max="4110" width="8.09765625" style="273" bestFit="1" customWidth="1"/>
    <col min="4111" max="4354" width="9" style="273"/>
    <col min="4355" max="4355" width="8.5" style="273" customWidth="1"/>
    <col min="4356" max="4356" width="13.59765625" style="273" bestFit="1" customWidth="1"/>
    <col min="4357" max="4357" width="11.59765625" style="273" customWidth="1"/>
    <col min="4358" max="4358" width="65.3984375" style="273" customWidth="1"/>
    <col min="4359" max="4359" width="8.69921875" style="273" bestFit="1" customWidth="1"/>
    <col min="4360" max="4360" width="9.8984375" style="273" customWidth="1"/>
    <col min="4361" max="4361" width="20" style="273" customWidth="1"/>
    <col min="4362" max="4362" width="23.3984375" style="273" customWidth="1"/>
    <col min="4363" max="4363" width="21.59765625" style="273" bestFit="1" customWidth="1"/>
    <col min="4364" max="4364" width="12.69921875" style="273" customWidth="1"/>
    <col min="4365" max="4365" width="15.5" style="273" customWidth="1"/>
    <col min="4366" max="4366" width="8.09765625" style="273" bestFit="1" customWidth="1"/>
    <col min="4367" max="4610" width="9" style="273"/>
    <col min="4611" max="4611" width="8.5" style="273" customWidth="1"/>
    <col min="4612" max="4612" width="13.59765625" style="273" bestFit="1" customWidth="1"/>
    <col min="4613" max="4613" width="11.59765625" style="273" customWidth="1"/>
    <col min="4614" max="4614" width="65.3984375" style="273" customWidth="1"/>
    <col min="4615" max="4615" width="8.69921875" style="273" bestFit="1" customWidth="1"/>
    <col min="4616" max="4616" width="9.8984375" style="273" customWidth="1"/>
    <col min="4617" max="4617" width="20" style="273" customWidth="1"/>
    <col min="4618" max="4618" width="23.3984375" style="273" customWidth="1"/>
    <col min="4619" max="4619" width="21.59765625" style="273" bestFit="1" customWidth="1"/>
    <col min="4620" max="4620" width="12.69921875" style="273" customWidth="1"/>
    <col min="4621" max="4621" width="15.5" style="273" customWidth="1"/>
    <col min="4622" max="4622" width="8.09765625" style="273" bestFit="1" customWidth="1"/>
    <col min="4623" max="4866" width="9" style="273"/>
    <col min="4867" max="4867" width="8.5" style="273" customWidth="1"/>
    <col min="4868" max="4868" width="13.59765625" style="273" bestFit="1" customWidth="1"/>
    <col min="4869" max="4869" width="11.59765625" style="273" customWidth="1"/>
    <col min="4870" max="4870" width="65.3984375" style="273" customWidth="1"/>
    <col min="4871" max="4871" width="8.69921875" style="273" bestFit="1" customWidth="1"/>
    <col min="4872" max="4872" width="9.8984375" style="273" customWidth="1"/>
    <col min="4873" max="4873" width="20" style="273" customWidth="1"/>
    <col min="4874" max="4874" width="23.3984375" style="273" customWidth="1"/>
    <col min="4875" max="4875" width="21.59765625" style="273" bestFit="1" customWidth="1"/>
    <col min="4876" max="4876" width="12.69921875" style="273" customWidth="1"/>
    <col min="4877" max="4877" width="15.5" style="273" customWidth="1"/>
    <col min="4878" max="4878" width="8.09765625" style="273" bestFit="1" customWidth="1"/>
    <col min="4879" max="5122" width="9" style="273"/>
    <col min="5123" max="5123" width="8.5" style="273" customWidth="1"/>
    <col min="5124" max="5124" width="13.59765625" style="273" bestFit="1" customWidth="1"/>
    <col min="5125" max="5125" width="11.59765625" style="273" customWidth="1"/>
    <col min="5126" max="5126" width="65.3984375" style="273" customWidth="1"/>
    <col min="5127" max="5127" width="8.69921875" style="273" bestFit="1" customWidth="1"/>
    <col min="5128" max="5128" width="9.8984375" style="273" customWidth="1"/>
    <col min="5129" max="5129" width="20" style="273" customWidth="1"/>
    <col min="5130" max="5130" width="23.3984375" style="273" customWidth="1"/>
    <col min="5131" max="5131" width="21.59765625" style="273" bestFit="1" customWidth="1"/>
    <col min="5132" max="5132" width="12.69921875" style="273" customWidth="1"/>
    <col min="5133" max="5133" width="15.5" style="273" customWidth="1"/>
    <col min="5134" max="5134" width="8.09765625" style="273" bestFit="1" customWidth="1"/>
    <col min="5135" max="5378" width="9" style="273"/>
    <col min="5379" max="5379" width="8.5" style="273" customWidth="1"/>
    <col min="5380" max="5380" width="13.59765625" style="273" bestFit="1" customWidth="1"/>
    <col min="5381" max="5381" width="11.59765625" style="273" customWidth="1"/>
    <col min="5382" max="5382" width="65.3984375" style="273" customWidth="1"/>
    <col min="5383" max="5383" width="8.69921875" style="273" bestFit="1" customWidth="1"/>
    <col min="5384" max="5384" width="9.8984375" style="273" customWidth="1"/>
    <col min="5385" max="5385" width="20" style="273" customWidth="1"/>
    <col min="5386" max="5386" width="23.3984375" style="273" customWidth="1"/>
    <col min="5387" max="5387" width="21.59765625" style="273" bestFit="1" customWidth="1"/>
    <col min="5388" max="5388" width="12.69921875" style="273" customWidth="1"/>
    <col min="5389" max="5389" width="15.5" style="273" customWidth="1"/>
    <col min="5390" max="5390" width="8.09765625" style="273" bestFit="1" customWidth="1"/>
    <col min="5391" max="5634" width="9" style="273"/>
    <col min="5635" max="5635" width="8.5" style="273" customWidth="1"/>
    <col min="5636" max="5636" width="13.59765625" style="273" bestFit="1" customWidth="1"/>
    <col min="5637" max="5637" width="11.59765625" style="273" customWidth="1"/>
    <col min="5638" max="5638" width="65.3984375" style="273" customWidth="1"/>
    <col min="5639" max="5639" width="8.69921875" style="273" bestFit="1" customWidth="1"/>
    <col min="5640" max="5640" width="9.8984375" style="273" customWidth="1"/>
    <col min="5641" max="5641" width="20" style="273" customWidth="1"/>
    <col min="5642" max="5642" width="23.3984375" style="273" customWidth="1"/>
    <col min="5643" max="5643" width="21.59765625" style="273" bestFit="1" customWidth="1"/>
    <col min="5644" max="5644" width="12.69921875" style="273" customWidth="1"/>
    <col min="5645" max="5645" width="15.5" style="273" customWidth="1"/>
    <col min="5646" max="5646" width="8.09765625" style="273" bestFit="1" customWidth="1"/>
    <col min="5647" max="5890" width="9" style="273"/>
    <col min="5891" max="5891" width="8.5" style="273" customWidth="1"/>
    <col min="5892" max="5892" width="13.59765625" style="273" bestFit="1" customWidth="1"/>
    <col min="5893" max="5893" width="11.59765625" style="273" customWidth="1"/>
    <col min="5894" max="5894" width="65.3984375" style="273" customWidth="1"/>
    <col min="5895" max="5895" width="8.69921875" style="273" bestFit="1" customWidth="1"/>
    <col min="5896" max="5896" width="9.8984375" style="273" customWidth="1"/>
    <col min="5897" max="5897" width="20" style="273" customWidth="1"/>
    <col min="5898" max="5898" width="23.3984375" style="273" customWidth="1"/>
    <col min="5899" max="5899" width="21.59765625" style="273" bestFit="1" customWidth="1"/>
    <col min="5900" max="5900" width="12.69921875" style="273" customWidth="1"/>
    <col min="5901" max="5901" width="15.5" style="273" customWidth="1"/>
    <col min="5902" max="5902" width="8.09765625" style="273" bestFit="1" customWidth="1"/>
    <col min="5903" max="6146" width="9" style="273"/>
    <col min="6147" max="6147" width="8.5" style="273" customWidth="1"/>
    <col min="6148" max="6148" width="13.59765625" style="273" bestFit="1" customWidth="1"/>
    <col min="6149" max="6149" width="11.59765625" style="273" customWidth="1"/>
    <col min="6150" max="6150" width="65.3984375" style="273" customWidth="1"/>
    <col min="6151" max="6151" width="8.69921875" style="273" bestFit="1" customWidth="1"/>
    <col min="6152" max="6152" width="9.8984375" style="273" customWidth="1"/>
    <col min="6153" max="6153" width="20" style="273" customWidth="1"/>
    <col min="6154" max="6154" width="23.3984375" style="273" customWidth="1"/>
    <col min="6155" max="6155" width="21.59765625" style="273" bestFit="1" customWidth="1"/>
    <col min="6156" max="6156" width="12.69921875" style="273" customWidth="1"/>
    <col min="6157" max="6157" width="15.5" style="273" customWidth="1"/>
    <col min="6158" max="6158" width="8.09765625" style="273" bestFit="1" customWidth="1"/>
    <col min="6159" max="6402" width="9" style="273"/>
    <col min="6403" max="6403" width="8.5" style="273" customWidth="1"/>
    <col min="6404" max="6404" width="13.59765625" style="273" bestFit="1" customWidth="1"/>
    <col min="6405" max="6405" width="11.59765625" style="273" customWidth="1"/>
    <col min="6406" max="6406" width="65.3984375" style="273" customWidth="1"/>
    <col min="6407" max="6407" width="8.69921875" style="273" bestFit="1" customWidth="1"/>
    <col min="6408" max="6408" width="9.8984375" style="273" customWidth="1"/>
    <col min="6409" max="6409" width="20" style="273" customWidth="1"/>
    <col min="6410" max="6410" width="23.3984375" style="273" customWidth="1"/>
    <col min="6411" max="6411" width="21.59765625" style="273" bestFit="1" customWidth="1"/>
    <col min="6412" max="6412" width="12.69921875" style="273" customWidth="1"/>
    <col min="6413" max="6413" width="15.5" style="273" customWidth="1"/>
    <col min="6414" max="6414" width="8.09765625" style="273" bestFit="1" customWidth="1"/>
    <col min="6415" max="6658" width="9" style="273"/>
    <col min="6659" max="6659" width="8.5" style="273" customWidth="1"/>
    <col min="6660" max="6660" width="13.59765625" style="273" bestFit="1" customWidth="1"/>
    <col min="6661" max="6661" width="11.59765625" style="273" customWidth="1"/>
    <col min="6662" max="6662" width="65.3984375" style="273" customWidth="1"/>
    <col min="6663" max="6663" width="8.69921875" style="273" bestFit="1" customWidth="1"/>
    <col min="6664" max="6664" width="9.8984375" style="273" customWidth="1"/>
    <col min="6665" max="6665" width="20" style="273" customWidth="1"/>
    <col min="6666" max="6666" width="23.3984375" style="273" customWidth="1"/>
    <col min="6667" max="6667" width="21.59765625" style="273" bestFit="1" customWidth="1"/>
    <col min="6668" max="6668" width="12.69921875" style="273" customWidth="1"/>
    <col min="6669" max="6669" width="15.5" style="273" customWidth="1"/>
    <col min="6670" max="6670" width="8.09765625" style="273" bestFit="1" customWidth="1"/>
    <col min="6671" max="6914" width="9" style="273"/>
    <col min="6915" max="6915" width="8.5" style="273" customWidth="1"/>
    <col min="6916" max="6916" width="13.59765625" style="273" bestFit="1" customWidth="1"/>
    <col min="6917" max="6917" width="11.59765625" style="273" customWidth="1"/>
    <col min="6918" max="6918" width="65.3984375" style="273" customWidth="1"/>
    <col min="6919" max="6919" width="8.69921875" style="273" bestFit="1" customWidth="1"/>
    <col min="6920" max="6920" width="9.8984375" style="273" customWidth="1"/>
    <col min="6921" max="6921" width="20" style="273" customWidth="1"/>
    <col min="6922" max="6922" width="23.3984375" style="273" customWidth="1"/>
    <col min="6923" max="6923" width="21.59765625" style="273" bestFit="1" customWidth="1"/>
    <col min="6924" max="6924" width="12.69921875" style="273" customWidth="1"/>
    <col min="6925" max="6925" width="15.5" style="273" customWidth="1"/>
    <col min="6926" max="6926" width="8.09765625" style="273" bestFit="1" customWidth="1"/>
    <col min="6927" max="7170" width="9" style="273"/>
    <col min="7171" max="7171" width="8.5" style="273" customWidth="1"/>
    <col min="7172" max="7172" width="13.59765625" style="273" bestFit="1" customWidth="1"/>
    <col min="7173" max="7173" width="11.59765625" style="273" customWidth="1"/>
    <col min="7174" max="7174" width="65.3984375" style="273" customWidth="1"/>
    <col min="7175" max="7175" width="8.69921875" style="273" bestFit="1" customWidth="1"/>
    <col min="7176" max="7176" width="9.8984375" style="273" customWidth="1"/>
    <col min="7177" max="7177" width="20" style="273" customWidth="1"/>
    <col min="7178" max="7178" width="23.3984375" style="273" customWidth="1"/>
    <col min="7179" max="7179" width="21.59765625" style="273" bestFit="1" customWidth="1"/>
    <col min="7180" max="7180" width="12.69921875" style="273" customWidth="1"/>
    <col min="7181" max="7181" width="15.5" style="273" customWidth="1"/>
    <col min="7182" max="7182" width="8.09765625" style="273" bestFit="1" customWidth="1"/>
    <col min="7183" max="7426" width="9" style="273"/>
    <col min="7427" max="7427" width="8.5" style="273" customWidth="1"/>
    <col min="7428" max="7428" width="13.59765625" style="273" bestFit="1" customWidth="1"/>
    <col min="7429" max="7429" width="11.59765625" style="273" customWidth="1"/>
    <col min="7430" max="7430" width="65.3984375" style="273" customWidth="1"/>
    <col min="7431" max="7431" width="8.69921875" style="273" bestFit="1" customWidth="1"/>
    <col min="7432" max="7432" width="9.8984375" style="273" customWidth="1"/>
    <col min="7433" max="7433" width="20" style="273" customWidth="1"/>
    <col min="7434" max="7434" width="23.3984375" style="273" customWidth="1"/>
    <col min="7435" max="7435" width="21.59765625" style="273" bestFit="1" customWidth="1"/>
    <col min="7436" max="7436" width="12.69921875" style="273" customWidth="1"/>
    <col min="7437" max="7437" width="15.5" style="273" customWidth="1"/>
    <col min="7438" max="7438" width="8.09765625" style="273" bestFit="1" customWidth="1"/>
    <col min="7439" max="7682" width="9" style="273"/>
    <col min="7683" max="7683" width="8.5" style="273" customWidth="1"/>
    <col min="7684" max="7684" width="13.59765625" style="273" bestFit="1" customWidth="1"/>
    <col min="7685" max="7685" width="11.59765625" style="273" customWidth="1"/>
    <col min="7686" max="7686" width="65.3984375" style="273" customWidth="1"/>
    <col min="7687" max="7687" width="8.69921875" style="273" bestFit="1" customWidth="1"/>
    <col min="7688" max="7688" width="9.8984375" style="273" customWidth="1"/>
    <col min="7689" max="7689" width="20" style="273" customWidth="1"/>
    <col min="7690" max="7690" width="23.3984375" style="273" customWidth="1"/>
    <col min="7691" max="7691" width="21.59765625" style="273" bestFit="1" customWidth="1"/>
    <col min="7692" max="7692" width="12.69921875" style="273" customWidth="1"/>
    <col min="7693" max="7693" width="15.5" style="273" customWidth="1"/>
    <col min="7694" max="7694" width="8.09765625" style="273" bestFit="1" customWidth="1"/>
    <col min="7695" max="7938" width="9" style="273"/>
    <col min="7939" max="7939" width="8.5" style="273" customWidth="1"/>
    <col min="7940" max="7940" width="13.59765625" style="273" bestFit="1" customWidth="1"/>
    <col min="7941" max="7941" width="11.59765625" style="273" customWidth="1"/>
    <col min="7942" max="7942" width="65.3984375" style="273" customWidth="1"/>
    <col min="7943" max="7943" width="8.69921875" style="273" bestFit="1" customWidth="1"/>
    <col min="7944" max="7944" width="9.8984375" style="273" customWidth="1"/>
    <col min="7945" max="7945" width="20" style="273" customWidth="1"/>
    <col min="7946" max="7946" width="23.3984375" style="273" customWidth="1"/>
    <col min="7947" max="7947" width="21.59765625" style="273" bestFit="1" customWidth="1"/>
    <col min="7948" max="7948" width="12.69921875" style="273" customWidth="1"/>
    <col min="7949" max="7949" width="15.5" style="273" customWidth="1"/>
    <col min="7950" max="7950" width="8.09765625" style="273" bestFit="1" customWidth="1"/>
    <col min="7951" max="8194" width="9" style="273"/>
    <col min="8195" max="8195" width="8.5" style="273" customWidth="1"/>
    <col min="8196" max="8196" width="13.59765625" style="273" bestFit="1" customWidth="1"/>
    <col min="8197" max="8197" width="11.59765625" style="273" customWidth="1"/>
    <col min="8198" max="8198" width="65.3984375" style="273" customWidth="1"/>
    <col min="8199" max="8199" width="8.69921875" style="273" bestFit="1" customWidth="1"/>
    <col min="8200" max="8200" width="9.8984375" style="273" customWidth="1"/>
    <col min="8201" max="8201" width="20" style="273" customWidth="1"/>
    <col min="8202" max="8202" width="23.3984375" style="273" customWidth="1"/>
    <col min="8203" max="8203" width="21.59765625" style="273" bestFit="1" customWidth="1"/>
    <col min="8204" max="8204" width="12.69921875" style="273" customWidth="1"/>
    <col min="8205" max="8205" width="15.5" style="273" customWidth="1"/>
    <col min="8206" max="8206" width="8.09765625" style="273" bestFit="1" customWidth="1"/>
    <col min="8207" max="8450" width="9" style="273"/>
    <col min="8451" max="8451" width="8.5" style="273" customWidth="1"/>
    <col min="8452" max="8452" width="13.59765625" style="273" bestFit="1" customWidth="1"/>
    <col min="8453" max="8453" width="11.59765625" style="273" customWidth="1"/>
    <col min="8454" max="8454" width="65.3984375" style="273" customWidth="1"/>
    <col min="8455" max="8455" width="8.69921875" style="273" bestFit="1" customWidth="1"/>
    <col min="8456" max="8456" width="9.8984375" style="273" customWidth="1"/>
    <col min="8457" max="8457" width="20" style="273" customWidth="1"/>
    <col min="8458" max="8458" width="23.3984375" style="273" customWidth="1"/>
    <col min="8459" max="8459" width="21.59765625" style="273" bestFit="1" customWidth="1"/>
    <col min="8460" max="8460" width="12.69921875" style="273" customWidth="1"/>
    <col min="8461" max="8461" width="15.5" style="273" customWidth="1"/>
    <col min="8462" max="8462" width="8.09765625" style="273" bestFit="1" customWidth="1"/>
    <col min="8463" max="8706" width="9" style="273"/>
    <col min="8707" max="8707" width="8.5" style="273" customWidth="1"/>
    <col min="8708" max="8708" width="13.59765625" style="273" bestFit="1" customWidth="1"/>
    <col min="8709" max="8709" width="11.59765625" style="273" customWidth="1"/>
    <col min="8710" max="8710" width="65.3984375" style="273" customWidth="1"/>
    <col min="8711" max="8711" width="8.69921875" style="273" bestFit="1" customWidth="1"/>
    <col min="8712" max="8712" width="9.8984375" style="273" customWidth="1"/>
    <col min="8713" max="8713" width="20" style="273" customWidth="1"/>
    <col min="8714" max="8714" width="23.3984375" style="273" customWidth="1"/>
    <col min="8715" max="8715" width="21.59765625" style="273" bestFit="1" customWidth="1"/>
    <col min="8716" max="8716" width="12.69921875" style="273" customWidth="1"/>
    <col min="8717" max="8717" width="15.5" style="273" customWidth="1"/>
    <col min="8718" max="8718" width="8.09765625" style="273" bestFit="1" customWidth="1"/>
    <col min="8719" max="8962" width="9" style="273"/>
    <col min="8963" max="8963" width="8.5" style="273" customWidth="1"/>
    <col min="8964" max="8964" width="13.59765625" style="273" bestFit="1" customWidth="1"/>
    <col min="8965" max="8965" width="11.59765625" style="273" customWidth="1"/>
    <col min="8966" max="8966" width="65.3984375" style="273" customWidth="1"/>
    <col min="8967" max="8967" width="8.69921875" style="273" bestFit="1" customWidth="1"/>
    <col min="8968" max="8968" width="9.8984375" style="273" customWidth="1"/>
    <col min="8969" max="8969" width="20" style="273" customWidth="1"/>
    <col min="8970" max="8970" width="23.3984375" style="273" customWidth="1"/>
    <col min="8971" max="8971" width="21.59765625" style="273" bestFit="1" customWidth="1"/>
    <col min="8972" max="8972" width="12.69921875" style="273" customWidth="1"/>
    <col min="8973" max="8973" width="15.5" style="273" customWidth="1"/>
    <col min="8974" max="8974" width="8.09765625" style="273" bestFit="1" customWidth="1"/>
    <col min="8975" max="9218" width="9" style="273"/>
    <col min="9219" max="9219" width="8.5" style="273" customWidth="1"/>
    <col min="9220" max="9220" width="13.59765625" style="273" bestFit="1" customWidth="1"/>
    <col min="9221" max="9221" width="11.59765625" style="273" customWidth="1"/>
    <col min="9222" max="9222" width="65.3984375" style="273" customWidth="1"/>
    <col min="9223" max="9223" width="8.69921875" style="273" bestFit="1" customWidth="1"/>
    <col min="9224" max="9224" width="9.8984375" style="273" customWidth="1"/>
    <col min="9225" max="9225" width="20" style="273" customWidth="1"/>
    <col min="9226" max="9226" width="23.3984375" style="273" customWidth="1"/>
    <col min="9227" max="9227" width="21.59765625" style="273" bestFit="1" customWidth="1"/>
    <col min="9228" max="9228" width="12.69921875" style="273" customWidth="1"/>
    <col min="9229" max="9229" width="15.5" style="273" customWidth="1"/>
    <col min="9230" max="9230" width="8.09765625" style="273" bestFit="1" customWidth="1"/>
    <col min="9231" max="9474" width="9" style="273"/>
    <col min="9475" max="9475" width="8.5" style="273" customWidth="1"/>
    <col min="9476" max="9476" width="13.59765625" style="273" bestFit="1" customWidth="1"/>
    <col min="9477" max="9477" width="11.59765625" style="273" customWidth="1"/>
    <col min="9478" max="9478" width="65.3984375" style="273" customWidth="1"/>
    <col min="9479" max="9479" width="8.69921875" style="273" bestFit="1" customWidth="1"/>
    <col min="9480" max="9480" width="9.8984375" style="273" customWidth="1"/>
    <col min="9481" max="9481" width="20" style="273" customWidth="1"/>
    <col min="9482" max="9482" width="23.3984375" style="273" customWidth="1"/>
    <col min="9483" max="9483" width="21.59765625" style="273" bestFit="1" customWidth="1"/>
    <col min="9484" max="9484" width="12.69921875" style="273" customWidth="1"/>
    <col min="9485" max="9485" width="15.5" style="273" customWidth="1"/>
    <col min="9486" max="9486" width="8.09765625" style="273" bestFit="1" customWidth="1"/>
    <col min="9487" max="9730" width="9" style="273"/>
    <col min="9731" max="9731" width="8.5" style="273" customWidth="1"/>
    <col min="9732" max="9732" width="13.59765625" style="273" bestFit="1" customWidth="1"/>
    <col min="9733" max="9733" width="11.59765625" style="273" customWidth="1"/>
    <col min="9734" max="9734" width="65.3984375" style="273" customWidth="1"/>
    <col min="9735" max="9735" width="8.69921875" style="273" bestFit="1" customWidth="1"/>
    <col min="9736" max="9736" width="9.8984375" style="273" customWidth="1"/>
    <col min="9737" max="9737" width="20" style="273" customWidth="1"/>
    <col min="9738" max="9738" width="23.3984375" style="273" customWidth="1"/>
    <col min="9739" max="9739" width="21.59765625" style="273" bestFit="1" customWidth="1"/>
    <col min="9740" max="9740" width="12.69921875" style="273" customWidth="1"/>
    <col min="9741" max="9741" width="15.5" style="273" customWidth="1"/>
    <col min="9742" max="9742" width="8.09765625" style="273" bestFit="1" customWidth="1"/>
    <col min="9743" max="9986" width="9" style="273"/>
    <col min="9987" max="9987" width="8.5" style="273" customWidth="1"/>
    <col min="9988" max="9988" width="13.59765625" style="273" bestFit="1" customWidth="1"/>
    <col min="9989" max="9989" width="11.59765625" style="273" customWidth="1"/>
    <col min="9990" max="9990" width="65.3984375" style="273" customWidth="1"/>
    <col min="9991" max="9991" width="8.69921875" style="273" bestFit="1" customWidth="1"/>
    <col min="9992" max="9992" width="9.8984375" style="273" customWidth="1"/>
    <col min="9993" max="9993" width="20" style="273" customWidth="1"/>
    <col min="9994" max="9994" width="23.3984375" style="273" customWidth="1"/>
    <col min="9995" max="9995" width="21.59765625" style="273" bestFit="1" customWidth="1"/>
    <col min="9996" max="9996" width="12.69921875" style="273" customWidth="1"/>
    <col min="9997" max="9997" width="15.5" style="273" customWidth="1"/>
    <col min="9998" max="9998" width="8.09765625" style="273" bestFit="1" customWidth="1"/>
    <col min="9999" max="10242" width="9" style="273"/>
    <col min="10243" max="10243" width="8.5" style="273" customWidth="1"/>
    <col min="10244" max="10244" width="13.59765625" style="273" bestFit="1" customWidth="1"/>
    <col min="10245" max="10245" width="11.59765625" style="273" customWidth="1"/>
    <col min="10246" max="10246" width="65.3984375" style="273" customWidth="1"/>
    <col min="10247" max="10247" width="8.69921875" style="273" bestFit="1" customWidth="1"/>
    <col min="10248" max="10248" width="9.8984375" style="273" customWidth="1"/>
    <col min="10249" max="10249" width="20" style="273" customWidth="1"/>
    <col min="10250" max="10250" width="23.3984375" style="273" customWidth="1"/>
    <col min="10251" max="10251" width="21.59765625" style="273" bestFit="1" customWidth="1"/>
    <col min="10252" max="10252" width="12.69921875" style="273" customWidth="1"/>
    <col min="10253" max="10253" width="15.5" style="273" customWidth="1"/>
    <col min="10254" max="10254" width="8.09765625" style="273" bestFit="1" customWidth="1"/>
    <col min="10255" max="10498" width="9" style="273"/>
    <col min="10499" max="10499" width="8.5" style="273" customWidth="1"/>
    <col min="10500" max="10500" width="13.59765625" style="273" bestFit="1" customWidth="1"/>
    <col min="10501" max="10501" width="11.59765625" style="273" customWidth="1"/>
    <col min="10502" max="10502" width="65.3984375" style="273" customWidth="1"/>
    <col min="10503" max="10503" width="8.69921875" style="273" bestFit="1" customWidth="1"/>
    <col min="10504" max="10504" width="9.8984375" style="273" customWidth="1"/>
    <col min="10505" max="10505" width="20" style="273" customWidth="1"/>
    <col min="10506" max="10506" width="23.3984375" style="273" customWidth="1"/>
    <col min="10507" max="10507" width="21.59765625" style="273" bestFit="1" customWidth="1"/>
    <col min="10508" max="10508" width="12.69921875" style="273" customWidth="1"/>
    <col min="10509" max="10509" width="15.5" style="273" customWidth="1"/>
    <col min="10510" max="10510" width="8.09765625" style="273" bestFit="1" customWidth="1"/>
    <col min="10511" max="10754" width="9" style="273"/>
    <col min="10755" max="10755" width="8.5" style="273" customWidth="1"/>
    <col min="10756" max="10756" width="13.59765625" style="273" bestFit="1" customWidth="1"/>
    <col min="10757" max="10757" width="11.59765625" style="273" customWidth="1"/>
    <col min="10758" max="10758" width="65.3984375" style="273" customWidth="1"/>
    <col min="10759" max="10759" width="8.69921875" style="273" bestFit="1" customWidth="1"/>
    <col min="10760" max="10760" width="9.8984375" style="273" customWidth="1"/>
    <col min="10761" max="10761" width="20" style="273" customWidth="1"/>
    <col min="10762" max="10762" width="23.3984375" style="273" customWidth="1"/>
    <col min="10763" max="10763" width="21.59765625" style="273" bestFit="1" customWidth="1"/>
    <col min="10764" max="10764" width="12.69921875" style="273" customWidth="1"/>
    <col min="10765" max="10765" width="15.5" style="273" customWidth="1"/>
    <col min="10766" max="10766" width="8.09765625" style="273" bestFit="1" customWidth="1"/>
    <col min="10767" max="11010" width="9" style="273"/>
    <col min="11011" max="11011" width="8.5" style="273" customWidth="1"/>
    <col min="11012" max="11012" width="13.59765625" style="273" bestFit="1" customWidth="1"/>
    <col min="11013" max="11013" width="11.59765625" style="273" customWidth="1"/>
    <col min="11014" max="11014" width="65.3984375" style="273" customWidth="1"/>
    <col min="11015" max="11015" width="8.69921875" style="273" bestFit="1" customWidth="1"/>
    <col min="11016" max="11016" width="9.8984375" style="273" customWidth="1"/>
    <col min="11017" max="11017" width="20" style="273" customWidth="1"/>
    <col min="11018" max="11018" width="23.3984375" style="273" customWidth="1"/>
    <col min="11019" max="11019" width="21.59765625" style="273" bestFit="1" customWidth="1"/>
    <col min="11020" max="11020" width="12.69921875" style="273" customWidth="1"/>
    <col min="11021" max="11021" width="15.5" style="273" customWidth="1"/>
    <col min="11022" max="11022" width="8.09765625" style="273" bestFit="1" customWidth="1"/>
    <col min="11023" max="11266" width="9" style="273"/>
    <col min="11267" max="11267" width="8.5" style="273" customWidth="1"/>
    <col min="11268" max="11268" width="13.59765625" style="273" bestFit="1" customWidth="1"/>
    <col min="11269" max="11269" width="11.59765625" style="273" customWidth="1"/>
    <col min="11270" max="11270" width="65.3984375" style="273" customWidth="1"/>
    <col min="11271" max="11271" width="8.69921875" style="273" bestFit="1" customWidth="1"/>
    <col min="11272" max="11272" width="9.8984375" style="273" customWidth="1"/>
    <col min="11273" max="11273" width="20" style="273" customWidth="1"/>
    <col min="11274" max="11274" width="23.3984375" style="273" customWidth="1"/>
    <col min="11275" max="11275" width="21.59765625" style="273" bestFit="1" customWidth="1"/>
    <col min="11276" max="11276" width="12.69921875" style="273" customWidth="1"/>
    <col min="11277" max="11277" width="15.5" style="273" customWidth="1"/>
    <col min="11278" max="11278" width="8.09765625" style="273" bestFit="1" customWidth="1"/>
    <col min="11279" max="11522" width="9" style="273"/>
    <col min="11523" max="11523" width="8.5" style="273" customWidth="1"/>
    <col min="11524" max="11524" width="13.59765625" style="273" bestFit="1" customWidth="1"/>
    <col min="11525" max="11525" width="11.59765625" style="273" customWidth="1"/>
    <col min="11526" max="11526" width="65.3984375" style="273" customWidth="1"/>
    <col min="11527" max="11527" width="8.69921875" style="273" bestFit="1" customWidth="1"/>
    <col min="11528" max="11528" width="9.8984375" style="273" customWidth="1"/>
    <col min="11529" max="11529" width="20" style="273" customWidth="1"/>
    <col min="11530" max="11530" width="23.3984375" style="273" customWidth="1"/>
    <col min="11531" max="11531" width="21.59765625" style="273" bestFit="1" customWidth="1"/>
    <col min="11532" max="11532" width="12.69921875" style="273" customWidth="1"/>
    <col min="11533" max="11533" width="15.5" style="273" customWidth="1"/>
    <col min="11534" max="11534" width="8.09765625" style="273" bestFit="1" customWidth="1"/>
    <col min="11535" max="11778" width="9" style="273"/>
    <col min="11779" max="11779" width="8.5" style="273" customWidth="1"/>
    <col min="11780" max="11780" width="13.59765625" style="273" bestFit="1" customWidth="1"/>
    <col min="11781" max="11781" width="11.59765625" style="273" customWidth="1"/>
    <col min="11782" max="11782" width="65.3984375" style="273" customWidth="1"/>
    <col min="11783" max="11783" width="8.69921875" style="273" bestFit="1" customWidth="1"/>
    <col min="11784" max="11784" width="9.8984375" style="273" customWidth="1"/>
    <col min="11785" max="11785" width="20" style="273" customWidth="1"/>
    <col min="11786" max="11786" width="23.3984375" style="273" customWidth="1"/>
    <col min="11787" max="11787" width="21.59765625" style="273" bestFit="1" customWidth="1"/>
    <col min="11788" max="11788" width="12.69921875" style="273" customWidth="1"/>
    <col min="11789" max="11789" width="15.5" style="273" customWidth="1"/>
    <col min="11790" max="11790" width="8.09765625" style="273" bestFit="1" customWidth="1"/>
    <col min="11791" max="12034" width="9" style="273"/>
    <col min="12035" max="12035" width="8.5" style="273" customWidth="1"/>
    <col min="12036" max="12036" width="13.59765625" style="273" bestFit="1" customWidth="1"/>
    <col min="12037" max="12037" width="11.59765625" style="273" customWidth="1"/>
    <col min="12038" max="12038" width="65.3984375" style="273" customWidth="1"/>
    <col min="12039" max="12039" width="8.69921875" style="273" bestFit="1" customWidth="1"/>
    <col min="12040" max="12040" width="9.8984375" style="273" customWidth="1"/>
    <col min="12041" max="12041" width="20" style="273" customWidth="1"/>
    <col min="12042" max="12042" width="23.3984375" style="273" customWidth="1"/>
    <col min="12043" max="12043" width="21.59765625" style="273" bestFit="1" customWidth="1"/>
    <col min="12044" max="12044" width="12.69921875" style="273" customWidth="1"/>
    <col min="12045" max="12045" width="15.5" style="273" customWidth="1"/>
    <col min="12046" max="12046" width="8.09765625" style="273" bestFit="1" customWidth="1"/>
    <col min="12047" max="12290" width="9" style="273"/>
    <col min="12291" max="12291" width="8.5" style="273" customWidth="1"/>
    <col min="12292" max="12292" width="13.59765625" style="273" bestFit="1" customWidth="1"/>
    <col min="12293" max="12293" width="11.59765625" style="273" customWidth="1"/>
    <col min="12294" max="12294" width="65.3984375" style="273" customWidth="1"/>
    <col min="12295" max="12295" width="8.69921875" style="273" bestFit="1" customWidth="1"/>
    <col min="12296" max="12296" width="9.8984375" style="273" customWidth="1"/>
    <col min="12297" max="12297" width="20" style="273" customWidth="1"/>
    <col min="12298" max="12298" width="23.3984375" style="273" customWidth="1"/>
    <col min="12299" max="12299" width="21.59765625" style="273" bestFit="1" customWidth="1"/>
    <col min="12300" max="12300" width="12.69921875" style="273" customWidth="1"/>
    <col min="12301" max="12301" width="15.5" style="273" customWidth="1"/>
    <col min="12302" max="12302" width="8.09765625" style="273" bestFit="1" customWidth="1"/>
    <col min="12303" max="12546" width="9" style="273"/>
    <col min="12547" max="12547" width="8.5" style="273" customWidth="1"/>
    <col min="12548" max="12548" width="13.59765625" style="273" bestFit="1" customWidth="1"/>
    <col min="12549" max="12549" width="11.59765625" style="273" customWidth="1"/>
    <col min="12550" max="12550" width="65.3984375" style="273" customWidth="1"/>
    <col min="12551" max="12551" width="8.69921875" style="273" bestFit="1" customWidth="1"/>
    <col min="12552" max="12552" width="9.8984375" style="273" customWidth="1"/>
    <col min="12553" max="12553" width="20" style="273" customWidth="1"/>
    <col min="12554" max="12554" width="23.3984375" style="273" customWidth="1"/>
    <col min="12555" max="12555" width="21.59765625" style="273" bestFit="1" customWidth="1"/>
    <col min="12556" max="12556" width="12.69921875" style="273" customWidth="1"/>
    <col min="12557" max="12557" width="15.5" style="273" customWidth="1"/>
    <col min="12558" max="12558" width="8.09765625" style="273" bestFit="1" customWidth="1"/>
    <col min="12559" max="12802" width="9" style="273"/>
    <col min="12803" max="12803" width="8.5" style="273" customWidth="1"/>
    <col min="12804" max="12804" width="13.59765625" style="273" bestFit="1" customWidth="1"/>
    <col min="12805" max="12805" width="11.59765625" style="273" customWidth="1"/>
    <col min="12806" max="12806" width="65.3984375" style="273" customWidth="1"/>
    <col min="12807" max="12807" width="8.69921875" style="273" bestFit="1" customWidth="1"/>
    <col min="12808" max="12808" width="9.8984375" style="273" customWidth="1"/>
    <col min="12809" max="12809" width="20" style="273" customWidth="1"/>
    <col min="12810" max="12810" width="23.3984375" style="273" customWidth="1"/>
    <col min="12811" max="12811" width="21.59765625" style="273" bestFit="1" customWidth="1"/>
    <col min="12812" max="12812" width="12.69921875" style="273" customWidth="1"/>
    <col min="12813" max="12813" width="15.5" style="273" customWidth="1"/>
    <col min="12814" max="12814" width="8.09765625" style="273" bestFit="1" customWidth="1"/>
    <col min="12815" max="13058" width="9" style="273"/>
    <col min="13059" max="13059" width="8.5" style="273" customWidth="1"/>
    <col min="13060" max="13060" width="13.59765625" style="273" bestFit="1" customWidth="1"/>
    <col min="13061" max="13061" width="11.59765625" style="273" customWidth="1"/>
    <col min="13062" max="13062" width="65.3984375" style="273" customWidth="1"/>
    <col min="13063" max="13063" width="8.69921875" style="273" bestFit="1" customWidth="1"/>
    <col min="13064" max="13064" width="9.8984375" style="273" customWidth="1"/>
    <col min="13065" max="13065" width="20" style="273" customWidth="1"/>
    <col min="13066" max="13066" width="23.3984375" style="273" customWidth="1"/>
    <col min="13067" max="13067" width="21.59765625" style="273" bestFit="1" customWidth="1"/>
    <col min="13068" max="13068" width="12.69921875" style="273" customWidth="1"/>
    <col min="13069" max="13069" width="15.5" style="273" customWidth="1"/>
    <col min="13070" max="13070" width="8.09765625" style="273" bestFit="1" customWidth="1"/>
    <col min="13071" max="13314" width="9" style="273"/>
    <col min="13315" max="13315" width="8.5" style="273" customWidth="1"/>
    <col min="13316" max="13316" width="13.59765625" style="273" bestFit="1" customWidth="1"/>
    <col min="13317" max="13317" width="11.59765625" style="273" customWidth="1"/>
    <col min="13318" max="13318" width="65.3984375" style="273" customWidth="1"/>
    <col min="13319" max="13319" width="8.69921875" style="273" bestFit="1" customWidth="1"/>
    <col min="13320" max="13320" width="9.8984375" style="273" customWidth="1"/>
    <col min="13321" max="13321" width="20" style="273" customWidth="1"/>
    <col min="13322" max="13322" width="23.3984375" style="273" customWidth="1"/>
    <col min="13323" max="13323" width="21.59765625" style="273" bestFit="1" customWidth="1"/>
    <col min="13324" max="13324" width="12.69921875" style="273" customWidth="1"/>
    <col min="13325" max="13325" width="15.5" style="273" customWidth="1"/>
    <col min="13326" max="13326" width="8.09765625" style="273" bestFit="1" customWidth="1"/>
    <col min="13327" max="13570" width="9" style="273"/>
    <col min="13571" max="13571" width="8.5" style="273" customWidth="1"/>
    <col min="13572" max="13572" width="13.59765625" style="273" bestFit="1" customWidth="1"/>
    <col min="13573" max="13573" width="11.59765625" style="273" customWidth="1"/>
    <col min="13574" max="13574" width="65.3984375" style="273" customWidth="1"/>
    <col min="13575" max="13575" width="8.69921875" style="273" bestFit="1" customWidth="1"/>
    <col min="13576" max="13576" width="9.8984375" style="273" customWidth="1"/>
    <col min="13577" max="13577" width="20" style="273" customWidth="1"/>
    <col min="13578" max="13578" width="23.3984375" style="273" customWidth="1"/>
    <col min="13579" max="13579" width="21.59765625" style="273" bestFit="1" customWidth="1"/>
    <col min="13580" max="13580" width="12.69921875" style="273" customWidth="1"/>
    <col min="13581" max="13581" width="15.5" style="273" customWidth="1"/>
    <col min="13582" max="13582" width="8.09765625" style="273" bestFit="1" customWidth="1"/>
    <col min="13583" max="13826" width="9" style="273"/>
    <col min="13827" max="13827" width="8.5" style="273" customWidth="1"/>
    <col min="13828" max="13828" width="13.59765625" style="273" bestFit="1" customWidth="1"/>
    <col min="13829" max="13829" width="11.59765625" style="273" customWidth="1"/>
    <col min="13830" max="13830" width="65.3984375" style="273" customWidth="1"/>
    <col min="13831" max="13831" width="8.69921875" style="273" bestFit="1" customWidth="1"/>
    <col min="13832" max="13832" width="9.8984375" style="273" customWidth="1"/>
    <col min="13833" max="13833" width="20" style="273" customWidth="1"/>
    <col min="13834" max="13834" width="23.3984375" style="273" customWidth="1"/>
    <col min="13835" max="13835" width="21.59765625" style="273" bestFit="1" customWidth="1"/>
    <col min="13836" max="13836" width="12.69921875" style="273" customWidth="1"/>
    <col min="13837" max="13837" width="15.5" style="273" customWidth="1"/>
    <col min="13838" max="13838" width="8.09765625" style="273" bestFit="1" customWidth="1"/>
    <col min="13839" max="14082" width="9" style="273"/>
    <col min="14083" max="14083" width="8.5" style="273" customWidth="1"/>
    <col min="14084" max="14084" width="13.59765625" style="273" bestFit="1" customWidth="1"/>
    <col min="14085" max="14085" width="11.59765625" style="273" customWidth="1"/>
    <col min="14086" max="14086" width="65.3984375" style="273" customWidth="1"/>
    <col min="14087" max="14087" width="8.69921875" style="273" bestFit="1" customWidth="1"/>
    <col min="14088" max="14088" width="9.8984375" style="273" customWidth="1"/>
    <col min="14089" max="14089" width="20" style="273" customWidth="1"/>
    <col min="14090" max="14090" width="23.3984375" style="273" customWidth="1"/>
    <col min="14091" max="14091" width="21.59765625" style="273" bestFit="1" customWidth="1"/>
    <col min="14092" max="14092" width="12.69921875" style="273" customWidth="1"/>
    <col min="14093" max="14093" width="15.5" style="273" customWidth="1"/>
    <col min="14094" max="14094" width="8.09765625" style="273" bestFit="1" customWidth="1"/>
    <col min="14095" max="14338" width="9" style="273"/>
    <col min="14339" max="14339" width="8.5" style="273" customWidth="1"/>
    <col min="14340" max="14340" width="13.59765625" style="273" bestFit="1" customWidth="1"/>
    <col min="14341" max="14341" width="11.59765625" style="273" customWidth="1"/>
    <col min="14342" max="14342" width="65.3984375" style="273" customWidth="1"/>
    <col min="14343" max="14343" width="8.69921875" style="273" bestFit="1" customWidth="1"/>
    <col min="14344" max="14344" width="9.8984375" style="273" customWidth="1"/>
    <col min="14345" max="14345" width="20" style="273" customWidth="1"/>
    <col min="14346" max="14346" width="23.3984375" style="273" customWidth="1"/>
    <col min="14347" max="14347" width="21.59765625" style="273" bestFit="1" customWidth="1"/>
    <col min="14348" max="14348" width="12.69921875" style="273" customWidth="1"/>
    <col min="14349" max="14349" width="15.5" style="273" customWidth="1"/>
    <col min="14350" max="14350" width="8.09765625" style="273" bestFit="1" customWidth="1"/>
    <col min="14351" max="14594" width="9" style="273"/>
    <col min="14595" max="14595" width="8.5" style="273" customWidth="1"/>
    <col min="14596" max="14596" width="13.59765625" style="273" bestFit="1" customWidth="1"/>
    <col min="14597" max="14597" width="11.59765625" style="273" customWidth="1"/>
    <col min="14598" max="14598" width="65.3984375" style="273" customWidth="1"/>
    <col min="14599" max="14599" width="8.69921875" style="273" bestFit="1" customWidth="1"/>
    <col min="14600" max="14600" width="9.8984375" style="273" customWidth="1"/>
    <col min="14601" max="14601" width="20" style="273" customWidth="1"/>
    <col min="14602" max="14602" width="23.3984375" style="273" customWidth="1"/>
    <col min="14603" max="14603" width="21.59765625" style="273" bestFit="1" customWidth="1"/>
    <col min="14604" max="14604" width="12.69921875" style="273" customWidth="1"/>
    <col min="14605" max="14605" width="15.5" style="273" customWidth="1"/>
    <col min="14606" max="14606" width="8.09765625" style="273" bestFit="1" customWidth="1"/>
    <col min="14607" max="14850" width="9" style="273"/>
    <col min="14851" max="14851" width="8.5" style="273" customWidth="1"/>
    <col min="14852" max="14852" width="13.59765625" style="273" bestFit="1" customWidth="1"/>
    <col min="14853" max="14853" width="11.59765625" style="273" customWidth="1"/>
    <col min="14854" max="14854" width="65.3984375" style="273" customWidth="1"/>
    <col min="14855" max="14855" width="8.69921875" style="273" bestFit="1" customWidth="1"/>
    <col min="14856" max="14856" width="9.8984375" style="273" customWidth="1"/>
    <col min="14857" max="14857" width="20" style="273" customWidth="1"/>
    <col min="14858" max="14858" width="23.3984375" style="273" customWidth="1"/>
    <col min="14859" max="14859" width="21.59765625" style="273" bestFit="1" customWidth="1"/>
    <col min="14860" max="14860" width="12.69921875" style="273" customWidth="1"/>
    <col min="14861" max="14861" width="15.5" style="273" customWidth="1"/>
    <col min="14862" max="14862" width="8.09765625" style="273" bestFit="1" customWidth="1"/>
    <col min="14863" max="15106" width="9" style="273"/>
    <col min="15107" max="15107" width="8.5" style="273" customWidth="1"/>
    <col min="15108" max="15108" width="13.59765625" style="273" bestFit="1" customWidth="1"/>
    <col min="15109" max="15109" width="11.59765625" style="273" customWidth="1"/>
    <col min="15110" max="15110" width="65.3984375" style="273" customWidth="1"/>
    <col min="15111" max="15111" width="8.69921875" style="273" bestFit="1" customWidth="1"/>
    <col min="15112" max="15112" width="9.8984375" style="273" customWidth="1"/>
    <col min="15113" max="15113" width="20" style="273" customWidth="1"/>
    <col min="15114" max="15114" width="23.3984375" style="273" customWidth="1"/>
    <col min="15115" max="15115" width="21.59765625" style="273" bestFit="1" customWidth="1"/>
    <col min="15116" max="15116" width="12.69921875" style="273" customWidth="1"/>
    <col min="15117" max="15117" width="15.5" style="273" customWidth="1"/>
    <col min="15118" max="15118" width="8.09765625" style="273" bestFit="1" customWidth="1"/>
    <col min="15119" max="15362" width="9" style="273"/>
    <col min="15363" max="15363" width="8.5" style="273" customWidth="1"/>
    <col min="15364" max="15364" width="13.59765625" style="273" bestFit="1" customWidth="1"/>
    <col min="15365" max="15365" width="11.59765625" style="273" customWidth="1"/>
    <col min="15366" max="15366" width="65.3984375" style="273" customWidth="1"/>
    <col min="15367" max="15367" width="8.69921875" style="273" bestFit="1" customWidth="1"/>
    <col min="15368" max="15368" width="9.8984375" style="273" customWidth="1"/>
    <col min="15369" max="15369" width="20" style="273" customWidth="1"/>
    <col min="15370" max="15370" width="23.3984375" style="273" customWidth="1"/>
    <col min="15371" max="15371" width="21.59765625" style="273" bestFit="1" customWidth="1"/>
    <col min="15372" max="15372" width="12.69921875" style="273" customWidth="1"/>
    <col min="15373" max="15373" width="15.5" style="273" customWidth="1"/>
    <col min="15374" max="15374" width="8.09765625" style="273" bestFit="1" customWidth="1"/>
    <col min="15375" max="15618" width="9" style="273"/>
    <col min="15619" max="15619" width="8.5" style="273" customWidth="1"/>
    <col min="15620" max="15620" width="13.59765625" style="273" bestFit="1" customWidth="1"/>
    <col min="15621" max="15621" width="11.59765625" style="273" customWidth="1"/>
    <col min="15622" max="15622" width="65.3984375" style="273" customWidth="1"/>
    <col min="15623" max="15623" width="8.69921875" style="273" bestFit="1" customWidth="1"/>
    <col min="15624" max="15624" width="9.8984375" style="273" customWidth="1"/>
    <col min="15625" max="15625" width="20" style="273" customWidth="1"/>
    <col min="15626" max="15626" width="23.3984375" style="273" customWidth="1"/>
    <col min="15627" max="15627" width="21.59765625" style="273" bestFit="1" customWidth="1"/>
    <col min="15628" max="15628" width="12.69921875" style="273" customWidth="1"/>
    <col min="15629" max="15629" width="15.5" style="273" customWidth="1"/>
    <col min="15630" max="15630" width="8.09765625" style="273" bestFit="1" customWidth="1"/>
    <col min="15631" max="15874" width="9" style="273"/>
    <col min="15875" max="15875" width="8.5" style="273" customWidth="1"/>
    <col min="15876" max="15876" width="13.59765625" style="273" bestFit="1" customWidth="1"/>
    <col min="15877" max="15877" width="11.59765625" style="273" customWidth="1"/>
    <col min="15878" max="15878" width="65.3984375" style="273" customWidth="1"/>
    <col min="15879" max="15879" width="8.69921875" style="273" bestFit="1" customWidth="1"/>
    <col min="15880" max="15880" width="9.8984375" style="273" customWidth="1"/>
    <col min="15881" max="15881" width="20" style="273" customWidth="1"/>
    <col min="15882" max="15882" width="23.3984375" style="273" customWidth="1"/>
    <col min="15883" max="15883" width="21.59765625" style="273" bestFit="1" customWidth="1"/>
    <col min="15884" max="15884" width="12.69921875" style="273" customWidth="1"/>
    <col min="15885" max="15885" width="15.5" style="273" customWidth="1"/>
    <col min="15886" max="15886" width="8.09765625" style="273" bestFit="1" customWidth="1"/>
    <col min="15887" max="16130" width="9" style="273"/>
    <col min="16131" max="16131" width="8.5" style="273" customWidth="1"/>
    <col min="16132" max="16132" width="13.59765625" style="273" bestFit="1" customWidth="1"/>
    <col min="16133" max="16133" width="11.59765625" style="273" customWidth="1"/>
    <col min="16134" max="16134" width="65.3984375" style="273" customWidth="1"/>
    <col min="16135" max="16135" width="8.69921875" style="273" bestFit="1" customWidth="1"/>
    <col min="16136" max="16136" width="9.8984375" style="273" customWidth="1"/>
    <col min="16137" max="16137" width="20" style="273" customWidth="1"/>
    <col min="16138" max="16138" width="23.3984375" style="273" customWidth="1"/>
    <col min="16139" max="16139" width="21.59765625" style="273" bestFit="1" customWidth="1"/>
    <col min="16140" max="16140" width="12.69921875" style="273" customWidth="1"/>
    <col min="16141" max="16141" width="15.5" style="273" customWidth="1"/>
    <col min="16142" max="16142" width="8.09765625" style="273" bestFit="1" customWidth="1"/>
    <col min="16143" max="16384" width="9" style="273"/>
  </cols>
  <sheetData>
    <row r="1" spans="1:21" ht="20.399999999999999" customHeight="1">
      <c r="A1" s="426"/>
      <c r="B1" s="427"/>
      <c r="C1" s="444"/>
      <c r="D1" s="428"/>
      <c r="E1" s="1051" t="s">
        <v>597</v>
      </c>
      <c r="F1" s="1052"/>
      <c r="G1" s="1052"/>
      <c r="H1" s="1052"/>
      <c r="I1" s="1052"/>
      <c r="J1" s="1052"/>
      <c r="K1" s="1053"/>
      <c r="L1" s="498"/>
      <c r="M1" s="724"/>
      <c r="N1" s="725"/>
      <c r="O1" s="498"/>
      <c r="P1" s="498"/>
      <c r="Q1" s="498"/>
      <c r="R1" s="498"/>
      <c r="S1" s="498"/>
      <c r="T1" s="498"/>
      <c r="U1" s="498"/>
    </row>
    <row r="2" spans="1:21" ht="19.2" customHeight="1">
      <c r="A2" s="421"/>
      <c r="B2" s="422"/>
      <c r="C2" s="445"/>
      <c r="D2" s="423"/>
      <c r="E2" s="1051" t="s">
        <v>1761</v>
      </c>
      <c r="F2" s="1052"/>
      <c r="G2" s="1052"/>
      <c r="H2" s="1052"/>
      <c r="I2" s="1052"/>
      <c r="J2" s="1052"/>
      <c r="K2" s="1053"/>
      <c r="L2" s="499"/>
      <c r="M2" s="726"/>
      <c r="N2" s="727"/>
      <c r="O2" s="499"/>
      <c r="P2" s="499"/>
      <c r="Q2" s="499"/>
      <c r="R2" s="499"/>
      <c r="S2" s="499"/>
      <c r="T2" s="499"/>
      <c r="U2" s="499"/>
    </row>
    <row r="3" spans="1:21" ht="19.2" customHeight="1">
      <c r="A3" s="421"/>
      <c r="B3" s="422"/>
      <c r="C3" s="445"/>
      <c r="D3" s="423"/>
      <c r="E3" s="1051" t="s">
        <v>1762</v>
      </c>
      <c r="F3" s="1052"/>
      <c r="G3" s="1052"/>
      <c r="H3" s="1052"/>
      <c r="I3" s="1052"/>
      <c r="J3" s="1052"/>
      <c r="K3" s="1053"/>
      <c r="L3" s="500"/>
      <c r="M3" s="728"/>
      <c r="N3" s="729"/>
      <c r="O3" s="500"/>
      <c r="P3" s="500"/>
      <c r="Q3" s="500"/>
      <c r="R3" s="500"/>
      <c r="S3" s="500"/>
      <c r="T3" s="500"/>
      <c r="U3" s="500"/>
    </row>
    <row r="4" spans="1:21" s="272" customFormat="1" ht="9" customHeight="1">
      <c r="A4" s="1055"/>
      <c r="B4" s="1056"/>
      <c r="C4" s="1056"/>
      <c r="D4" s="1056"/>
      <c r="E4" s="1056"/>
      <c r="F4" s="1056"/>
      <c r="G4" s="1056"/>
      <c r="H4" s="1056"/>
      <c r="I4" s="1056"/>
      <c r="J4" s="1057"/>
      <c r="K4" s="629"/>
      <c r="L4" s="501"/>
      <c r="M4" s="730"/>
      <c r="N4" s="629"/>
    </row>
    <row r="5" spans="1:21" s="272" customFormat="1" ht="20.25" customHeight="1">
      <c r="A5" s="429" t="s">
        <v>1829</v>
      </c>
      <c r="B5" s="430"/>
      <c r="C5" s="432"/>
      <c r="D5" s="431"/>
      <c r="E5" s="432"/>
      <c r="F5" s="431"/>
      <c r="G5" s="433"/>
      <c r="H5" s="1058"/>
      <c r="I5" s="1058"/>
      <c r="J5" s="1059"/>
      <c r="K5" s="629"/>
      <c r="L5" s="501"/>
      <c r="M5" s="730"/>
      <c r="N5" s="629"/>
    </row>
    <row r="6" spans="1:21" s="272" customFormat="1" ht="20.25" customHeight="1">
      <c r="A6" s="434" t="s">
        <v>1830</v>
      </c>
      <c r="B6" s="435"/>
      <c r="C6" s="437"/>
      <c r="D6" s="436"/>
      <c r="E6" s="437"/>
      <c r="F6" s="431"/>
      <c r="G6" s="438"/>
      <c r="H6" s="458"/>
      <c r="I6" s="458"/>
      <c r="J6" s="439"/>
      <c r="K6" s="629"/>
      <c r="L6" s="501"/>
      <c r="M6" s="730"/>
      <c r="N6" s="629"/>
    </row>
    <row r="7" spans="1:21" s="272" customFormat="1" ht="20.25" customHeight="1">
      <c r="A7" s="429" t="s">
        <v>2814</v>
      </c>
      <c r="B7" s="430"/>
      <c r="C7" s="432"/>
      <c r="D7" s="431"/>
      <c r="E7" s="432"/>
      <c r="F7" s="431"/>
      <c r="G7" s="438"/>
      <c r="H7" s="438"/>
      <c r="I7" s="438"/>
      <c r="J7" s="439"/>
      <c r="K7" s="629"/>
      <c r="L7" s="501"/>
      <c r="M7" s="730"/>
      <c r="N7" s="629"/>
    </row>
    <row r="8" spans="1:21" s="272" customFormat="1" ht="20.25" customHeight="1">
      <c r="A8" s="1060" t="s">
        <v>598</v>
      </c>
      <c r="B8" s="1061"/>
      <c r="C8" s="1061"/>
      <c r="D8" s="1061"/>
      <c r="E8" s="1061"/>
      <c r="F8" s="1061"/>
      <c r="G8" s="1061"/>
      <c r="H8" s="1061"/>
      <c r="I8" s="1061"/>
      <c r="J8" s="1062"/>
      <c r="K8" s="629"/>
      <c r="L8" s="501"/>
      <c r="M8" s="730"/>
      <c r="N8" s="629"/>
    </row>
    <row r="9" spans="1:21" s="722" customFormat="1" ht="27" customHeight="1" thickBot="1">
      <c r="A9" s="737" t="s">
        <v>599</v>
      </c>
      <c r="B9" s="1063" t="s">
        <v>2911</v>
      </c>
      <c r="C9" s="1064"/>
      <c r="D9" s="1065"/>
      <c r="E9" s="737" t="s">
        <v>600</v>
      </c>
      <c r="F9" s="737" t="s">
        <v>601</v>
      </c>
      <c r="G9" s="738" t="s">
        <v>2912</v>
      </c>
      <c r="H9" s="738" t="s">
        <v>2933</v>
      </c>
      <c r="I9" s="738" t="s">
        <v>2934</v>
      </c>
      <c r="J9" s="738" t="s">
        <v>2932</v>
      </c>
      <c r="K9" s="739" t="s">
        <v>1763</v>
      </c>
      <c r="L9" s="721"/>
      <c r="M9" s="731"/>
      <c r="N9" s="732"/>
    </row>
    <row r="10" spans="1:21" s="695" customFormat="1" ht="9.75" customHeight="1" thickBot="1">
      <c r="A10" s="689"/>
      <c r="B10" s="690"/>
      <c r="C10" s="690"/>
      <c r="D10" s="691"/>
      <c r="E10" s="689"/>
      <c r="F10" s="689"/>
      <c r="G10" s="692"/>
      <c r="H10" s="692"/>
      <c r="I10" s="692"/>
      <c r="J10" s="692"/>
      <c r="K10" s="693"/>
      <c r="L10" s="694"/>
      <c r="M10" s="733"/>
      <c r="N10" s="734"/>
    </row>
    <row r="11" spans="1:21" ht="18" customHeight="1" thickBot="1">
      <c r="A11" s="740">
        <v>1</v>
      </c>
      <c r="B11" s="741"/>
      <c r="C11" s="742"/>
      <c r="D11" s="740"/>
      <c r="E11" s="743" t="s">
        <v>602</v>
      </c>
      <c r="F11" s="744"/>
      <c r="G11" s="745"/>
      <c r="H11" s="745"/>
      <c r="I11" s="745"/>
      <c r="J11" s="745"/>
      <c r="K11" s="746">
        <f>SUBTOTAL(109,K12:K109)</f>
        <v>0.14457216768196429</v>
      </c>
    </row>
    <row r="12" spans="1:21" ht="18" customHeight="1">
      <c r="A12" s="747" t="s">
        <v>176</v>
      </c>
      <c r="B12" s="748" t="s">
        <v>603</v>
      </c>
      <c r="C12" s="749"/>
      <c r="D12" s="749"/>
      <c r="E12" s="749"/>
      <c r="F12" s="749"/>
      <c r="G12" s="749"/>
      <c r="H12" s="749"/>
      <c r="I12" s="749"/>
      <c r="J12" s="750"/>
      <c r="K12" s="746">
        <f>+J23/$J$463</f>
        <v>5.3327723979560537E-2</v>
      </c>
    </row>
    <row r="13" spans="1:21">
      <c r="A13" s="751" t="s">
        <v>604</v>
      </c>
      <c r="B13" s="752" t="s">
        <v>605</v>
      </c>
      <c r="C13" s="753"/>
      <c r="D13" s="754"/>
      <c r="E13" s="755" t="s">
        <v>606</v>
      </c>
      <c r="F13" s="753" t="s">
        <v>630</v>
      </c>
      <c r="G13" s="756">
        <v>1</v>
      </c>
      <c r="H13" s="756">
        <f>'[13]Planilha de Preço_CONSULTORIA'!$K$51</f>
        <v>664246.12000000011</v>
      </c>
      <c r="I13" s="756">
        <f t="shared" ref="I13:I22" si="0">ROUND(H13*(1+$K$471),2)</f>
        <v>829842.68</v>
      </c>
      <c r="J13" s="756">
        <f>ROUND(I13*G13,2)</f>
        <v>829842.68</v>
      </c>
      <c r="K13" s="757"/>
      <c r="N13" s="631"/>
      <c r="O13" s="408"/>
    </row>
    <row r="14" spans="1:21">
      <c r="A14" s="751" t="s">
        <v>608</v>
      </c>
      <c r="B14" s="752" t="s">
        <v>605</v>
      </c>
      <c r="C14" s="753"/>
      <c r="D14" s="754"/>
      <c r="E14" s="755" t="s">
        <v>609</v>
      </c>
      <c r="F14" s="753" t="s">
        <v>630</v>
      </c>
      <c r="G14" s="756">
        <v>1</v>
      </c>
      <c r="H14" s="756">
        <f>'[14]Planilha de Preço_CONSULTORIA'!$J$50</f>
        <v>979954.71000000008</v>
      </c>
      <c r="I14" s="756">
        <f t="shared" si="0"/>
        <v>1224257.42</v>
      </c>
      <c r="J14" s="756">
        <f t="shared" ref="J14:J22" si="1">ROUND(I14*G14,2)</f>
        <v>1224257.42</v>
      </c>
      <c r="K14" s="757"/>
      <c r="N14" s="631"/>
      <c r="O14" s="408"/>
    </row>
    <row r="15" spans="1:21" ht="25.2">
      <c r="A15" s="751" t="s">
        <v>610</v>
      </c>
      <c r="B15" s="752" t="s">
        <v>605</v>
      </c>
      <c r="C15" s="753"/>
      <c r="D15" s="754"/>
      <c r="E15" s="755" t="s">
        <v>1831</v>
      </c>
      <c r="F15" s="753" t="s">
        <v>1536</v>
      </c>
      <c r="G15" s="756">
        <v>1</v>
      </c>
      <c r="H15" s="756">
        <f>'[15]Planilha de Preço_CONSULTORIA'!$K$49</f>
        <v>556213.44000000006</v>
      </c>
      <c r="I15" s="756">
        <f t="shared" si="0"/>
        <v>694877.45</v>
      </c>
      <c r="J15" s="756">
        <f t="shared" si="1"/>
        <v>694877.45</v>
      </c>
      <c r="K15" s="757"/>
      <c r="N15" s="631"/>
      <c r="O15" s="408"/>
    </row>
    <row r="16" spans="1:21" ht="25.2">
      <c r="A16" s="751" t="s">
        <v>611</v>
      </c>
      <c r="B16" s="752" t="s">
        <v>605</v>
      </c>
      <c r="C16" s="753"/>
      <c r="D16" s="754"/>
      <c r="E16" s="755" t="s">
        <v>1561</v>
      </c>
      <c r="F16" s="753" t="s">
        <v>1536</v>
      </c>
      <c r="G16" s="756">
        <v>1</v>
      </c>
      <c r="H16" s="756">
        <f>'[16]Planilha de Preço_CONSULTORIA'!$K$50</f>
        <v>548982.19000000006</v>
      </c>
      <c r="I16" s="756">
        <f t="shared" si="0"/>
        <v>685843.45</v>
      </c>
      <c r="J16" s="756">
        <f t="shared" si="1"/>
        <v>685843.45</v>
      </c>
      <c r="K16" s="757"/>
      <c r="N16" s="631"/>
      <c r="O16" s="408"/>
    </row>
    <row r="17" spans="1:15" ht="37.799999999999997">
      <c r="A17" s="751" t="s">
        <v>613</v>
      </c>
      <c r="B17" s="752" t="s">
        <v>605</v>
      </c>
      <c r="C17" s="753"/>
      <c r="D17" s="754"/>
      <c r="E17" s="755" t="s">
        <v>1562</v>
      </c>
      <c r="F17" s="753" t="s">
        <v>1536</v>
      </c>
      <c r="G17" s="756">
        <v>1</v>
      </c>
      <c r="H17" s="756">
        <f>'[17]Planilha de Preço_CONSULTORIA'!$K$50</f>
        <v>636379.84</v>
      </c>
      <c r="I17" s="756">
        <f t="shared" si="0"/>
        <v>795029.33</v>
      </c>
      <c r="J17" s="756">
        <f t="shared" si="1"/>
        <v>795029.33</v>
      </c>
      <c r="K17" s="757"/>
      <c r="N17" s="631"/>
      <c r="O17" s="408"/>
    </row>
    <row r="18" spans="1:15" ht="37.799999999999997">
      <c r="A18" s="751" t="s">
        <v>615</v>
      </c>
      <c r="B18" s="752" t="s">
        <v>605</v>
      </c>
      <c r="C18" s="753"/>
      <c r="D18" s="754"/>
      <c r="E18" s="755" t="s">
        <v>1563</v>
      </c>
      <c r="F18" s="753" t="s">
        <v>1536</v>
      </c>
      <c r="G18" s="756">
        <v>1</v>
      </c>
      <c r="H18" s="756">
        <f>'[18]Planilha de Preço_CONSULTORIA'!$J$52</f>
        <v>501651.52999999997</v>
      </c>
      <c r="I18" s="756">
        <f t="shared" si="0"/>
        <v>626713.26</v>
      </c>
      <c r="J18" s="756">
        <f t="shared" si="1"/>
        <v>626713.26</v>
      </c>
      <c r="K18" s="757"/>
      <c r="N18" s="631"/>
      <c r="O18" s="408"/>
    </row>
    <row r="19" spans="1:15">
      <c r="A19" s="751" t="s">
        <v>617</v>
      </c>
      <c r="B19" s="752" t="s">
        <v>605</v>
      </c>
      <c r="C19" s="753"/>
      <c r="D19" s="753"/>
      <c r="E19" s="758" t="s">
        <v>623</v>
      </c>
      <c r="F19" s="753" t="s">
        <v>1536</v>
      </c>
      <c r="G19" s="756">
        <v>1</v>
      </c>
      <c r="H19" s="756">
        <f>'[19]Planilha de Preço_CONSULTORIA'!$K$50</f>
        <v>53108.740000000005</v>
      </c>
      <c r="I19" s="756">
        <f t="shared" si="0"/>
        <v>66348.75</v>
      </c>
      <c r="J19" s="756">
        <f t="shared" si="1"/>
        <v>66348.75</v>
      </c>
      <c r="K19" s="757"/>
      <c r="N19" s="631"/>
      <c r="O19" s="408"/>
    </row>
    <row r="20" spans="1:15">
      <c r="A20" s="751" t="s">
        <v>618</v>
      </c>
      <c r="B20" s="752" t="s">
        <v>605</v>
      </c>
      <c r="C20" s="753"/>
      <c r="D20" s="753"/>
      <c r="E20" s="758" t="s">
        <v>1586</v>
      </c>
      <c r="F20" s="753" t="s">
        <v>1536</v>
      </c>
      <c r="G20" s="756">
        <v>1</v>
      </c>
      <c r="H20" s="756">
        <f>'[20]Planilha de Preço_CONSULTORIA'!$J$47</f>
        <v>143445.84</v>
      </c>
      <c r="I20" s="756">
        <f t="shared" si="0"/>
        <v>179206.89</v>
      </c>
      <c r="J20" s="756">
        <f t="shared" si="1"/>
        <v>179206.89</v>
      </c>
      <c r="K20" s="757"/>
      <c r="N20" s="631"/>
      <c r="O20" s="408"/>
    </row>
    <row r="21" spans="1:15">
      <c r="A21" s="751" t="s">
        <v>620</v>
      </c>
      <c r="B21" s="759" t="s">
        <v>605</v>
      </c>
      <c r="C21" s="760"/>
      <c r="D21" s="761"/>
      <c r="E21" s="762" t="s">
        <v>1526</v>
      </c>
      <c r="F21" s="760" t="s">
        <v>701</v>
      </c>
      <c r="G21" s="756">
        <v>1</v>
      </c>
      <c r="H21" s="756">
        <f>'[21]Planilha de Preço_CONSULTORIA'!$K$50</f>
        <v>38373.760000000002</v>
      </c>
      <c r="I21" s="756">
        <f t="shared" si="0"/>
        <v>47940.34</v>
      </c>
      <c r="J21" s="756">
        <f t="shared" si="1"/>
        <v>47940.34</v>
      </c>
      <c r="K21" s="757"/>
      <c r="N21" s="631"/>
      <c r="O21" s="408"/>
    </row>
    <row r="22" spans="1:15">
      <c r="A22" s="751" t="s">
        <v>622</v>
      </c>
      <c r="B22" s="763" t="s">
        <v>1060</v>
      </c>
      <c r="C22" s="764"/>
      <c r="D22" s="765" t="s">
        <v>1832</v>
      </c>
      <c r="E22" s="762" t="s">
        <v>2874</v>
      </c>
      <c r="F22" s="761" t="s">
        <v>630</v>
      </c>
      <c r="G22" s="756">
        <v>2040</v>
      </c>
      <c r="H22" s="756">
        <v>2.7</v>
      </c>
      <c r="I22" s="756">
        <f t="shared" si="0"/>
        <v>3.37</v>
      </c>
      <c r="J22" s="756">
        <f t="shared" si="1"/>
        <v>6874.8</v>
      </c>
      <c r="K22" s="766"/>
      <c r="N22" s="631"/>
      <c r="O22" s="408"/>
    </row>
    <row r="23" spans="1:15" s="274" customFormat="1">
      <c r="A23" s="767" t="s">
        <v>625</v>
      </c>
      <c r="B23" s="768"/>
      <c r="C23" s="769"/>
      <c r="D23" s="769"/>
      <c r="E23" s="769"/>
      <c r="F23" s="769"/>
      <c r="G23" s="769"/>
      <c r="H23" s="770"/>
      <c r="I23" s="770"/>
      <c r="J23" s="771">
        <f>SUBTOTAL(109,J13:J22)</f>
        <v>5156934.3699999992</v>
      </c>
      <c r="K23" s="772"/>
      <c r="L23" s="501"/>
      <c r="M23" s="730">
        <v>4977727.4800000004</v>
      </c>
      <c r="N23" s="631">
        <f>+J23-M23</f>
        <v>179206.88999999873</v>
      </c>
      <c r="O23" s="408"/>
    </row>
    <row r="24" spans="1:15">
      <c r="A24" s="773" t="s">
        <v>177</v>
      </c>
      <c r="B24" s="774" t="s">
        <v>2824</v>
      </c>
      <c r="C24" s="775"/>
      <c r="D24" s="776"/>
      <c r="E24" s="776"/>
      <c r="F24" s="776"/>
      <c r="G24" s="776"/>
      <c r="H24" s="776"/>
      <c r="I24" s="776"/>
      <c r="J24" s="777"/>
      <c r="K24" s="746">
        <f>+J32/$J$463</f>
        <v>1.6981456223641121E-3</v>
      </c>
      <c r="N24" s="631"/>
      <c r="O24" s="408"/>
    </row>
    <row r="25" spans="1:15" ht="18" customHeight="1">
      <c r="A25" s="778" t="s">
        <v>627</v>
      </c>
      <c r="B25" s="779" t="s">
        <v>628</v>
      </c>
      <c r="C25" s="780"/>
      <c r="D25" s="780">
        <v>72872</v>
      </c>
      <c r="E25" s="781" t="s">
        <v>2873</v>
      </c>
      <c r="F25" s="782" t="s">
        <v>1536</v>
      </c>
      <c r="G25" s="756">
        <v>1</v>
      </c>
      <c r="H25" s="756">
        <v>437.07</v>
      </c>
      <c r="I25" s="756">
        <f t="shared" ref="I25:I31" si="2">ROUND(H25*(1+$K$471),2)</f>
        <v>546.03</v>
      </c>
      <c r="J25" s="756">
        <f t="shared" ref="J25:J31" si="3">ROUND(I25*G25,2)</f>
        <v>546.03</v>
      </c>
      <c r="K25" s="757"/>
      <c r="N25" s="631"/>
      <c r="O25" s="408"/>
    </row>
    <row r="26" spans="1:15" ht="25.2">
      <c r="A26" s="778" t="s">
        <v>631</v>
      </c>
      <c r="B26" s="779" t="s">
        <v>605</v>
      </c>
      <c r="C26" s="780"/>
      <c r="D26" s="783" t="s">
        <v>1930</v>
      </c>
      <c r="E26" s="781" t="s">
        <v>1537</v>
      </c>
      <c r="F26" s="782" t="s">
        <v>1536</v>
      </c>
      <c r="G26" s="756">
        <v>5</v>
      </c>
      <c r="H26" s="756">
        <v>57.92</v>
      </c>
      <c r="I26" s="756">
        <f t="shared" si="2"/>
        <v>72.36</v>
      </c>
      <c r="J26" s="756">
        <f t="shared" si="3"/>
        <v>361.8</v>
      </c>
      <c r="K26" s="757"/>
      <c r="N26" s="631"/>
      <c r="O26" s="408"/>
    </row>
    <row r="27" spans="1:15">
      <c r="A27" s="778" t="s">
        <v>634</v>
      </c>
      <c r="B27" s="779" t="s">
        <v>1553</v>
      </c>
      <c r="C27" s="780"/>
      <c r="D27" s="783" t="s">
        <v>2441</v>
      </c>
      <c r="E27" s="781" t="s">
        <v>2442</v>
      </c>
      <c r="F27" s="782" t="s">
        <v>217</v>
      </c>
      <c r="G27" s="756">
        <v>75</v>
      </c>
      <c r="H27" s="756">
        <v>306.67</v>
      </c>
      <c r="I27" s="756">
        <f t="shared" si="2"/>
        <v>383.12</v>
      </c>
      <c r="J27" s="756">
        <f t="shared" si="3"/>
        <v>28734</v>
      </c>
      <c r="K27" s="757"/>
      <c r="N27" s="631"/>
      <c r="O27" s="408"/>
    </row>
    <row r="28" spans="1:15">
      <c r="A28" s="778" t="s">
        <v>637</v>
      </c>
      <c r="B28" s="779" t="s">
        <v>1553</v>
      </c>
      <c r="C28" s="780"/>
      <c r="D28" s="783" t="s">
        <v>1934</v>
      </c>
      <c r="E28" s="781" t="s">
        <v>2443</v>
      </c>
      <c r="F28" s="782" t="s">
        <v>217</v>
      </c>
      <c r="G28" s="756">
        <v>50</v>
      </c>
      <c r="H28" s="756">
        <v>54.52</v>
      </c>
      <c r="I28" s="756">
        <f t="shared" si="2"/>
        <v>68.11</v>
      </c>
      <c r="J28" s="756">
        <f t="shared" si="3"/>
        <v>3405.5</v>
      </c>
      <c r="K28" s="757"/>
      <c r="N28" s="631"/>
      <c r="O28" s="408"/>
    </row>
    <row r="29" spans="1:15">
      <c r="A29" s="778" t="s">
        <v>640</v>
      </c>
      <c r="B29" s="752" t="s">
        <v>605</v>
      </c>
      <c r="C29" s="753"/>
      <c r="D29" s="753" t="s">
        <v>2434</v>
      </c>
      <c r="E29" s="784" t="s">
        <v>1534</v>
      </c>
      <c r="F29" s="753" t="s">
        <v>1535</v>
      </c>
      <c r="G29" s="756">
        <v>16694.62</v>
      </c>
      <c r="H29" s="756">
        <v>0.26</v>
      </c>
      <c r="I29" s="756">
        <f t="shared" si="2"/>
        <v>0.32</v>
      </c>
      <c r="J29" s="756">
        <f t="shared" si="3"/>
        <v>5342.28</v>
      </c>
      <c r="K29" s="757"/>
      <c r="N29" s="631"/>
      <c r="O29" s="408"/>
    </row>
    <row r="30" spans="1:15" ht="25.2">
      <c r="A30" s="778" t="s">
        <v>643</v>
      </c>
      <c r="B30" s="752" t="s">
        <v>628</v>
      </c>
      <c r="C30" s="753"/>
      <c r="D30" s="751" t="s">
        <v>1935</v>
      </c>
      <c r="E30" s="758" t="s">
        <v>1936</v>
      </c>
      <c r="F30" s="751" t="s">
        <v>654</v>
      </c>
      <c r="G30" s="756">
        <v>10237.49</v>
      </c>
      <c r="H30" s="756">
        <v>9.2200000000000006</v>
      </c>
      <c r="I30" s="756">
        <f t="shared" si="2"/>
        <v>11.52</v>
      </c>
      <c r="J30" s="756">
        <f t="shared" si="3"/>
        <v>117935.88</v>
      </c>
      <c r="K30" s="757"/>
      <c r="N30" s="631"/>
      <c r="O30" s="408"/>
    </row>
    <row r="31" spans="1:15">
      <c r="A31" s="778" t="s">
        <v>647</v>
      </c>
      <c r="B31" s="759" t="s">
        <v>605</v>
      </c>
      <c r="C31" s="760"/>
      <c r="D31" s="761" t="s">
        <v>1851</v>
      </c>
      <c r="E31" s="758" t="s">
        <v>1844</v>
      </c>
      <c r="F31" s="761" t="s">
        <v>654</v>
      </c>
      <c r="G31" s="756">
        <v>9740.44</v>
      </c>
      <c r="H31" s="756">
        <v>0.65</v>
      </c>
      <c r="I31" s="756">
        <f t="shared" si="2"/>
        <v>0.81</v>
      </c>
      <c r="J31" s="756">
        <f t="shared" si="3"/>
        <v>7889.76</v>
      </c>
      <c r="K31" s="757"/>
      <c r="N31" s="631"/>
      <c r="O31" s="408"/>
    </row>
    <row r="32" spans="1:15" s="275" customFormat="1">
      <c r="A32" s="767" t="s">
        <v>2829</v>
      </c>
      <c r="B32" s="768"/>
      <c r="C32" s="769"/>
      <c r="D32" s="769"/>
      <c r="E32" s="769"/>
      <c r="F32" s="769"/>
      <c r="G32" s="756"/>
      <c r="H32" s="756"/>
      <c r="I32" s="756"/>
      <c r="J32" s="771">
        <f>SUBTOTAL(109,J25:J31)</f>
        <v>164215.25</v>
      </c>
      <c r="K32" s="785"/>
      <c r="L32" s="501"/>
      <c r="M32" s="730">
        <v>164215.25</v>
      </c>
      <c r="N32" s="631">
        <f>+J32-M32</f>
        <v>0</v>
      </c>
      <c r="O32" s="408"/>
    </row>
    <row r="33" spans="1:15">
      <c r="A33" s="773" t="s">
        <v>649</v>
      </c>
      <c r="B33" s="786" t="s">
        <v>2827</v>
      </c>
      <c r="C33" s="776"/>
      <c r="D33" s="776"/>
      <c r="E33" s="776"/>
      <c r="F33" s="776"/>
      <c r="G33" s="776"/>
      <c r="H33" s="776"/>
      <c r="I33" s="776"/>
      <c r="J33" s="777"/>
      <c r="K33" s="746">
        <f>+J41/$J$463</f>
        <v>2.1214020997569732E-3</v>
      </c>
      <c r="N33" s="631"/>
      <c r="O33" s="408"/>
    </row>
    <row r="34" spans="1:15">
      <c r="A34" s="778" t="s">
        <v>651</v>
      </c>
      <c r="B34" s="759" t="s">
        <v>628</v>
      </c>
      <c r="C34" s="760"/>
      <c r="D34" s="761">
        <v>72743</v>
      </c>
      <c r="E34" s="762" t="s">
        <v>629</v>
      </c>
      <c r="F34" s="761" t="s">
        <v>630</v>
      </c>
      <c r="G34" s="756">
        <v>10</v>
      </c>
      <c r="H34" s="756">
        <v>213.09</v>
      </c>
      <c r="I34" s="756">
        <f t="shared" ref="I34:I40" si="4">ROUND(H34*(1+$K$471),2)</f>
        <v>266.20999999999998</v>
      </c>
      <c r="J34" s="756">
        <f t="shared" ref="J34:J40" si="5">ROUND(I34*G34,2)</f>
        <v>2662.1</v>
      </c>
      <c r="K34" s="757"/>
      <c r="N34" s="631"/>
      <c r="O34" s="408"/>
    </row>
    <row r="35" spans="1:15">
      <c r="A35" s="778" t="s">
        <v>655</v>
      </c>
      <c r="B35" s="759" t="s">
        <v>628</v>
      </c>
      <c r="C35" s="760"/>
      <c r="D35" s="787" t="s">
        <v>632</v>
      </c>
      <c r="E35" s="762" t="s">
        <v>633</v>
      </c>
      <c r="F35" s="761" t="s">
        <v>630</v>
      </c>
      <c r="G35" s="756">
        <v>630</v>
      </c>
      <c r="H35" s="756">
        <v>40.520000000000003</v>
      </c>
      <c r="I35" s="756">
        <f t="shared" si="4"/>
        <v>50.62</v>
      </c>
      <c r="J35" s="756">
        <f t="shared" si="5"/>
        <v>31890.6</v>
      </c>
      <c r="K35" s="757"/>
      <c r="N35" s="631"/>
      <c r="O35" s="408"/>
    </row>
    <row r="36" spans="1:15" ht="18" customHeight="1">
      <c r="A36" s="778" t="s">
        <v>657</v>
      </c>
      <c r="B36" s="759" t="s">
        <v>628</v>
      </c>
      <c r="C36" s="760"/>
      <c r="D36" s="787" t="s">
        <v>635</v>
      </c>
      <c r="E36" s="762" t="s">
        <v>636</v>
      </c>
      <c r="F36" s="761" t="s">
        <v>630</v>
      </c>
      <c r="G36" s="756">
        <v>810</v>
      </c>
      <c r="H36" s="756">
        <v>95.89</v>
      </c>
      <c r="I36" s="756">
        <f t="shared" si="4"/>
        <v>119.8</v>
      </c>
      <c r="J36" s="756">
        <f t="shared" si="5"/>
        <v>97038</v>
      </c>
      <c r="K36" s="757"/>
      <c r="N36" s="631"/>
      <c r="O36" s="408"/>
    </row>
    <row r="37" spans="1:15">
      <c r="A37" s="778" t="s">
        <v>660</v>
      </c>
      <c r="B37" s="759" t="s">
        <v>628</v>
      </c>
      <c r="C37" s="760"/>
      <c r="D37" s="787" t="s">
        <v>638</v>
      </c>
      <c r="E37" s="762" t="s">
        <v>639</v>
      </c>
      <c r="F37" s="761" t="s">
        <v>630</v>
      </c>
      <c r="G37" s="756">
        <v>135</v>
      </c>
      <c r="H37" s="756">
        <v>95.89</v>
      </c>
      <c r="I37" s="756">
        <f t="shared" si="4"/>
        <v>119.8</v>
      </c>
      <c r="J37" s="756">
        <f t="shared" si="5"/>
        <v>16173</v>
      </c>
      <c r="K37" s="757"/>
      <c r="N37" s="631"/>
      <c r="O37" s="408"/>
    </row>
    <row r="38" spans="1:15" ht="18" customHeight="1">
      <c r="A38" s="778" t="s">
        <v>662</v>
      </c>
      <c r="B38" s="759" t="s">
        <v>628</v>
      </c>
      <c r="C38" s="760"/>
      <c r="D38" s="787" t="s">
        <v>641</v>
      </c>
      <c r="E38" s="762" t="s">
        <v>642</v>
      </c>
      <c r="F38" s="761" t="s">
        <v>630</v>
      </c>
      <c r="G38" s="756">
        <v>405</v>
      </c>
      <c r="H38" s="756">
        <v>106.54</v>
      </c>
      <c r="I38" s="756">
        <f t="shared" si="4"/>
        <v>133.1</v>
      </c>
      <c r="J38" s="756">
        <f t="shared" si="5"/>
        <v>53905.5</v>
      </c>
      <c r="K38" s="757"/>
      <c r="N38" s="631"/>
      <c r="O38" s="408"/>
    </row>
    <row r="39" spans="1:15">
      <c r="A39" s="778" t="s">
        <v>664</v>
      </c>
      <c r="B39" s="759" t="s">
        <v>628</v>
      </c>
      <c r="C39" s="760"/>
      <c r="D39" s="787" t="s">
        <v>644</v>
      </c>
      <c r="E39" s="762" t="s">
        <v>645</v>
      </c>
      <c r="F39" s="761" t="s">
        <v>646</v>
      </c>
      <c r="G39" s="756">
        <v>1663.2</v>
      </c>
      <c r="H39" s="756">
        <v>1.27</v>
      </c>
      <c r="I39" s="756">
        <f t="shared" si="4"/>
        <v>1.59</v>
      </c>
      <c r="J39" s="756">
        <f t="shared" si="5"/>
        <v>2644.49</v>
      </c>
      <c r="K39" s="757"/>
      <c r="N39" s="631"/>
      <c r="O39" s="408"/>
    </row>
    <row r="40" spans="1:15">
      <c r="A40" s="778" t="s">
        <v>666</v>
      </c>
      <c r="B40" s="788" t="s">
        <v>628</v>
      </c>
      <c r="C40" s="789"/>
      <c r="D40" s="778" t="s">
        <v>736</v>
      </c>
      <c r="E40" s="790" t="s">
        <v>737</v>
      </c>
      <c r="F40" s="791" t="s">
        <v>704</v>
      </c>
      <c r="G40" s="756">
        <v>1663.2</v>
      </c>
      <c r="H40" s="756">
        <v>0.4</v>
      </c>
      <c r="I40" s="756">
        <f t="shared" si="4"/>
        <v>0.5</v>
      </c>
      <c r="J40" s="756">
        <f t="shared" si="5"/>
        <v>831.6</v>
      </c>
      <c r="K40" s="757"/>
      <c r="N40" s="631"/>
      <c r="O40" s="408"/>
    </row>
    <row r="41" spans="1:15" ht="15.6" customHeight="1">
      <c r="A41" s="767" t="s">
        <v>2828</v>
      </c>
      <c r="B41" s="768"/>
      <c r="C41" s="769"/>
      <c r="D41" s="769"/>
      <c r="E41" s="769"/>
      <c r="F41" s="769"/>
      <c r="G41" s="756"/>
      <c r="H41" s="756"/>
      <c r="I41" s="756"/>
      <c r="J41" s="771">
        <f>SUBTOTAL(109,J34:J40)</f>
        <v>205145.29</v>
      </c>
      <c r="K41" s="757"/>
      <c r="M41" s="730">
        <v>205145.29</v>
      </c>
      <c r="N41" s="631">
        <f>+J41-M41</f>
        <v>0</v>
      </c>
      <c r="O41" s="408"/>
    </row>
    <row r="42" spans="1:15">
      <c r="A42" s="792" t="s">
        <v>668</v>
      </c>
      <c r="B42" s="793" t="s">
        <v>2826</v>
      </c>
      <c r="C42" s="794"/>
      <c r="D42" s="794"/>
      <c r="E42" s="794"/>
      <c r="F42" s="794"/>
      <c r="G42" s="794"/>
      <c r="H42" s="794"/>
      <c r="I42" s="794"/>
      <c r="J42" s="795"/>
      <c r="K42" s="746">
        <f>+J53/$J$463</f>
        <v>1.3910208676678616E-3</v>
      </c>
      <c r="N42" s="631"/>
      <c r="O42" s="408"/>
    </row>
    <row r="43" spans="1:15" ht="25.2">
      <c r="A43" s="778" t="s">
        <v>670</v>
      </c>
      <c r="B43" s="759" t="s">
        <v>628</v>
      </c>
      <c r="C43" s="760"/>
      <c r="D43" s="761">
        <v>93207</v>
      </c>
      <c r="E43" s="762" t="s">
        <v>1833</v>
      </c>
      <c r="F43" s="761" t="s">
        <v>654</v>
      </c>
      <c r="G43" s="756">
        <v>50</v>
      </c>
      <c r="H43" s="756">
        <v>543.83000000000004</v>
      </c>
      <c r="I43" s="756">
        <f t="shared" ref="I43:I52" si="6">ROUND(H43*(1+$K$471),2)</f>
        <v>679.41</v>
      </c>
      <c r="J43" s="756">
        <f t="shared" ref="J43:J52" si="7">ROUND(I43*G43,2)</f>
        <v>33970.5</v>
      </c>
      <c r="K43" s="757"/>
      <c r="N43" s="631"/>
      <c r="O43" s="408"/>
    </row>
    <row r="44" spans="1:15" ht="25.2">
      <c r="A44" s="778" t="s">
        <v>672</v>
      </c>
      <c r="B44" s="759" t="s">
        <v>628</v>
      </c>
      <c r="C44" s="760"/>
      <c r="D44" s="761">
        <v>93208</v>
      </c>
      <c r="E44" s="762" t="s">
        <v>1834</v>
      </c>
      <c r="F44" s="761" t="s">
        <v>654</v>
      </c>
      <c r="G44" s="756">
        <v>36</v>
      </c>
      <c r="H44" s="756">
        <v>429.19</v>
      </c>
      <c r="I44" s="756">
        <f t="shared" si="6"/>
        <v>536.19000000000005</v>
      </c>
      <c r="J44" s="756">
        <f t="shared" si="7"/>
        <v>19302.84</v>
      </c>
      <c r="K44" s="757"/>
      <c r="N44" s="631"/>
      <c r="O44" s="408"/>
    </row>
    <row r="45" spans="1:15" ht="25.2">
      <c r="A45" s="778" t="s">
        <v>1005</v>
      </c>
      <c r="B45" s="759" t="s">
        <v>628</v>
      </c>
      <c r="C45" s="760"/>
      <c r="D45" s="761">
        <v>93210</v>
      </c>
      <c r="E45" s="762" t="s">
        <v>1835</v>
      </c>
      <c r="F45" s="761" t="s">
        <v>607</v>
      </c>
      <c r="G45" s="756">
        <v>36</v>
      </c>
      <c r="H45" s="756">
        <v>341.61</v>
      </c>
      <c r="I45" s="756">
        <f t="shared" si="6"/>
        <v>426.77</v>
      </c>
      <c r="J45" s="756">
        <f t="shared" si="7"/>
        <v>15363.72</v>
      </c>
      <c r="K45" s="757"/>
      <c r="N45" s="631"/>
      <c r="O45" s="408"/>
    </row>
    <row r="46" spans="1:15">
      <c r="A46" s="778" t="s">
        <v>1006</v>
      </c>
      <c r="B46" s="759" t="s">
        <v>605</v>
      </c>
      <c r="C46" s="760"/>
      <c r="D46" s="761" t="s">
        <v>2444</v>
      </c>
      <c r="E46" s="762" t="s">
        <v>1554</v>
      </c>
      <c r="F46" s="761" t="s">
        <v>630</v>
      </c>
      <c r="G46" s="756">
        <v>1</v>
      </c>
      <c r="H46" s="756">
        <v>2249.9200000000005</v>
      </c>
      <c r="I46" s="756">
        <f t="shared" si="6"/>
        <v>2810.83</v>
      </c>
      <c r="J46" s="756">
        <f t="shared" si="7"/>
        <v>2810.83</v>
      </c>
      <c r="K46" s="757"/>
      <c r="N46" s="631"/>
      <c r="O46" s="408"/>
    </row>
    <row r="47" spans="1:15" ht="25.2">
      <c r="A47" s="778" t="s">
        <v>1009</v>
      </c>
      <c r="B47" s="759" t="s">
        <v>628</v>
      </c>
      <c r="C47" s="760"/>
      <c r="D47" s="761">
        <v>93243</v>
      </c>
      <c r="E47" s="762" t="s">
        <v>1837</v>
      </c>
      <c r="F47" s="761" t="s">
        <v>630</v>
      </c>
      <c r="G47" s="756">
        <v>2</v>
      </c>
      <c r="H47" s="756">
        <v>2128.9</v>
      </c>
      <c r="I47" s="756">
        <f t="shared" si="6"/>
        <v>2659.63</v>
      </c>
      <c r="J47" s="756">
        <f t="shared" si="7"/>
        <v>5319.26</v>
      </c>
      <c r="K47" s="757"/>
      <c r="N47" s="631"/>
      <c r="O47" s="408"/>
    </row>
    <row r="48" spans="1:15">
      <c r="A48" s="778" t="s">
        <v>1012</v>
      </c>
      <c r="B48" s="759" t="s">
        <v>628</v>
      </c>
      <c r="C48" s="760"/>
      <c r="D48" s="761">
        <v>93213</v>
      </c>
      <c r="E48" s="762" t="s">
        <v>1836</v>
      </c>
      <c r="F48" s="761" t="s">
        <v>654</v>
      </c>
      <c r="G48" s="756">
        <v>45</v>
      </c>
      <c r="H48" s="756">
        <v>612.25</v>
      </c>
      <c r="I48" s="756">
        <f t="shared" si="6"/>
        <v>764.88</v>
      </c>
      <c r="J48" s="756">
        <f t="shared" si="7"/>
        <v>34419.599999999999</v>
      </c>
      <c r="K48" s="757"/>
      <c r="N48" s="631"/>
      <c r="O48" s="408"/>
    </row>
    <row r="49" spans="1:15" ht="25.2">
      <c r="A49" s="778" t="s">
        <v>1015</v>
      </c>
      <c r="B49" s="759" t="s">
        <v>628</v>
      </c>
      <c r="C49" s="760"/>
      <c r="D49" s="761">
        <v>93582</v>
      </c>
      <c r="E49" s="762" t="s">
        <v>1838</v>
      </c>
      <c r="F49" s="761" t="s">
        <v>654</v>
      </c>
      <c r="G49" s="756">
        <v>18</v>
      </c>
      <c r="H49" s="756">
        <v>167.46</v>
      </c>
      <c r="I49" s="756">
        <f t="shared" si="6"/>
        <v>209.21</v>
      </c>
      <c r="J49" s="756">
        <f t="shared" si="7"/>
        <v>3765.78</v>
      </c>
      <c r="K49" s="757"/>
      <c r="N49" s="631"/>
      <c r="O49" s="408"/>
    </row>
    <row r="50" spans="1:15" ht="25.2">
      <c r="A50" s="778" t="s">
        <v>1018</v>
      </c>
      <c r="B50" s="759" t="s">
        <v>628</v>
      </c>
      <c r="C50" s="760"/>
      <c r="D50" s="761">
        <v>93583</v>
      </c>
      <c r="E50" s="762" t="s">
        <v>1839</v>
      </c>
      <c r="F50" s="761" t="s">
        <v>654</v>
      </c>
      <c r="G50" s="756">
        <v>18</v>
      </c>
      <c r="H50" s="756">
        <v>312.22000000000003</v>
      </c>
      <c r="I50" s="756">
        <f t="shared" si="6"/>
        <v>390.06</v>
      </c>
      <c r="J50" s="756">
        <f t="shared" si="7"/>
        <v>7021.08</v>
      </c>
      <c r="K50" s="757"/>
      <c r="N50" s="631"/>
      <c r="O50" s="408"/>
    </row>
    <row r="51" spans="1:15">
      <c r="A51" s="778" t="s">
        <v>1019</v>
      </c>
      <c r="B51" s="759" t="s">
        <v>1553</v>
      </c>
      <c r="C51" s="760"/>
      <c r="D51" s="761" t="s">
        <v>1841</v>
      </c>
      <c r="E51" s="762" t="s">
        <v>1840</v>
      </c>
      <c r="F51" s="761" t="s">
        <v>630</v>
      </c>
      <c r="G51" s="756">
        <v>1</v>
      </c>
      <c r="H51" s="756">
        <v>8571.64</v>
      </c>
      <c r="I51" s="756">
        <f t="shared" si="6"/>
        <v>10708.55</v>
      </c>
      <c r="J51" s="756">
        <f t="shared" si="7"/>
        <v>10708.55</v>
      </c>
      <c r="K51" s="757"/>
      <c r="N51" s="631"/>
      <c r="O51" s="408"/>
    </row>
    <row r="52" spans="1:15" ht="25.2">
      <c r="A52" s="778" t="s">
        <v>2803</v>
      </c>
      <c r="B52" s="759" t="s">
        <v>628</v>
      </c>
      <c r="C52" s="760"/>
      <c r="D52" s="761" t="s">
        <v>1551</v>
      </c>
      <c r="E52" s="762" t="s">
        <v>1552</v>
      </c>
      <c r="F52" s="761" t="s">
        <v>630</v>
      </c>
      <c r="G52" s="756">
        <v>1</v>
      </c>
      <c r="H52" s="756">
        <v>1467.46</v>
      </c>
      <c r="I52" s="756">
        <f t="shared" si="6"/>
        <v>1833.3</v>
      </c>
      <c r="J52" s="756">
        <f t="shared" si="7"/>
        <v>1833.3</v>
      </c>
      <c r="K52" s="757"/>
      <c r="N52" s="631"/>
      <c r="O52" s="408"/>
    </row>
    <row r="53" spans="1:15">
      <c r="A53" s="767" t="s">
        <v>2832</v>
      </c>
      <c r="B53" s="768"/>
      <c r="C53" s="769"/>
      <c r="D53" s="769"/>
      <c r="E53" s="769"/>
      <c r="F53" s="769"/>
      <c r="G53" s="756"/>
      <c r="H53" s="756"/>
      <c r="I53" s="756"/>
      <c r="J53" s="771">
        <f>SUBTOTAL(109,J43:J52)</f>
        <v>134515.46</v>
      </c>
      <c r="K53" s="757"/>
      <c r="M53" s="730">
        <v>134515.46</v>
      </c>
      <c r="N53" s="631">
        <f>+J53-M53</f>
        <v>0</v>
      </c>
      <c r="O53" s="408"/>
    </row>
    <row r="54" spans="1:15">
      <c r="A54" s="792" t="s">
        <v>674</v>
      </c>
      <c r="B54" s="796" t="s">
        <v>2830</v>
      </c>
      <c r="C54" s="797"/>
      <c r="D54" s="794"/>
      <c r="E54" s="794"/>
      <c r="F54" s="794"/>
      <c r="G54" s="794"/>
      <c r="H54" s="794"/>
      <c r="I54" s="794"/>
      <c r="J54" s="795"/>
      <c r="K54" s="746">
        <f>+J62/$J$463</f>
        <v>4.9297736093240098E-3</v>
      </c>
      <c r="N54" s="631"/>
      <c r="O54" s="408"/>
    </row>
    <row r="55" spans="1:15" ht="25.2">
      <c r="A55" s="778" t="s">
        <v>676</v>
      </c>
      <c r="B55" s="759" t="s">
        <v>628</v>
      </c>
      <c r="C55" s="760"/>
      <c r="D55" s="761" t="s">
        <v>652</v>
      </c>
      <c r="E55" s="762" t="s">
        <v>653</v>
      </c>
      <c r="F55" s="761" t="s">
        <v>654</v>
      </c>
      <c r="G55" s="756">
        <v>1011.53</v>
      </c>
      <c r="H55" s="756">
        <v>47.61</v>
      </c>
      <c r="I55" s="756">
        <f t="shared" ref="I55:I61" si="8">ROUND(H55*(1+$K$471),2)</f>
        <v>59.48</v>
      </c>
      <c r="J55" s="756">
        <f t="shared" ref="J55:J61" si="9">ROUND(I55*G55,2)</f>
        <v>60165.8</v>
      </c>
      <c r="K55" s="757"/>
      <c r="N55" s="631"/>
      <c r="O55" s="408"/>
    </row>
    <row r="56" spans="1:15">
      <c r="A56" s="778" t="s">
        <v>679</v>
      </c>
      <c r="B56" s="759" t="s">
        <v>628</v>
      </c>
      <c r="C56" s="760"/>
      <c r="D56" s="778" t="s">
        <v>658</v>
      </c>
      <c r="E56" s="798" t="s">
        <v>659</v>
      </c>
      <c r="F56" s="761" t="s">
        <v>654</v>
      </c>
      <c r="G56" s="756">
        <v>20</v>
      </c>
      <c r="H56" s="756">
        <v>260.70999999999998</v>
      </c>
      <c r="I56" s="756">
        <f t="shared" si="8"/>
        <v>325.70999999999998</v>
      </c>
      <c r="J56" s="756">
        <f t="shared" si="9"/>
        <v>6514.2</v>
      </c>
      <c r="K56" s="757"/>
      <c r="N56" s="631"/>
      <c r="O56" s="408"/>
    </row>
    <row r="57" spans="1:15">
      <c r="A57" s="778" t="s">
        <v>681</v>
      </c>
      <c r="B57" s="799" t="s">
        <v>628</v>
      </c>
      <c r="C57" s="800"/>
      <c r="D57" s="800">
        <v>72817</v>
      </c>
      <c r="E57" s="781" t="s">
        <v>2872</v>
      </c>
      <c r="F57" s="782" t="s">
        <v>1538</v>
      </c>
      <c r="G57" s="756">
        <v>615</v>
      </c>
      <c r="H57" s="756">
        <v>259.48</v>
      </c>
      <c r="I57" s="756">
        <f t="shared" si="8"/>
        <v>324.17</v>
      </c>
      <c r="J57" s="756">
        <f t="shared" si="9"/>
        <v>199364.55</v>
      </c>
      <c r="K57" s="757"/>
      <c r="N57" s="631"/>
      <c r="O57" s="408"/>
    </row>
    <row r="58" spans="1:15">
      <c r="A58" s="778" t="s">
        <v>683</v>
      </c>
      <c r="B58" s="799" t="s">
        <v>628</v>
      </c>
      <c r="C58" s="800"/>
      <c r="D58" s="800" t="s">
        <v>1539</v>
      </c>
      <c r="E58" s="781" t="s">
        <v>2871</v>
      </c>
      <c r="F58" s="782" t="s">
        <v>1535</v>
      </c>
      <c r="G58" s="756">
        <v>8118</v>
      </c>
      <c r="H58" s="756">
        <v>20.239999999999998</v>
      </c>
      <c r="I58" s="756">
        <f t="shared" si="8"/>
        <v>25.29</v>
      </c>
      <c r="J58" s="756">
        <f t="shared" si="9"/>
        <v>205304.22</v>
      </c>
      <c r="K58" s="757"/>
      <c r="N58" s="631"/>
      <c r="O58" s="408"/>
    </row>
    <row r="59" spans="1:15">
      <c r="A59" s="778" t="s">
        <v>685</v>
      </c>
      <c r="B59" s="799" t="s">
        <v>628</v>
      </c>
      <c r="C59" s="800"/>
      <c r="D59" s="800">
        <v>72554</v>
      </c>
      <c r="E59" s="781" t="s">
        <v>2870</v>
      </c>
      <c r="F59" s="782" t="s">
        <v>1536</v>
      </c>
      <c r="G59" s="756">
        <v>6</v>
      </c>
      <c r="H59" s="756">
        <v>548.38</v>
      </c>
      <c r="I59" s="756">
        <f t="shared" si="8"/>
        <v>685.09</v>
      </c>
      <c r="J59" s="756">
        <f t="shared" si="9"/>
        <v>4110.54</v>
      </c>
      <c r="K59" s="801"/>
      <c r="N59" s="631"/>
      <c r="O59" s="408"/>
    </row>
    <row r="60" spans="1:15">
      <c r="A60" s="778" t="s">
        <v>687</v>
      </c>
      <c r="B60" s="799" t="s">
        <v>628</v>
      </c>
      <c r="C60" s="800"/>
      <c r="D60" s="800" t="s">
        <v>1540</v>
      </c>
      <c r="E60" s="781" t="s">
        <v>2869</v>
      </c>
      <c r="F60" s="782" t="s">
        <v>1536</v>
      </c>
      <c r="G60" s="756">
        <v>3</v>
      </c>
      <c r="H60" s="756">
        <v>165.9</v>
      </c>
      <c r="I60" s="756">
        <f t="shared" si="8"/>
        <v>207.26</v>
      </c>
      <c r="J60" s="756">
        <f t="shared" si="9"/>
        <v>621.78</v>
      </c>
      <c r="K60" s="757"/>
      <c r="N60" s="631"/>
      <c r="O60" s="408"/>
    </row>
    <row r="61" spans="1:15" ht="25.2">
      <c r="A61" s="778" t="s">
        <v>689</v>
      </c>
      <c r="B61" s="799" t="s">
        <v>628</v>
      </c>
      <c r="C61" s="800"/>
      <c r="D61" s="800" t="s">
        <v>1541</v>
      </c>
      <c r="E61" s="781" t="s">
        <v>2868</v>
      </c>
      <c r="F61" s="782" t="s">
        <v>1536</v>
      </c>
      <c r="G61" s="756">
        <v>3</v>
      </c>
      <c r="H61" s="756">
        <v>171.1</v>
      </c>
      <c r="I61" s="756">
        <f t="shared" si="8"/>
        <v>213.76</v>
      </c>
      <c r="J61" s="756">
        <f t="shared" si="9"/>
        <v>641.28</v>
      </c>
      <c r="K61" s="757"/>
      <c r="N61" s="631"/>
      <c r="O61" s="408"/>
    </row>
    <row r="62" spans="1:15">
      <c r="A62" s="767" t="s">
        <v>2831</v>
      </c>
      <c r="B62" s="768"/>
      <c r="C62" s="769"/>
      <c r="D62" s="769"/>
      <c r="E62" s="769"/>
      <c r="F62" s="769"/>
      <c r="G62" s="756"/>
      <c r="H62" s="756"/>
      <c r="I62" s="756"/>
      <c r="J62" s="771">
        <f>SUBTOTAL(109,J55:J61)</f>
        <v>476722.37000000005</v>
      </c>
      <c r="K62" s="757"/>
      <c r="M62" s="730">
        <v>476722.37</v>
      </c>
      <c r="N62" s="631">
        <f>+J62-M62</f>
        <v>0</v>
      </c>
      <c r="O62" s="408"/>
    </row>
    <row r="63" spans="1:15" ht="15.6" customHeight="1">
      <c r="A63" s="792" t="s">
        <v>712</v>
      </c>
      <c r="B63" s="793" t="s">
        <v>669</v>
      </c>
      <c r="C63" s="794"/>
      <c r="D63" s="794"/>
      <c r="E63" s="794"/>
      <c r="F63" s="794"/>
      <c r="G63" s="794"/>
      <c r="H63" s="794"/>
      <c r="I63" s="794"/>
      <c r="J63" s="795"/>
      <c r="K63" s="746">
        <f>+J71/$J$463</f>
        <v>5.0037106423754304E-3</v>
      </c>
      <c r="N63" s="631"/>
      <c r="O63" s="408"/>
    </row>
    <row r="64" spans="1:15">
      <c r="A64" s="778" t="s">
        <v>714</v>
      </c>
      <c r="B64" s="759" t="s">
        <v>628</v>
      </c>
      <c r="C64" s="760" t="s">
        <v>1401</v>
      </c>
      <c r="D64" s="761">
        <v>73618</v>
      </c>
      <c r="E64" s="790" t="s">
        <v>671</v>
      </c>
      <c r="F64" s="761" t="s">
        <v>654</v>
      </c>
      <c r="G64" s="756">
        <v>8818</v>
      </c>
      <c r="H64" s="756">
        <v>4.6900000000000004</v>
      </c>
      <c r="I64" s="756">
        <f t="shared" ref="I64:I70" si="10">ROUND(H64*(1+$K$471),2)</f>
        <v>5.86</v>
      </c>
      <c r="J64" s="756">
        <f t="shared" ref="J64:J70" si="11">ROUND(I64*G64,2)</f>
        <v>51673.48</v>
      </c>
      <c r="K64" s="757"/>
      <c r="L64" s="502"/>
      <c r="N64" s="631"/>
      <c r="O64" s="408"/>
    </row>
    <row r="65" spans="1:15" ht="37.799999999999997">
      <c r="A65" s="778" t="s">
        <v>716</v>
      </c>
      <c r="B65" s="802" t="s">
        <v>1853</v>
      </c>
      <c r="C65" s="803" t="s">
        <v>1854</v>
      </c>
      <c r="D65" s="761">
        <v>39814</v>
      </c>
      <c r="E65" s="790" t="s">
        <v>1852</v>
      </c>
      <c r="F65" s="761" t="s">
        <v>673</v>
      </c>
      <c r="G65" s="756">
        <v>6160</v>
      </c>
      <c r="H65" s="756">
        <v>48.09</v>
      </c>
      <c r="I65" s="756">
        <f t="shared" si="10"/>
        <v>60.08</v>
      </c>
      <c r="J65" s="756">
        <f t="shared" si="11"/>
        <v>370092.79999999999</v>
      </c>
      <c r="K65" s="757"/>
      <c r="L65" s="502"/>
      <c r="N65" s="631"/>
      <c r="O65" s="408"/>
    </row>
    <row r="66" spans="1:15" ht="33" customHeight="1">
      <c r="A66" s="778" t="s">
        <v>718</v>
      </c>
      <c r="B66" s="802" t="s">
        <v>1853</v>
      </c>
      <c r="C66" s="803" t="s">
        <v>1854</v>
      </c>
      <c r="D66" s="761">
        <v>1443</v>
      </c>
      <c r="E66" s="804" t="s">
        <v>1007</v>
      </c>
      <c r="F66" s="805" t="s">
        <v>673</v>
      </c>
      <c r="G66" s="756">
        <v>1320</v>
      </c>
      <c r="H66" s="756">
        <v>2.3199999999999998</v>
      </c>
      <c r="I66" s="756">
        <f t="shared" si="10"/>
        <v>2.9</v>
      </c>
      <c r="J66" s="756">
        <f t="shared" si="11"/>
        <v>3828</v>
      </c>
      <c r="K66" s="757"/>
      <c r="N66" s="631"/>
      <c r="O66" s="408"/>
    </row>
    <row r="67" spans="1:15" ht="25.2">
      <c r="A67" s="778" t="s">
        <v>1566</v>
      </c>
      <c r="B67" s="802" t="s">
        <v>1855</v>
      </c>
      <c r="C67" s="803" t="s">
        <v>1854</v>
      </c>
      <c r="D67" s="761">
        <v>10485</v>
      </c>
      <c r="E67" s="804" t="s">
        <v>1010</v>
      </c>
      <c r="F67" s="805" t="s">
        <v>673</v>
      </c>
      <c r="G67" s="756">
        <v>13200</v>
      </c>
      <c r="H67" s="756">
        <v>1.07</v>
      </c>
      <c r="I67" s="756">
        <f t="shared" si="10"/>
        <v>1.34</v>
      </c>
      <c r="J67" s="756">
        <f t="shared" si="11"/>
        <v>17688</v>
      </c>
      <c r="K67" s="801"/>
      <c r="L67" s="502"/>
      <c r="N67" s="631"/>
      <c r="O67" s="408"/>
    </row>
    <row r="68" spans="1:15" ht="25.2">
      <c r="A68" s="778" t="s">
        <v>1567</v>
      </c>
      <c r="B68" s="802" t="s">
        <v>1853</v>
      </c>
      <c r="C68" s="803" t="s">
        <v>1854</v>
      </c>
      <c r="D68" s="761">
        <v>10790</v>
      </c>
      <c r="E68" s="804" t="s">
        <v>1013</v>
      </c>
      <c r="F68" s="805" t="s">
        <v>673</v>
      </c>
      <c r="G68" s="756">
        <v>4400</v>
      </c>
      <c r="H68" s="756">
        <v>1.44</v>
      </c>
      <c r="I68" s="756">
        <f t="shared" si="10"/>
        <v>1.8</v>
      </c>
      <c r="J68" s="756">
        <f t="shared" si="11"/>
        <v>7920</v>
      </c>
      <c r="K68" s="757"/>
      <c r="L68" s="502"/>
      <c r="N68" s="631"/>
      <c r="O68" s="408"/>
    </row>
    <row r="69" spans="1:15" ht="18" customHeight="1">
      <c r="A69" s="778" t="s">
        <v>1568</v>
      </c>
      <c r="B69" s="802" t="s">
        <v>628</v>
      </c>
      <c r="C69" s="803" t="s">
        <v>1854</v>
      </c>
      <c r="D69" s="761">
        <v>4037</v>
      </c>
      <c r="E69" s="804" t="s">
        <v>1555</v>
      </c>
      <c r="F69" s="805" t="s">
        <v>673</v>
      </c>
      <c r="G69" s="756">
        <v>3960</v>
      </c>
      <c r="H69" s="756">
        <v>6.01</v>
      </c>
      <c r="I69" s="756">
        <f t="shared" si="10"/>
        <v>7.51</v>
      </c>
      <c r="J69" s="756">
        <f t="shared" si="11"/>
        <v>29739.599999999999</v>
      </c>
      <c r="K69" s="757"/>
      <c r="N69" s="631"/>
      <c r="O69" s="408"/>
    </row>
    <row r="70" spans="1:15">
      <c r="A70" s="778" t="s">
        <v>1569</v>
      </c>
      <c r="B70" s="802" t="s">
        <v>628</v>
      </c>
      <c r="C70" s="803" t="s">
        <v>1854</v>
      </c>
      <c r="D70" s="761">
        <v>3291</v>
      </c>
      <c r="E70" s="804" t="s">
        <v>1020</v>
      </c>
      <c r="F70" s="805" t="s">
        <v>673</v>
      </c>
      <c r="G70" s="756">
        <v>3960</v>
      </c>
      <c r="H70" s="756">
        <v>0.59</v>
      </c>
      <c r="I70" s="756">
        <f t="shared" si="10"/>
        <v>0.74</v>
      </c>
      <c r="J70" s="756">
        <f t="shared" si="11"/>
        <v>2930.4</v>
      </c>
      <c r="K70" s="757"/>
      <c r="N70" s="631"/>
      <c r="O70" s="408"/>
    </row>
    <row r="71" spans="1:15">
      <c r="A71" s="767" t="s">
        <v>2833</v>
      </c>
      <c r="B71" s="768"/>
      <c r="C71" s="769"/>
      <c r="D71" s="769"/>
      <c r="E71" s="769"/>
      <c r="F71" s="769"/>
      <c r="G71" s="756"/>
      <c r="H71" s="756"/>
      <c r="I71" s="756"/>
      <c r="J71" s="771">
        <f>SUBTOTAL(109,J64:J70)</f>
        <v>483872.27999999997</v>
      </c>
      <c r="K71" s="757"/>
      <c r="M71" s="730">
        <v>483872.28</v>
      </c>
      <c r="N71" s="631">
        <f>+J71-M71</f>
        <v>0</v>
      </c>
      <c r="O71" s="408"/>
    </row>
    <row r="72" spans="1:15">
      <c r="A72" s="792" t="s">
        <v>1570</v>
      </c>
      <c r="B72" s="796" t="s">
        <v>1523</v>
      </c>
      <c r="C72" s="797"/>
      <c r="D72" s="794"/>
      <c r="E72" s="794"/>
      <c r="F72" s="794"/>
      <c r="G72" s="794"/>
      <c r="H72" s="794"/>
      <c r="I72" s="794"/>
      <c r="J72" s="795"/>
      <c r="K72" s="746">
        <f>+J77/$J$463</f>
        <v>2.0645247782495563E-3</v>
      </c>
      <c r="N72" s="631"/>
      <c r="O72" s="408"/>
    </row>
    <row r="73" spans="1:15" ht="18" customHeight="1">
      <c r="A73" s="806" t="s">
        <v>1571</v>
      </c>
      <c r="B73" s="752" t="s">
        <v>605</v>
      </c>
      <c r="C73" s="753"/>
      <c r="D73" s="753" t="s">
        <v>1856</v>
      </c>
      <c r="E73" s="758" t="s">
        <v>1524</v>
      </c>
      <c r="F73" s="753" t="s">
        <v>654</v>
      </c>
      <c r="G73" s="756">
        <v>2314.5</v>
      </c>
      <c r="H73" s="756">
        <v>54.67</v>
      </c>
      <c r="I73" s="756">
        <f>ROUND(H73*(1+$K$471),2)</f>
        <v>68.3</v>
      </c>
      <c r="J73" s="756">
        <f t="shared" ref="J73:J76" si="12">ROUND(I73*G73,2)</f>
        <v>158080.35</v>
      </c>
      <c r="K73" s="757"/>
      <c r="N73" s="631"/>
      <c r="O73" s="408"/>
    </row>
    <row r="74" spans="1:15" ht="18" customHeight="1">
      <c r="A74" s="806" t="s">
        <v>1572</v>
      </c>
      <c r="B74" s="752" t="s">
        <v>605</v>
      </c>
      <c r="C74" s="753"/>
      <c r="D74" s="753" t="s">
        <v>1862</v>
      </c>
      <c r="E74" s="758" t="s">
        <v>1525</v>
      </c>
      <c r="F74" s="753" t="s">
        <v>607</v>
      </c>
      <c r="G74" s="756">
        <v>505.41</v>
      </c>
      <c r="H74" s="756">
        <v>10.18</v>
      </c>
      <c r="I74" s="756">
        <f>ROUND(H74*(1+$K$471),2)</f>
        <v>12.72</v>
      </c>
      <c r="J74" s="756">
        <f t="shared" si="12"/>
        <v>6428.82</v>
      </c>
      <c r="K74" s="757"/>
      <c r="N74" s="631"/>
      <c r="O74" s="408"/>
    </row>
    <row r="75" spans="1:15" ht="30" customHeight="1">
      <c r="A75" s="807" t="s">
        <v>1573</v>
      </c>
      <c r="B75" s="808" t="s">
        <v>628</v>
      </c>
      <c r="C75" s="809"/>
      <c r="D75" s="810">
        <v>72881</v>
      </c>
      <c r="E75" s="811" t="s">
        <v>1929</v>
      </c>
      <c r="F75" s="810" t="s">
        <v>729</v>
      </c>
      <c r="G75" s="756">
        <v>21864.3</v>
      </c>
      <c r="H75" s="756">
        <v>1.19</v>
      </c>
      <c r="I75" s="756">
        <f>ROUND(H75*(1+$K$471),2)</f>
        <v>1.49</v>
      </c>
      <c r="J75" s="756">
        <f t="shared" si="12"/>
        <v>32577.81</v>
      </c>
      <c r="K75" s="812"/>
      <c r="N75" s="631"/>
      <c r="O75" s="408"/>
    </row>
    <row r="76" spans="1:15" s="275" customFormat="1">
      <c r="A76" s="807" t="s">
        <v>1574</v>
      </c>
      <c r="B76" s="808" t="s">
        <v>628</v>
      </c>
      <c r="C76" s="809"/>
      <c r="D76" s="809">
        <v>72898</v>
      </c>
      <c r="E76" s="811" t="s">
        <v>1556</v>
      </c>
      <c r="F76" s="813" t="s">
        <v>998</v>
      </c>
      <c r="G76" s="756">
        <v>2186.4299999999998</v>
      </c>
      <c r="H76" s="756">
        <v>0.94</v>
      </c>
      <c r="I76" s="756">
        <f>ROUND(H76*(1+$K$471),2)</f>
        <v>1.17</v>
      </c>
      <c r="J76" s="756">
        <f t="shared" si="12"/>
        <v>2558.12</v>
      </c>
      <c r="K76" s="814"/>
      <c r="L76" s="501"/>
      <c r="M76" s="730"/>
      <c r="N76" s="631"/>
      <c r="O76" s="408"/>
    </row>
    <row r="77" spans="1:15" s="275" customFormat="1">
      <c r="A77" s="767" t="s">
        <v>1532</v>
      </c>
      <c r="B77" s="768"/>
      <c r="C77" s="769"/>
      <c r="D77" s="769"/>
      <c r="E77" s="769"/>
      <c r="F77" s="769"/>
      <c r="G77" s="756"/>
      <c r="H77" s="756"/>
      <c r="I77" s="756"/>
      <c r="J77" s="771">
        <f>SUBTOTAL(109,J73:J76)</f>
        <v>199645.1</v>
      </c>
      <c r="K77" s="757"/>
      <c r="L77" s="501"/>
      <c r="M77" s="730">
        <v>199645.1</v>
      </c>
      <c r="N77" s="631">
        <f>+J77-M77</f>
        <v>0</v>
      </c>
      <c r="O77" s="408"/>
    </row>
    <row r="78" spans="1:15" s="275" customFormat="1">
      <c r="A78" s="792" t="s">
        <v>1575</v>
      </c>
      <c r="B78" s="793" t="s">
        <v>2900</v>
      </c>
      <c r="C78" s="794"/>
      <c r="D78" s="794"/>
      <c r="E78" s="794"/>
      <c r="F78" s="794"/>
      <c r="G78" s="794"/>
      <c r="H78" s="794"/>
      <c r="I78" s="794"/>
      <c r="J78" s="795"/>
      <c r="K78" s="746">
        <f>+J93/$J$463</f>
        <v>5.8745076992438243E-2</v>
      </c>
      <c r="L78" s="501"/>
      <c r="M78" s="730"/>
      <c r="N78" s="631"/>
      <c r="O78" s="408"/>
    </row>
    <row r="79" spans="1:15" s="275" customFormat="1">
      <c r="A79" s="761" t="s">
        <v>1576</v>
      </c>
      <c r="B79" s="759" t="s">
        <v>628</v>
      </c>
      <c r="C79" s="760"/>
      <c r="D79" s="761">
        <v>93568</v>
      </c>
      <c r="E79" s="762" t="s">
        <v>2908</v>
      </c>
      <c r="F79" s="760" t="s">
        <v>1869</v>
      </c>
      <c r="G79" s="756">
        <v>34</v>
      </c>
      <c r="H79" s="756">
        <v>27019.34</v>
      </c>
      <c r="I79" s="756">
        <f t="shared" ref="I79:I92" si="13">ROUND(H79*(1+$K$471),2)</f>
        <v>33755.26</v>
      </c>
      <c r="J79" s="756">
        <f t="shared" ref="J79:J92" si="14">ROUND(I79*G79,2)</f>
        <v>1147678.8400000001</v>
      </c>
      <c r="K79" s="757"/>
      <c r="L79" s="501"/>
      <c r="M79" s="730"/>
      <c r="N79" s="631"/>
      <c r="O79" s="408"/>
    </row>
    <row r="80" spans="1:15" s="275" customFormat="1" ht="25.2">
      <c r="A80" s="761" t="s">
        <v>1577</v>
      </c>
      <c r="B80" s="759" t="s">
        <v>628</v>
      </c>
      <c r="C80" s="760"/>
      <c r="D80" s="761">
        <v>93567</v>
      </c>
      <c r="E80" s="762" t="s">
        <v>2906</v>
      </c>
      <c r="F80" s="760" t="s">
        <v>1869</v>
      </c>
      <c r="G80" s="756">
        <v>56</v>
      </c>
      <c r="H80" s="756">
        <v>20587.63</v>
      </c>
      <c r="I80" s="756">
        <f t="shared" si="13"/>
        <v>25720.13</v>
      </c>
      <c r="J80" s="756">
        <f t="shared" si="14"/>
        <v>1440327.28</v>
      </c>
      <c r="K80" s="757"/>
      <c r="L80" s="501"/>
      <c r="M80" s="730"/>
      <c r="N80" s="631"/>
      <c r="O80" s="408"/>
    </row>
    <row r="81" spans="1:15" s="275" customFormat="1" ht="18" customHeight="1">
      <c r="A81" s="761" t="s">
        <v>1578</v>
      </c>
      <c r="B81" s="759" t="s">
        <v>605</v>
      </c>
      <c r="C81" s="760"/>
      <c r="D81" s="761" t="s">
        <v>1874</v>
      </c>
      <c r="E81" s="762" t="s">
        <v>2902</v>
      </c>
      <c r="F81" s="760" t="s">
        <v>1869</v>
      </c>
      <c r="G81" s="756">
        <v>20</v>
      </c>
      <c r="H81" s="756">
        <v>18883.5</v>
      </c>
      <c r="I81" s="756">
        <f t="shared" si="13"/>
        <v>23591.16</v>
      </c>
      <c r="J81" s="756">
        <f t="shared" si="14"/>
        <v>471823.2</v>
      </c>
      <c r="K81" s="757"/>
      <c r="L81" s="501"/>
      <c r="M81" s="730"/>
      <c r="N81" s="631"/>
      <c r="O81" s="408"/>
    </row>
    <row r="82" spans="1:15" s="275" customFormat="1">
      <c r="A82" s="761" t="s">
        <v>1579</v>
      </c>
      <c r="B82" s="759" t="s">
        <v>1853</v>
      </c>
      <c r="C82" s="760"/>
      <c r="D82" s="761">
        <v>93565</v>
      </c>
      <c r="E82" s="762" t="s">
        <v>2904</v>
      </c>
      <c r="F82" s="760" t="s">
        <v>1869</v>
      </c>
      <c r="G82" s="756">
        <v>14</v>
      </c>
      <c r="H82" s="756">
        <v>16363.03</v>
      </c>
      <c r="I82" s="756">
        <f t="shared" si="13"/>
        <v>20442.330000000002</v>
      </c>
      <c r="J82" s="756">
        <f t="shared" si="14"/>
        <v>286192.62</v>
      </c>
      <c r="K82" s="757"/>
      <c r="L82" s="501"/>
      <c r="M82" s="730"/>
      <c r="N82" s="631"/>
      <c r="O82" s="408"/>
    </row>
    <row r="83" spans="1:15" s="275" customFormat="1">
      <c r="A83" s="761" t="s">
        <v>1580</v>
      </c>
      <c r="B83" s="759" t="s">
        <v>605</v>
      </c>
      <c r="C83" s="760"/>
      <c r="D83" s="761" t="s">
        <v>1887</v>
      </c>
      <c r="E83" s="762" t="s">
        <v>2815</v>
      </c>
      <c r="F83" s="760" t="s">
        <v>1869</v>
      </c>
      <c r="G83" s="756">
        <v>56</v>
      </c>
      <c r="H83" s="756">
        <v>5817.46</v>
      </c>
      <c r="I83" s="756">
        <f t="shared" si="13"/>
        <v>7267.75</v>
      </c>
      <c r="J83" s="756">
        <f t="shared" si="14"/>
        <v>406994</v>
      </c>
      <c r="K83" s="757"/>
      <c r="L83" s="501"/>
      <c r="M83" s="730"/>
      <c r="N83" s="631"/>
      <c r="O83" s="408"/>
    </row>
    <row r="84" spans="1:15" s="275" customFormat="1">
      <c r="A84" s="761" t="s">
        <v>1581</v>
      </c>
      <c r="B84" s="759" t="s">
        <v>605</v>
      </c>
      <c r="C84" s="760"/>
      <c r="D84" s="761" t="s">
        <v>1887</v>
      </c>
      <c r="E84" s="762" t="s">
        <v>2905</v>
      </c>
      <c r="F84" s="760" t="s">
        <v>1869</v>
      </c>
      <c r="G84" s="756">
        <v>28</v>
      </c>
      <c r="H84" s="756">
        <v>5817.46</v>
      </c>
      <c r="I84" s="756">
        <f t="shared" si="13"/>
        <v>7267.75</v>
      </c>
      <c r="J84" s="756">
        <f t="shared" si="14"/>
        <v>203497</v>
      </c>
      <c r="K84" s="757"/>
      <c r="L84" s="501"/>
      <c r="M84" s="730"/>
      <c r="N84" s="631"/>
      <c r="O84" s="408"/>
    </row>
    <row r="85" spans="1:15" s="275" customFormat="1" ht="18" customHeight="1">
      <c r="A85" s="761" t="s">
        <v>1582</v>
      </c>
      <c r="B85" s="759" t="s">
        <v>628</v>
      </c>
      <c r="C85" s="760"/>
      <c r="D85" s="778">
        <v>94295</v>
      </c>
      <c r="E85" s="798" t="s">
        <v>2816</v>
      </c>
      <c r="F85" s="760" t="s">
        <v>1869</v>
      </c>
      <c r="G85" s="756">
        <v>28</v>
      </c>
      <c r="H85" s="756">
        <v>5001.33</v>
      </c>
      <c r="I85" s="756">
        <f t="shared" si="13"/>
        <v>6248.16</v>
      </c>
      <c r="J85" s="756">
        <f t="shared" si="14"/>
        <v>174948.48000000001</v>
      </c>
      <c r="K85" s="757"/>
      <c r="L85" s="501"/>
      <c r="M85" s="730"/>
      <c r="N85" s="631"/>
      <c r="O85" s="408"/>
    </row>
    <row r="86" spans="1:15">
      <c r="A86" s="761" t="s">
        <v>1583</v>
      </c>
      <c r="B86" s="759" t="s">
        <v>1853</v>
      </c>
      <c r="C86" s="760"/>
      <c r="D86" s="778">
        <v>93572</v>
      </c>
      <c r="E86" s="798" t="s">
        <v>2818</v>
      </c>
      <c r="F86" s="760" t="s">
        <v>1869</v>
      </c>
      <c r="G86" s="756">
        <v>84</v>
      </c>
      <c r="H86" s="756">
        <v>3511.98</v>
      </c>
      <c r="I86" s="756">
        <f t="shared" si="13"/>
        <v>4387.5200000000004</v>
      </c>
      <c r="J86" s="756">
        <f t="shared" si="14"/>
        <v>368551.67999999999</v>
      </c>
      <c r="K86" s="815"/>
      <c r="N86" s="631"/>
      <c r="O86" s="408"/>
    </row>
    <row r="87" spans="1:15" ht="18" customHeight="1">
      <c r="A87" s="761" t="s">
        <v>1584</v>
      </c>
      <c r="B87" s="759" t="s">
        <v>605</v>
      </c>
      <c r="C87" s="760"/>
      <c r="D87" s="760" t="s">
        <v>1867</v>
      </c>
      <c r="E87" s="798" t="s">
        <v>2817</v>
      </c>
      <c r="F87" s="760" t="s">
        <v>1869</v>
      </c>
      <c r="G87" s="756">
        <v>56</v>
      </c>
      <c r="H87" s="756">
        <v>3945.65</v>
      </c>
      <c r="I87" s="756">
        <f t="shared" si="13"/>
        <v>4929.3</v>
      </c>
      <c r="J87" s="756">
        <f t="shared" si="14"/>
        <v>276040.8</v>
      </c>
      <c r="K87" s="757"/>
      <c r="N87" s="631"/>
      <c r="O87" s="408"/>
    </row>
    <row r="88" spans="1:15" ht="18" customHeight="1">
      <c r="A88" s="761" t="s">
        <v>2804</v>
      </c>
      <c r="B88" s="759" t="s">
        <v>628</v>
      </c>
      <c r="C88" s="760"/>
      <c r="D88" s="760">
        <v>93566</v>
      </c>
      <c r="E88" s="798" t="s">
        <v>2903</v>
      </c>
      <c r="F88" s="760" t="s">
        <v>1869</v>
      </c>
      <c r="G88" s="756">
        <v>84</v>
      </c>
      <c r="H88" s="756">
        <v>3440.41</v>
      </c>
      <c r="I88" s="756">
        <f t="shared" si="13"/>
        <v>4298.1000000000004</v>
      </c>
      <c r="J88" s="756">
        <f t="shared" si="14"/>
        <v>361040.4</v>
      </c>
      <c r="K88" s="757"/>
      <c r="N88" s="631"/>
      <c r="O88" s="408"/>
    </row>
    <row r="89" spans="1:15">
      <c r="A89" s="761" t="s">
        <v>2805</v>
      </c>
      <c r="B89" s="759" t="s">
        <v>628</v>
      </c>
      <c r="C89" s="760"/>
      <c r="D89" s="778">
        <v>93564</v>
      </c>
      <c r="E89" s="798" t="s">
        <v>1878</v>
      </c>
      <c r="F89" s="760" t="s">
        <v>1869</v>
      </c>
      <c r="G89" s="756">
        <v>28</v>
      </c>
      <c r="H89" s="756">
        <v>2339.09</v>
      </c>
      <c r="I89" s="756">
        <f t="shared" si="13"/>
        <v>2922.23</v>
      </c>
      <c r="J89" s="756">
        <f t="shared" si="14"/>
        <v>81822.44</v>
      </c>
      <c r="K89" s="757"/>
      <c r="N89" s="631"/>
      <c r="O89" s="408"/>
    </row>
    <row r="90" spans="1:15">
      <c r="A90" s="761" t="s">
        <v>2806</v>
      </c>
      <c r="B90" s="759" t="s">
        <v>628</v>
      </c>
      <c r="C90" s="760"/>
      <c r="D90" s="778">
        <v>93563</v>
      </c>
      <c r="E90" s="798" t="s">
        <v>1877</v>
      </c>
      <c r="F90" s="760" t="s">
        <v>1869</v>
      </c>
      <c r="G90" s="756">
        <v>28</v>
      </c>
      <c r="H90" s="756">
        <v>2443.17</v>
      </c>
      <c r="I90" s="756">
        <f t="shared" si="13"/>
        <v>3052.25</v>
      </c>
      <c r="J90" s="756">
        <f t="shared" si="14"/>
        <v>85463</v>
      </c>
      <c r="K90" s="757"/>
      <c r="N90" s="631"/>
      <c r="O90" s="408"/>
    </row>
    <row r="91" spans="1:15">
      <c r="A91" s="761" t="s">
        <v>2807</v>
      </c>
      <c r="B91" s="759" t="s">
        <v>605</v>
      </c>
      <c r="C91" s="760"/>
      <c r="D91" s="778" t="s">
        <v>1883</v>
      </c>
      <c r="E91" s="798" t="s">
        <v>1882</v>
      </c>
      <c r="F91" s="760" t="s">
        <v>1869</v>
      </c>
      <c r="G91" s="756">
        <v>28</v>
      </c>
      <c r="H91" s="756">
        <v>1974.71</v>
      </c>
      <c r="I91" s="756">
        <f t="shared" si="13"/>
        <v>2467.0100000000002</v>
      </c>
      <c r="J91" s="756">
        <f t="shared" si="14"/>
        <v>69076.28</v>
      </c>
      <c r="K91" s="757"/>
      <c r="N91" s="631"/>
      <c r="O91" s="408"/>
    </row>
    <row r="92" spans="1:15">
      <c r="A92" s="761" t="s">
        <v>2907</v>
      </c>
      <c r="B92" s="759" t="s">
        <v>605</v>
      </c>
      <c r="C92" s="760"/>
      <c r="D92" s="778" t="s">
        <v>1880</v>
      </c>
      <c r="E92" s="798" t="s">
        <v>1879</v>
      </c>
      <c r="F92" s="760" t="s">
        <v>1869</v>
      </c>
      <c r="G92" s="756">
        <v>84</v>
      </c>
      <c r="H92" s="756">
        <v>2928.79</v>
      </c>
      <c r="I92" s="756">
        <f t="shared" si="13"/>
        <v>3658.94</v>
      </c>
      <c r="J92" s="756">
        <f t="shared" si="14"/>
        <v>307350.96000000002</v>
      </c>
      <c r="K92" s="757"/>
      <c r="N92" s="631"/>
      <c r="O92" s="408"/>
    </row>
    <row r="93" spans="1:15">
      <c r="A93" s="767" t="s">
        <v>2901</v>
      </c>
      <c r="B93" s="768"/>
      <c r="C93" s="769"/>
      <c r="D93" s="769"/>
      <c r="E93" s="769"/>
      <c r="F93" s="769"/>
      <c r="G93" s="756"/>
      <c r="H93" s="756"/>
      <c r="I93" s="756"/>
      <c r="J93" s="771">
        <f>SUBTOTAL(109,J79:J92)</f>
        <v>5680806.9800000014</v>
      </c>
      <c r="K93" s="757"/>
      <c r="M93" s="730">
        <v>4022883.1</v>
      </c>
      <c r="N93" s="631">
        <f>+J93-M93</f>
        <v>1657923.8800000013</v>
      </c>
      <c r="O93" s="408"/>
    </row>
    <row r="94" spans="1:15">
      <c r="A94" s="773" t="s">
        <v>1585</v>
      </c>
      <c r="B94" s="816" t="s">
        <v>694</v>
      </c>
      <c r="C94" s="817"/>
      <c r="D94" s="773"/>
      <c r="E94" s="818"/>
      <c r="F94" s="819"/>
      <c r="G94" s="820"/>
      <c r="H94" s="821"/>
      <c r="I94" s="821"/>
      <c r="J94" s="822"/>
      <c r="K94" s="746">
        <f>+J97/$J$463</f>
        <v>1.129537490598072E-2</v>
      </c>
      <c r="N94" s="631"/>
      <c r="O94" s="408"/>
    </row>
    <row r="95" spans="1:15" s="275" customFormat="1">
      <c r="A95" s="761" t="s">
        <v>2808</v>
      </c>
      <c r="B95" s="759" t="s">
        <v>628</v>
      </c>
      <c r="C95" s="760"/>
      <c r="D95" s="761">
        <v>14583</v>
      </c>
      <c r="E95" s="762" t="s">
        <v>703</v>
      </c>
      <c r="F95" s="760" t="s">
        <v>704</v>
      </c>
      <c r="G95" s="756">
        <v>34386.54</v>
      </c>
      <c r="H95" s="756">
        <v>11.35</v>
      </c>
      <c r="I95" s="756">
        <f>ROUND(H95*(1+$K$471),2)</f>
        <v>14.18</v>
      </c>
      <c r="J95" s="756">
        <f t="shared" ref="J95:J96" si="15">ROUND(I95*G95,2)</f>
        <v>487601.14</v>
      </c>
      <c r="K95" s="757"/>
      <c r="L95" s="501"/>
      <c r="M95" s="730"/>
      <c r="N95" s="631"/>
      <c r="O95" s="408"/>
    </row>
    <row r="96" spans="1:15">
      <c r="A96" s="761" t="s">
        <v>2809</v>
      </c>
      <c r="B96" s="759" t="s">
        <v>628</v>
      </c>
      <c r="C96" s="760"/>
      <c r="D96" s="761">
        <v>2705</v>
      </c>
      <c r="E96" s="762" t="s">
        <v>708</v>
      </c>
      <c r="F96" s="760" t="s">
        <v>709</v>
      </c>
      <c r="G96" s="756">
        <v>1007820</v>
      </c>
      <c r="H96" s="756">
        <v>0.48</v>
      </c>
      <c r="I96" s="756">
        <f>ROUND(H96*(1+$K$471),2)</f>
        <v>0.6</v>
      </c>
      <c r="J96" s="756">
        <f t="shared" si="15"/>
        <v>604692</v>
      </c>
      <c r="K96" s="757"/>
      <c r="N96" s="631"/>
      <c r="O96" s="408"/>
    </row>
    <row r="97" spans="1:15" ht="15.6" customHeight="1">
      <c r="A97" s="767" t="s">
        <v>2834</v>
      </c>
      <c r="B97" s="768"/>
      <c r="C97" s="769"/>
      <c r="D97" s="769"/>
      <c r="E97" s="769"/>
      <c r="F97" s="769"/>
      <c r="G97" s="756"/>
      <c r="H97" s="756"/>
      <c r="I97" s="756"/>
      <c r="J97" s="771">
        <f>SUBTOTAL(109,J95:J96)</f>
        <v>1092293.1400000001</v>
      </c>
      <c r="K97" s="757"/>
      <c r="M97" s="730">
        <f>'[22]Planilha Orç'!$J$97</f>
        <v>814773.84000000008</v>
      </c>
      <c r="N97" s="631">
        <f>+J97-M97</f>
        <v>277519.30000000005</v>
      </c>
      <c r="O97" s="408"/>
    </row>
    <row r="98" spans="1:15" ht="15.6" customHeight="1">
      <c r="A98" s="823" t="s">
        <v>1764</v>
      </c>
      <c r="B98" s="824" t="s">
        <v>2924</v>
      </c>
      <c r="C98" s="825"/>
      <c r="D98" s="825"/>
      <c r="E98" s="825"/>
      <c r="F98" s="825"/>
      <c r="G98" s="826"/>
      <c r="H98" s="826"/>
      <c r="I98" s="826"/>
      <c r="J98" s="827"/>
      <c r="K98" s="746">
        <f>+J103/$J$463</f>
        <v>3.146604085507976E-3</v>
      </c>
      <c r="N98" s="631"/>
      <c r="O98" s="408"/>
    </row>
    <row r="99" spans="1:15" ht="15.6" customHeight="1">
      <c r="A99" s="828" t="s">
        <v>1765</v>
      </c>
      <c r="B99" s="829" t="s">
        <v>628</v>
      </c>
      <c r="C99" s="830"/>
      <c r="D99" s="831">
        <v>88037</v>
      </c>
      <c r="E99" s="830" t="s">
        <v>2919</v>
      </c>
      <c r="F99" s="828" t="s">
        <v>1687</v>
      </c>
      <c r="G99" s="832">
        <v>4633.79</v>
      </c>
      <c r="H99" s="832">
        <v>29.29</v>
      </c>
      <c r="I99" s="756">
        <f>ROUND(H99*(1+$K$471),2)</f>
        <v>36.590000000000003</v>
      </c>
      <c r="J99" s="756">
        <f t="shared" ref="J99:J102" si="16">ROUND(I99*G99,2)</f>
        <v>169550.38</v>
      </c>
      <c r="K99" s="833"/>
      <c r="N99" s="631"/>
      <c r="O99" s="408"/>
    </row>
    <row r="100" spans="1:15" ht="15.6" customHeight="1">
      <c r="A100" s="828" t="s">
        <v>1766</v>
      </c>
      <c r="B100" s="829" t="s">
        <v>628</v>
      </c>
      <c r="C100" s="830"/>
      <c r="D100" s="831">
        <v>88049</v>
      </c>
      <c r="E100" s="830" t="s">
        <v>2923</v>
      </c>
      <c r="F100" s="828" t="s">
        <v>630</v>
      </c>
      <c r="G100" s="832">
        <v>1087852.78</v>
      </c>
      <c r="H100" s="832">
        <v>0.08</v>
      </c>
      <c r="I100" s="756">
        <f>ROUND(H100*(1+$K$471),2)</f>
        <v>0.1</v>
      </c>
      <c r="J100" s="756">
        <f t="shared" si="16"/>
        <v>108785.28</v>
      </c>
      <c r="K100" s="833"/>
      <c r="N100" s="631"/>
      <c r="O100" s="408"/>
    </row>
    <row r="101" spans="1:15" ht="15.6" customHeight="1">
      <c r="A101" s="828" t="s">
        <v>1767</v>
      </c>
      <c r="B101" s="829" t="s">
        <v>628</v>
      </c>
      <c r="C101" s="834"/>
      <c r="D101" s="831">
        <v>88076</v>
      </c>
      <c r="E101" s="830" t="s">
        <v>2922</v>
      </c>
      <c r="F101" s="828" t="s">
        <v>654</v>
      </c>
      <c r="G101" s="832">
        <v>36253.61</v>
      </c>
      <c r="H101" s="832">
        <v>0.48</v>
      </c>
      <c r="I101" s="832">
        <f t="shared" ref="I101:I102" si="17">ROUND(H101*(1+$K$471),2)</f>
        <v>0.6</v>
      </c>
      <c r="J101" s="832">
        <f t="shared" si="16"/>
        <v>21752.17</v>
      </c>
      <c r="K101" s="757"/>
      <c r="N101" s="631"/>
      <c r="O101" s="408"/>
    </row>
    <row r="102" spans="1:15" ht="15.6" customHeight="1">
      <c r="A102" s="828" t="s">
        <v>2925</v>
      </c>
      <c r="B102" s="829" t="s">
        <v>628</v>
      </c>
      <c r="C102" s="834"/>
      <c r="D102" s="831">
        <v>89181</v>
      </c>
      <c r="E102" s="830" t="s">
        <v>2921</v>
      </c>
      <c r="F102" s="828" t="s">
        <v>2920</v>
      </c>
      <c r="G102" s="832">
        <v>253.61</v>
      </c>
      <c r="H102" s="832">
        <v>13.25</v>
      </c>
      <c r="I102" s="832">
        <f t="shared" si="17"/>
        <v>16.55</v>
      </c>
      <c r="J102" s="832">
        <f t="shared" si="16"/>
        <v>4197.25</v>
      </c>
      <c r="K102" s="757"/>
      <c r="N102" s="631"/>
      <c r="O102" s="408"/>
    </row>
    <row r="103" spans="1:15" ht="15.6" customHeight="1">
      <c r="A103" s="767" t="s">
        <v>2926</v>
      </c>
      <c r="B103" s="768"/>
      <c r="C103" s="769"/>
      <c r="D103" s="769"/>
      <c r="E103" s="769"/>
      <c r="F103" s="769"/>
      <c r="G103" s="756"/>
      <c r="H103" s="756"/>
      <c r="I103" s="756"/>
      <c r="J103" s="771">
        <f>SUBTOTAL(109,J99:J102)</f>
        <v>304285.08</v>
      </c>
      <c r="K103" s="757"/>
      <c r="M103" s="730">
        <f>'[22]Planilha Orç'!$J$103</f>
        <v>212999.43</v>
      </c>
      <c r="N103" s="631">
        <f>+J103-M103</f>
        <v>91285.650000000023</v>
      </c>
      <c r="O103" s="408"/>
    </row>
    <row r="104" spans="1:15" s="275" customFormat="1" ht="15.6" customHeight="1">
      <c r="A104" s="792" t="s">
        <v>2927</v>
      </c>
      <c r="B104" s="793" t="s">
        <v>2835</v>
      </c>
      <c r="C104" s="794"/>
      <c r="D104" s="794"/>
      <c r="E104" s="794"/>
      <c r="F104" s="794"/>
      <c r="G104" s="794"/>
      <c r="H104" s="794"/>
      <c r="I104" s="794"/>
      <c r="J104" s="795"/>
      <c r="K104" s="746">
        <f>+J108/$J$463</f>
        <v>8.4881009873886851E-4</v>
      </c>
      <c r="L104" s="501"/>
      <c r="M104" s="730"/>
      <c r="N104" s="631"/>
      <c r="O104" s="408"/>
    </row>
    <row r="105" spans="1:15" ht="25.2">
      <c r="A105" s="761" t="s">
        <v>2928</v>
      </c>
      <c r="B105" s="759" t="s">
        <v>628</v>
      </c>
      <c r="C105" s="760"/>
      <c r="D105" s="761">
        <v>85183</v>
      </c>
      <c r="E105" s="762" t="s">
        <v>1938</v>
      </c>
      <c r="F105" s="761" t="s">
        <v>654</v>
      </c>
      <c r="G105" s="756">
        <v>26881.360000000001</v>
      </c>
      <c r="H105" s="756">
        <v>1.8</v>
      </c>
      <c r="I105" s="756">
        <f>ROUND(H105*(1+$K$471),2)</f>
        <v>2.25</v>
      </c>
      <c r="J105" s="756">
        <f t="shared" ref="J105:J107" si="18">ROUND(I105*G105,2)</f>
        <v>60483.06</v>
      </c>
      <c r="K105" s="757"/>
      <c r="N105" s="631"/>
      <c r="O105" s="408"/>
    </row>
    <row r="106" spans="1:15" ht="30" customHeight="1">
      <c r="A106" s="810" t="s">
        <v>2929</v>
      </c>
      <c r="B106" s="808" t="s">
        <v>628</v>
      </c>
      <c r="C106" s="809"/>
      <c r="D106" s="810">
        <v>72881</v>
      </c>
      <c r="E106" s="811" t="s">
        <v>2899</v>
      </c>
      <c r="F106" s="810" t="s">
        <v>729</v>
      </c>
      <c r="G106" s="756">
        <v>13440.68</v>
      </c>
      <c r="H106" s="756">
        <v>1.19</v>
      </c>
      <c r="I106" s="756">
        <f>ROUND(H106*(1+$K$471),2)</f>
        <v>1.49</v>
      </c>
      <c r="J106" s="756">
        <f t="shared" si="18"/>
        <v>20026.61</v>
      </c>
      <c r="K106" s="812"/>
      <c r="N106" s="631"/>
      <c r="O106" s="408"/>
    </row>
    <row r="107" spans="1:15" s="275" customFormat="1">
      <c r="A107" s="761" t="s">
        <v>2930</v>
      </c>
      <c r="B107" s="788" t="s">
        <v>628</v>
      </c>
      <c r="C107" s="753"/>
      <c r="D107" s="753">
        <v>72898</v>
      </c>
      <c r="E107" s="758" t="s">
        <v>1556</v>
      </c>
      <c r="F107" s="835" t="s">
        <v>998</v>
      </c>
      <c r="G107" s="756">
        <v>1344.06</v>
      </c>
      <c r="H107" s="756">
        <v>0.94</v>
      </c>
      <c r="I107" s="756">
        <f>ROUND(H107*(1+$K$471),2)</f>
        <v>1.17</v>
      </c>
      <c r="J107" s="756">
        <f t="shared" si="18"/>
        <v>1572.55</v>
      </c>
      <c r="K107" s="833"/>
      <c r="L107" s="501"/>
      <c r="M107" s="730"/>
      <c r="N107" s="631"/>
      <c r="O107" s="408"/>
    </row>
    <row r="108" spans="1:15" ht="15.6" customHeight="1">
      <c r="A108" s="767" t="s">
        <v>2836</v>
      </c>
      <c r="B108" s="768"/>
      <c r="C108" s="769"/>
      <c r="D108" s="769"/>
      <c r="E108" s="769"/>
      <c r="F108" s="769"/>
      <c r="G108" s="756"/>
      <c r="H108" s="756"/>
      <c r="I108" s="756"/>
      <c r="J108" s="771">
        <f>SUBTOTAL(109,J105:J107)</f>
        <v>82082.22</v>
      </c>
      <c r="K108" s="757"/>
      <c r="M108" s="730">
        <f>'[22]Planilha Orç'!$J$108</f>
        <v>57659.360000000001</v>
      </c>
      <c r="N108" s="631">
        <f>+J108-M108</f>
        <v>24422.86</v>
      </c>
      <c r="O108" s="408"/>
    </row>
    <row r="109" spans="1:15" ht="18" customHeight="1" thickBot="1">
      <c r="A109" s="836" t="s">
        <v>720</v>
      </c>
      <c r="B109" s="837"/>
      <c r="C109" s="838"/>
      <c r="D109" s="838"/>
      <c r="E109" s="838"/>
      <c r="F109" s="838"/>
      <c r="G109" s="838"/>
      <c r="H109" s="839"/>
      <c r="I109" s="839"/>
      <c r="J109" s="840">
        <f>SUBTOTAL(109,J13:J108)</f>
        <v>13980517.539999997</v>
      </c>
      <c r="K109" s="757"/>
      <c r="N109" s="631"/>
      <c r="O109" s="408"/>
    </row>
    <row r="110" spans="1:15" ht="18" customHeight="1" thickBot="1">
      <c r="A110" s="841">
        <v>2</v>
      </c>
      <c r="B110" s="842" t="s">
        <v>721</v>
      </c>
      <c r="C110" s="843"/>
      <c r="D110" s="843"/>
      <c r="E110" s="843"/>
      <c r="F110" s="844"/>
      <c r="G110" s="845"/>
      <c r="H110" s="845"/>
      <c r="I110" s="845"/>
      <c r="J110" s="846"/>
      <c r="K110" s="746">
        <f>SUBTOTAL(109,K111:K152)</f>
        <v>2.0273074578906196E-2</v>
      </c>
      <c r="N110" s="631"/>
      <c r="O110" s="408"/>
    </row>
    <row r="111" spans="1:15" ht="15.6" customHeight="1">
      <c r="A111" s="847" t="s">
        <v>722</v>
      </c>
      <c r="B111" s="848" t="s">
        <v>723</v>
      </c>
      <c r="C111" s="849"/>
      <c r="D111" s="849"/>
      <c r="E111" s="849"/>
      <c r="F111" s="849"/>
      <c r="G111" s="849"/>
      <c r="H111" s="849"/>
      <c r="I111" s="849"/>
      <c r="J111" s="850"/>
      <c r="K111" s="746">
        <f>+J117/$J$463</f>
        <v>8.1756285014241772E-3</v>
      </c>
      <c r="N111" s="631"/>
      <c r="O111" s="408"/>
    </row>
    <row r="112" spans="1:15">
      <c r="A112" s="778" t="s">
        <v>724</v>
      </c>
      <c r="B112" s="788" t="s">
        <v>628</v>
      </c>
      <c r="C112" s="789"/>
      <c r="D112" s="778" t="s">
        <v>725</v>
      </c>
      <c r="E112" s="798" t="s">
        <v>726</v>
      </c>
      <c r="F112" s="778" t="s">
        <v>654</v>
      </c>
      <c r="G112" s="756">
        <v>16694.62</v>
      </c>
      <c r="H112" s="756">
        <v>0.49</v>
      </c>
      <c r="I112" s="756">
        <f>ROUND(H112*(1+$K$471),2)</f>
        <v>0.61</v>
      </c>
      <c r="J112" s="756">
        <f t="shared" ref="J112:J116" si="19">ROUND(I112*G112,2)</f>
        <v>10183.719999999999</v>
      </c>
      <c r="K112" s="757"/>
      <c r="N112" s="631"/>
      <c r="O112" s="408"/>
    </row>
    <row r="113" spans="1:15" ht="25.2">
      <c r="A113" s="778" t="s">
        <v>727</v>
      </c>
      <c r="B113" s="788" t="s">
        <v>628</v>
      </c>
      <c r="C113" s="789"/>
      <c r="D113" s="778" t="s">
        <v>1548</v>
      </c>
      <c r="E113" s="798" t="s">
        <v>1547</v>
      </c>
      <c r="F113" s="778" t="s">
        <v>704</v>
      </c>
      <c r="G113" s="756">
        <v>40701</v>
      </c>
      <c r="H113" s="756">
        <v>3.13</v>
      </c>
      <c r="I113" s="756">
        <f>ROUND(H113*(1+$K$471),2)</f>
        <v>3.91</v>
      </c>
      <c r="J113" s="756">
        <f t="shared" si="19"/>
        <v>159140.91</v>
      </c>
      <c r="K113" s="757"/>
      <c r="N113" s="631"/>
      <c r="O113" s="408"/>
    </row>
    <row r="114" spans="1:15" ht="31.2" customHeight="1">
      <c r="A114" s="778" t="s">
        <v>728</v>
      </c>
      <c r="B114" s="788" t="s">
        <v>628</v>
      </c>
      <c r="C114" s="789"/>
      <c r="D114" s="778">
        <v>72881</v>
      </c>
      <c r="E114" s="811" t="s">
        <v>2899</v>
      </c>
      <c r="F114" s="778" t="s">
        <v>729</v>
      </c>
      <c r="G114" s="756">
        <v>374762.88</v>
      </c>
      <c r="H114" s="756">
        <v>1.19</v>
      </c>
      <c r="I114" s="756">
        <f>ROUND(H114*(1+$K$471),2)</f>
        <v>1.49</v>
      </c>
      <c r="J114" s="756">
        <f t="shared" si="19"/>
        <v>558396.68999999994</v>
      </c>
      <c r="K114" s="757"/>
      <c r="N114" s="631"/>
      <c r="O114" s="408"/>
    </row>
    <row r="115" spans="1:15">
      <c r="A115" s="778" t="s">
        <v>730</v>
      </c>
      <c r="B115" s="788" t="s">
        <v>628</v>
      </c>
      <c r="C115" s="789"/>
      <c r="D115" s="778">
        <v>83344</v>
      </c>
      <c r="E115" s="758" t="s">
        <v>731</v>
      </c>
      <c r="F115" s="778" t="s">
        <v>704</v>
      </c>
      <c r="G115" s="756">
        <v>46845.36</v>
      </c>
      <c r="H115" s="756">
        <v>0.91</v>
      </c>
      <c r="I115" s="756">
        <f>ROUND(H115*(1+$K$471),2)</f>
        <v>1.1399999999999999</v>
      </c>
      <c r="J115" s="756">
        <f t="shared" si="19"/>
        <v>53403.71</v>
      </c>
      <c r="K115" s="757"/>
      <c r="N115" s="631"/>
      <c r="O115" s="408"/>
    </row>
    <row r="116" spans="1:15" ht="25.2">
      <c r="A116" s="778" t="s">
        <v>732</v>
      </c>
      <c r="B116" s="788" t="s">
        <v>628</v>
      </c>
      <c r="C116" s="789"/>
      <c r="D116" s="851" t="s">
        <v>733</v>
      </c>
      <c r="E116" s="758" t="s">
        <v>734</v>
      </c>
      <c r="F116" s="761" t="s">
        <v>704</v>
      </c>
      <c r="G116" s="756">
        <v>1663.2</v>
      </c>
      <c r="H116" s="756">
        <v>4.5599999999999996</v>
      </c>
      <c r="I116" s="756">
        <f>ROUND(H116*(1+$K$471),2)</f>
        <v>5.7</v>
      </c>
      <c r="J116" s="756">
        <f t="shared" si="19"/>
        <v>9480.24</v>
      </c>
      <c r="K116" s="757"/>
      <c r="N116" s="631"/>
      <c r="O116" s="408"/>
    </row>
    <row r="117" spans="1:15" ht="15.6" customHeight="1">
      <c r="A117" s="767" t="s">
        <v>740</v>
      </c>
      <c r="B117" s="768"/>
      <c r="C117" s="769"/>
      <c r="D117" s="769"/>
      <c r="E117" s="769"/>
      <c r="F117" s="769"/>
      <c r="G117" s="756"/>
      <c r="H117" s="756"/>
      <c r="I117" s="756"/>
      <c r="J117" s="771">
        <f>SUBTOTAL(109,J112:J116)</f>
        <v>790605.2699999999</v>
      </c>
      <c r="K117" s="757"/>
      <c r="M117" s="730">
        <f>'[22]Planilha Orç'!$J$117</f>
        <v>790605.2699999999</v>
      </c>
      <c r="N117" s="631">
        <f>+J117-M117</f>
        <v>0</v>
      </c>
      <c r="O117" s="408"/>
    </row>
    <row r="118" spans="1:15" ht="18" customHeight="1">
      <c r="A118" s="792" t="s">
        <v>741</v>
      </c>
      <c r="B118" s="796" t="s">
        <v>742</v>
      </c>
      <c r="C118" s="797"/>
      <c r="D118" s="797"/>
      <c r="E118" s="797"/>
      <c r="F118" s="797"/>
      <c r="G118" s="797"/>
      <c r="H118" s="797"/>
      <c r="I118" s="797"/>
      <c r="J118" s="852"/>
      <c r="K118" s="746">
        <f>+J123/$J$463</f>
        <v>4.2700104746972199E-4</v>
      </c>
      <c r="N118" s="631"/>
      <c r="O118" s="408"/>
    </row>
    <row r="119" spans="1:15" ht="25.2">
      <c r="A119" s="751" t="s">
        <v>743</v>
      </c>
      <c r="B119" s="853" t="s">
        <v>628</v>
      </c>
      <c r="C119" s="854"/>
      <c r="D119" s="855" t="s">
        <v>1546</v>
      </c>
      <c r="E119" s="790" t="s">
        <v>1527</v>
      </c>
      <c r="F119" s="791" t="s">
        <v>704</v>
      </c>
      <c r="G119" s="756">
        <v>26.88</v>
      </c>
      <c r="H119" s="756">
        <v>24.1</v>
      </c>
      <c r="I119" s="756">
        <f>ROUND(H119*(1+$K$471),2)</f>
        <v>30.11</v>
      </c>
      <c r="J119" s="756">
        <f t="shared" ref="J119:J122" si="20">ROUND(I119*G119,2)</f>
        <v>809.36</v>
      </c>
      <c r="K119" s="757"/>
      <c r="N119" s="631"/>
      <c r="O119" s="408"/>
    </row>
    <row r="120" spans="1:15">
      <c r="A120" s="761" t="s">
        <v>744</v>
      </c>
      <c r="B120" s="856" t="s">
        <v>628</v>
      </c>
      <c r="C120" s="857"/>
      <c r="D120" s="858" t="s">
        <v>1543</v>
      </c>
      <c r="E120" s="790" t="s">
        <v>1544</v>
      </c>
      <c r="F120" s="761" t="s">
        <v>998</v>
      </c>
      <c r="G120" s="756">
        <v>50.4</v>
      </c>
      <c r="H120" s="756">
        <v>330.29</v>
      </c>
      <c r="I120" s="756">
        <f>ROUND(H120*(1+$K$471),2)</f>
        <v>412.63</v>
      </c>
      <c r="J120" s="756">
        <f t="shared" si="20"/>
        <v>20796.55</v>
      </c>
      <c r="K120" s="757"/>
      <c r="N120" s="631"/>
      <c r="O120" s="408"/>
    </row>
    <row r="121" spans="1:15" ht="25.2">
      <c r="A121" s="761" t="s">
        <v>745</v>
      </c>
      <c r="B121" s="856" t="s">
        <v>628</v>
      </c>
      <c r="C121" s="857"/>
      <c r="D121" s="858" t="s">
        <v>746</v>
      </c>
      <c r="E121" s="790" t="s">
        <v>747</v>
      </c>
      <c r="F121" s="761" t="s">
        <v>654</v>
      </c>
      <c r="G121" s="756">
        <v>168</v>
      </c>
      <c r="H121" s="756">
        <v>72.42</v>
      </c>
      <c r="I121" s="756">
        <f>ROUND(H121*(1+$K$471),2)</f>
        <v>90.47</v>
      </c>
      <c r="J121" s="756">
        <f t="shared" si="20"/>
        <v>15198.96</v>
      </c>
      <c r="K121" s="757"/>
      <c r="N121" s="631"/>
      <c r="O121" s="408"/>
    </row>
    <row r="122" spans="1:15" ht="25.2">
      <c r="A122" s="761" t="s">
        <v>748</v>
      </c>
      <c r="B122" s="759" t="s">
        <v>628</v>
      </c>
      <c r="C122" s="857"/>
      <c r="D122" s="858">
        <v>83746</v>
      </c>
      <c r="E122" s="790" t="s">
        <v>1545</v>
      </c>
      <c r="F122" s="761" t="s">
        <v>654</v>
      </c>
      <c r="G122" s="756">
        <v>168</v>
      </c>
      <c r="H122" s="756">
        <v>21.38</v>
      </c>
      <c r="I122" s="756">
        <f>ROUND(H122*(1+$K$471),2)</f>
        <v>26.71</v>
      </c>
      <c r="J122" s="756">
        <f t="shared" si="20"/>
        <v>4487.28</v>
      </c>
      <c r="K122" s="757"/>
      <c r="N122" s="631"/>
      <c r="O122" s="408"/>
    </row>
    <row r="123" spans="1:15">
      <c r="A123" s="859" t="s">
        <v>2837</v>
      </c>
      <c r="B123" s="860"/>
      <c r="C123" s="861"/>
      <c r="D123" s="861"/>
      <c r="E123" s="861"/>
      <c r="F123" s="861"/>
      <c r="G123" s="756"/>
      <c r="H123" s="756"/>
      <c r="I123" s="756"/>
      <c r="J123" s="771">
        <f>SUBTOTAL(109,J119:J122)</f>
        <v>41292.149999999994</v>
      </c>
      <c r="K123" s="757"/>
      <c r="M123" s="730">
        <f>'[22]Planilha Orç'!$J$123</f>
        <v>41292.149999999994</v>
      </c>
      <c r="N123" s="631">
        <f>+J123-M123</f>
        <v>0</v>
      </c>
      <c r="O123" s="408"/>
    </row>
    <row r="124" spans="1:15">
      <c r="A124" s="792" t="s">
        <v>749</v>
      </c>
      <c r="B124" s="862" t="s">
        <v>750</v>
      </c>
      <c r="C124" s="863"/>
      <c r="D124" s="863"/>
      <c r="E124" s="864"/>
      <c r="F124" s="864"/>
      <c r="G124" s="865"/>
      <c r="H124" s="865"/>
      <c r="I124" s="865"/>
      <c r="J124" s="866"/>
      <c r="K124" s="746">
        <f>+J152/$J$463</f>
        <v>1.1670445030012298E-2</v>
      </c>
      <c r="N124" s="631"/>
      <c r="O124" s="408"/>
    </row>
    <row r="125" spans="1:15">
      <c r="A125" s="867"/>
      <c r="B125" s="868" t="s">
        <v>1944</v>
      </c>
      <c r="C125" s="869"/>
      <c r="D125" s="869"/>
      <c r="E125" s="870"/>
      <c r="F125" s="870"/>
      <c r="G125" s="871"/>
      <c r="H125" s="871"/>
      <c r="I125" s="871"/>
      <c r="J125" s="872"/>
      <c r="K125" s="757"/>
      <c r="N125" s="631"/>
      <c r="O125" s="408"/>
    </row>
    <row r="126" spans="1:15" ht="25.2">
      <c r="A126" s="761" t="s">
        <v>751</v>
      </c>
      <c r="B126" s="853" t="s">
        <v>628</v>
      </c>
      <c r="C126" s="854"/>
      <c r="D126" s="855" t="s">
        <v>1546</v>
      </c>
      <c r="E126" s="790" t="s">
        <v>1527</v>
      </c>
      <c r="F126" s="791" t="s">
        <v>704</v>
      </c>
      <c r="G126" s="756">
        <v>383.05</v>
      </c>
      <c r="H126" s="756">
        <v>24.1</v>
      </c>
      <c r="I126" s="756">
        <f t="shared" ref="I126:I132" si="21">ROUND(H126*(1+$K$471),2)</f>
        <v>30.11</v>
      </c>
      <c r="J126" s="756">
        <f t="shared" ref="J126:J132" si="22">ROUND(I126*G126,2)</f>
        <v>11533.64</v>
      </c>
      <c r="K126" s="757"/>
      <c r="N126" s="631"/>
      <c r="O126" s="408"/>
    </row>
    <row r="127" spans="1:15">
      <c r="A127" s="761" t="s">
        <v>752</v>
      </c>
      <c r="B127" s="759" t="s">
        <v>628</v>
      </c>
      <c r="C127" s="760"/>
      <c r="D127" s="761">
        <v>93382</v>
      </c>
      <c r="E127" s="762" t="s">
        <v>1945</v>
      </c>
      <c r="F127" s="761" t="s">
        <v>704</v>
      </c>
      <c r="G127" s="756">
        <v>195.36</v>
      </c>
      <c r="H127" s="756">
        <v>17.29</v>
      </c>
      <c r="I127" s="756">
        <f t="shared" si="21"/>
        <v>21.6</v>
      </c>
      <c r="J127" s="756">
        <f t="shared" si="22"/>
        <v>4219.78</v>
      </c>
      <c r="K127" s="757"/>
      <c r="N127" s="631"/>
      <c r="O127" s="408"/>
    </row>
    <row r="128" spans="1:15">
      <c r="A128" s="761" t="s">
        <v>753</v>
      </c>
      <c r="B128" s="759" t="s">
        <v>628</v>
      </c>
      <c r="C128" s="760"/>
      <c r="D128" s="761">
        <v>5622</v>
      </c>
      <c r="E128" s="762" t="s">
        <v>1946</v>
      </c>
      <c r="F128" s="761" t="s">
        <v>654</v>
      </c>
      <c r="G128" s="756">
        <v>383.05</v>
      </c>
      <c r="H128" s="756">
        <v>3.97</v>
      </c>
      <c r="I128" s="756">
        <f t="shared" si="21"/>
        <v>4.96</v>
      </c>
      <c r="J128" s="756">
        <f t="shared" si="22"/>
        <v>1899.93</v>
      </c>
      <c r="K128" s="757"/>
      <c r="N128" s="631"/>
      <c r="O128" s="408"/>
    </row>
    <row r="129" spans="1:1280" ht="25.2">
      <c r="A129" s="761" t="s">
        <v>755</v>
      </c>
      <c r="B129" s="759" t="s">
        <v>628</v>
      </c>
      <c r="C129" s="760"/>
      <c r="D129" s="761" t="s">
        <v>1947</v>
      </c>
      <c r="E129" s="762" t="s">
        <v>1948</v>
      </c>
      <c r="F129" s="761" t="s">
        <v>607</v>
      </c>
      <c r="G129" s="756">
        <v>383.05</v>
      </c>
      <c r="H129" s="756">
        <v>27.06</v>
      </c>
      <c r="I129" s="756">
        <f t="shared" si="21"/>
        <v>33.81</v>
      </c>
      <c r="J129" s="756">
        <f t="shared" si="22"/>
        <v>12950.92</v>
      </c>
      <c r="K129" s="757"/>
      <c r="N129" s="631"/>
      <c r="O129" s="408"/>
    </row>
    <row r="130" spans="1:1280" s="275" customFormat="1">
      <c r="A130" s="761" t="s">
        <v>1772</v>
      </c>
      <c r="B130" s="759" t="s">
        <v>628</v>
      </c>
      <c r="C130" s="760"/>
      <c r="D130" s="761">
        <v>5651</v>
      </c>
      <c r="E130" s="762" t="s">
        <v>1529</v>
      </c>
      <c r="F130" s="761" t="s">
        <v>607</v>
      </c>
      <c r="G130" s="756">
        <v>766.1</v>
      </c>
      <c r="H130" s="756">
        <v>29.66</v>
      </c>
      <c r="I130" s="756">
        <f t="shared" si="21"/>
        <v>37.049999999999997</v>
      </c>
      <c r="J130" s="756">
        <f t="shared" si="22"/>
        <v>28384.01</v>
      </c>
      <c r="K130" s="757"/>
      <c r="L130" s="501"/>
      <c r="M130" s="730"/>
      <c r="N130" s="631"/>
      <c r="O130" s="408"/>
    </row>
    <row r="131" spans="1:1280" s="277" customFormat="1" ht="37.799999999999997">
      <c r="A131" s="761" t="s">
        <v>759</v>
      </c>
      <c r="B131" s="759" t="s">
        <v>628</v>
      </c>
      <c r="C131" s="760"/>
      <c r="D131" s="761">
        <v>92919</v>
      </c>
      <c r="E131" s="798" t="s">
        <v>1549</v>
      </c>
      <c r="F131" s="778" t="s">
        <v>757</v>
      </c>
      <c r="G131" s="756">
        <v>10955.23</v>
      </c>
      <c r="H131" s="756">
        <v>6.87</v>
      </c>
      <c r="I131" s="756">
        <f t="shared" si="21"/>
        <v>8.58</v>
      </c>
      <c r="J131" s="756">
        <f t="shared" si="22"/>
        <v>93995.87</v>
      </c>
      <c r="K131" s="757"/>
      <c r="L131" s="501"/>
      <c r="M131" s="730"/>
      <c r="N131" s="631"/>
      <c r="O131" s="408"/>
    </row>
    <row r="132" spans="1:1280" ht="37.799999999999997">
      <c r="A132" s="761" t="s">
        <v>1773</v>
      </c>
      <c r="B132" s="759" t="s">
        <v>628</v>
      </c>
      <c r="C132" s="760"/>
      <c r="D132" s="761">
        <v>90861</v>
      </c>
      <c r="E132" s="762" t="s">
        <v>1957</v>
      </c>
      <c r="F132" s="778" t="s">
        <v>646</v>
      </c>
      <c r="G132" s="756">
        <v>168.54</v>
      </c>
      <c r="H132" s="756">
        <v>400.32</v>
      </c>
      <c r="I132" s="756">
        <f t="shared" si="21"/>
        <v>500.12</v>
      </c>
      <c r="J132" s="756">
        <f t="shared" si="22"/>
        <v>84290.22</v>
      </c>
      <c r="K132" s="815"/>
      <c r="N132" s="631"/>
      <c r="O132" s="408"/>
    </row>
    <row r="133" spans="1:1280" s="278" customFormat="1" ht="16.2">
      <c r="A133" s="859" t="s">
        <v>2838</v>
      </c>
      <c r="B133" s="860"/>
      <c r="C133" s="861"/>
      <c r="D133" s="861"/>
      <c r="E133" s="861"/>
      <c r="F133" s="861"/>
      <c r="G133" s="756"/>
      <c r="H133" s="756"/>
      <c r="I133" s="756"/>
      <c r="J133" s="771">
        <f>SUBTOTAL(109,J126:J132)</f>
        <v>237274.37</v>
      </c>
      <c r="K133" s="873"/>
      <c r="L133" s="501"/>
      <c r="M133" s="730">
        <f>'[22]Planilha Orç'!$J$133</f>
        <v>237274.37</v>
      </c>
      <c r="N133" s="631">
        <f>+J133-M133</f>
        <v>0</v>
      </c>
      <c r="O133" s="408"/>
      <c r="P133" s="501"/>
      <c r="Q133" s="501"/>
      <c r="R133" s="501"/>
      <c r="S133" s="501"/>
      <c r="T133" s="501"/>
      <c r="U133" s="501"/>
      <c r="V133" s="501"/>
      <c r="W133" s="501"/>
      <c r="X133" s="501"/>
      <c r="Y133" s="501"/>
      <c r="Z133" s="501"/>
      <c r="AA133" s="501"/>
      <c r="AB133" s="501"/>
      <c r="AC133" s="501"/>
      <c r="AD133" s="501"/>
      <c r="AE133" s="501"/>
      <c r="AF133" s="501"/>
      <c r="AG133" s="501"/>
      <c r="AH133" s="501"/>
      <c r="AI133" s="501"/>
      <c r="AJ133" s="501"/>
      <c r="AK133" s="501"/>
      <c r="AL133" s="501"/>
      <c r="AM133" s="501"/>
      <c r="AN133" s="501"/>
      <c r="AO133" s="501"/>
      <c r="AP133" s="501"/>
      <c r="AQ133" s="501"/>
      <c r="AR133" s="501"/>
      <c r="AS133" s="501"/>
      <c r="AT133" s="501"/>
      <c r="AU133" s="501"/>
      <c r="AV133" s="501"/>
      <c r="AW133" s="501"/>
      <c r="AX133" s="501"/>
      <c r="AY133" s="501"/>
      <c r="AZ133" s="501"/>
      <c r="BA133" s="501"/>
      <c r="BB133" s="501"/>
      <c r="BC133" s="501"/>
      <c r="BD133" s="501"/>
      <c r="BE133" s="501"/>
      <c r="BF133" s="501"/>
      <c r="BG133" s="501"/>
      <c r="BH133" s="501"/>
      <c r="BI133" s="501"/>
      <c r="BJ133" s="501"/>
      <c r="BK133" s="501"/>
      <c r="BL133" s="501"/>
      <c r="BM133" s="501"/>
      <c r="BN133" s="501"/>
      <c r="BO133" s="501"/>
      <c r="BP133" s="501"/>
      <c r="BQ133" s="501"/>
      <c r="BR133" s="501"/>
      <c r="BS133" s="501"/>
      <c r="BT133" s="501"/>
      <c r="BU133" s="501"/>
      <c r="BV133" s="501"/>
      <c r="BW133" s="501"/>
      <c r="BX133" s="501"/>
      <c r="BY133" s="501"/>
      <c r="BZ133" s="501"/>
      <c r="CA133" s="501"/>
      <c r="CB133" s="501"/>
      <c r="CC133" s="501"/>
      <c r="CD133" s="501"/>
      <c r="CE133" s="501"/>
      <c r="CF133" s="501"/>
      <c r="CG133" s="501"/>
      <c r="CH133" s="501"/>
      <c r="CI133" s="501"/>
      <c r="CJ133" s="501"/>
      <c r="CK133" s="501"/>
      <c r="CL133" s="501"/>
      <c r="CM133" s="501"/>
      <c r="CN133" s="501"/>
      <c r="CO133" s="501"/>
      <c r="CP133" s="501"/>
      <c r="CQ133" s="501"/>
      <c r="CR133" s="501"/>
      <c r="CS133" s="501"/>
      <c r="CT133" s="501"/>
      <c r="CU133" s="501"/>
      <c r="CV133" s="501"/>
      <c r="CW133" s="501"/>
      <c r="CX133" s="501"/>
      <c r="CY133" s="501"/>
      <c r="CZ133" s="501"/>
      <c r="DA133" s="501"/>
      <c r="DB133" s="501"/>
      <c r="DC133" s="501"/>
      <c r="DD133" s="501"/>
      <c r="DE133" s="501"/>
      <c r="DF133" s="501"/>
      <c r="DG133" s="501"/>
      <c r="DH133" s="501"/>
      <c r="DI133" s="501"/>
      <c r="DJ133" s="501"/>
      <c r="DK133" s="501"/>
      <c r="DL133" s="501"/>
      <c r="DM133" s="501"/>
      <c r="DN133" s="501"/>
      <c r="DO133" s="501"/>
      <c r="DP133" s="501"/>
      <c r="DQ133" s="501"/>
      <c r="DR133" s="501"/>
      <c r="DS133" s="501"/>
      <c r="DT133" s="501"/>
      <c r="DU133" s="501"/>
      <c r="DV133" s="501"/>
      <c r="DW133" s="501"/>
      <c r="DX133" s="501"/>
      <c r="DY133" s="501"/>
      <c r="DZ133" s="501"/>
      <c r="EA133" s="501"/>
      <c r="EB133" s="501"/>
      <c r="EC133" s="501"/>
      <c r="ED133" s="501"/>
      <c r="EE133" s="501"/>
      <c r="EF133" s="501"/>
      <c r="EG133" s="501"/>
      <c r="EH133" s="501"/>
      <c r="EI133" s="501"/>
      <c r="EJ133" s="501"/>
      <c r="EK133" s="501"/>
      <c r="EL133" s="501"/>
      <c r="EM133" s="501"/>
      <c r="EN133" s="501"/>
      <c r="EO133" s="501"/>
      <c r="EP133" s="501"/>
      <c r="EQ133" s="501"/>
      <c r="ER133" s="501"/>
      <c r="ES133" s="501"/>
      <c r="ET133" s="501"/>
      <c r="EU133" s="501"/>
      <c r="EV133" s="501"/>
      <c r="EW133" s="501"/>
      <c r="EX133" s="501"/>
      <c r="EY133" s="501"/>
      <c r="EZ133" s="501"/>
      <c r="FA133" s="501"/>
      <c r="FB133" s="501"/>
      <c r="FC133" s="501"/>
      <c r="FD133" s="501"/>
      <c r="FE133" s="501"/>
      <c r="FF133" s="501"/>
      <c r="FG133" s="501"/>
      <c r="FH133" s="501"/>
      <c r="FI133" s="501"/>
      <c r="FJ133" s="501"/>
      <c r="FK133" s="501"/>
      <c r="FL133" s="501"/>
      <c r="FM133" s="501"/>
      <c r="FN133" s="501"/>
      <c r="FO133" s="501"/>
      <c r="FP133" s="501"/>
      <c r="FQ133" s="501"/>
      <c r="FR133" s="501"/>
      <c r="FS133" s="501"/>
      <c r="FT133" s="501"/>
      <c r="FU133" s="501"/>
      <c r="FV133" s="501"/>
      <c r="FW133" s="501"/>
      <c r="FX133" s="501"/>
      <c r="FY133" s="501"/>
      <c r="FZ133" s="501"/>
      <c r="GA133" s="501"/>
      <c r="GB133" s="501"/>
      <c r="GC133" s="501"/>
      <c r="GD133" s="501"/>
      <c r="GE133" s="501"/>
      <c r="GF133" s="501"/>
      <c r="GG133" s="501"/>
      <c r="GH133" s="501"/>
      <c r="GI133" s="501"/>
      <c r="GJ133" s="501"/>
      <c r="GK133" s="501"/>
      <c r="GL133" s="501"/>
      <c r="GM133" s="501"/>
      <c r="GN133" s="501"/>
      <c r="GO133" s="501"/>
      <c r="GP133" s="501"/>
      <c r="GQ133" s="501"/>
      <c r="GR133" s="501"/>
      <c r="GS133" s="501"/>
      <c r="GT133" s="501"/>
      <c r="GU133" s="501"/>
      <c r="GV133" s="501"/>
      <c r="GW133" s="501"/>
      <c r="GX133" s="501"/>
      <c r="GY133" s="501"/>
      <c r="GZ133" s="501"/>
      <c r="HA133" s="501"/>
      <c r="HB133" s="501"/>
      <c r="HC133" s="501"/>
      <c r="HD133" s="501"/>
      <c r="HE133" s="501"/>
      <c r="HF133" s="501"/>
      <c r="HG133" s="501"/>
      <c r="HH133" s="501"/>
      <c r="HI133" s="501"/>
      <c r="HJ133" s="501"/>
      <c r="HK133" s="501"/>
      <c r="HL133" s="501"/>
      <c r="HM133" s="501"/>
      <c r="HN133" s="501"/>
      <c r="HO133" s="501"/>
      <c r="HP133" s="501"/>
      <c r="HQ133" s="501"/>
      <c r="HR133" s="501"/>
      <c r="HS133" s="501"/>
      <c r="HT133" s="501"/>
      <c r="HU133" s="501"/>
      <c r="HV133" s="501"/>
      <c r="HW133" s="501"/>
      <c r="HX133" s="501"/>
      <c r="HY133" s="501"/>
      <c r="HZ133" s="501"/>
      <c r="IA133" s="501"/>
      <c r="IB133" s="501"/>
      <c r="IC133" s="501"/>
      <c r="ID133" s="501"/>
      <c r="IE133" s="501"/>
      <c r="IF133" s="501"/>
      <c r="IG133" s="501"/>
      <c r="IH133" s="501"/>
      <c r="II133" s="501"/>
      <c r="IJ133" s="501"/>
      <c r="IK133" s="501"/>
      <c r="IL133" s="501"/>
      <c r="IM133" s="501"/>
      <c r="IN133" s="501"/>
      <c r="IO133" s="501"/>
      <c r="IP133" s="501"/>
      <c r="IQ133" s="501"/>
      <c r="IR133" s="501"/>
      <c r="IS133" s="501"/>
      <c r="IT133" s="501"/>
      <c r="IU133" s="501"/>
      <c r="IV133" s="501"/>
      <c r="IW133" s="501"/>
      <c r="IX133" s="501"/>
      <c r="IY133" s="501"/>
      <c r="IZ133" s="501"/>
      <c r="JA133" s="501"/>
      <c r="JB133" s="501"/>
      <c r="JC133" s="501"/>
      <c r="JD133" s="501"/>
      <c r="JE133" s="501"/>
      <c r="JF133" s="501"/>
      <c r="JG133" s="501"/>
      <c r="JH133" s="501"/>
      <c r="JI133" s="501"/>
      <c r="JJ133" s="501"/>
      <c r="JK133" s="501"/>
      <c r="JL133" s="501"/>
      <c r="JM133" s="501"/>
      <c r="JN133" s="501"/>
      <c r="JO133" s="501"/>
      <c r="JP133" s="501"/>
      <c r="JQ133" s="501"/>
      <c r="JR133" s="501"/>
      <c r="JS133" s="501"/>
      <c r="JT133" s="501"/>
      <c r="JU133" s="501"/>
      <c r="JV133" s="501"/>
      <c r="JW133" s="501"/>
      <c r="JX133" s="501"/>
      <c r="JY133" s="501"/>
      <c r="JZ133" s="501"/>
      <c r="KA133" s="501"/>
      <c r="KB133" s="501"/>
      <c r="KC133" s="501"/>
      <c r="KD133" s="501"/>
      <c r="KE133" s="501"/>
      <c r="KF133" s="501"/>
      <c r="KG133" s="501"/>
      <c r="KH133" s="501"/>
      <c r="KI133" s="501"/>
      <c r="KJ133" s="501"/>
      <c r="KK133" s="501"/>
      <c r="KL133" s="501"/>
      <c r="KM133" s="501"/>
      <c r="KN133" s="501"/>
      <c r="KO133" s="501"/>
      <c r="KP133" s="501"/>
      <c r="KQ133" s="501"/>
      <c r="KR133" s="501"/>
      <c r="KS133" s="501"/>
      <c r="KT133" s="501"/>
      <c r="KU133" s="501"/>
      <c r="KV133" s="501"/>
      <c r="KW133" s="501"/>
      <c r="KX133" s="501"/>
      <c r="KY133" s="501"/>
      <c r="KZ133" s="501"/>
      <c r="LA133" s="501"/>
      <c r="LB133" s="501"/>
      <c r="LC133" s="501"/>
      <c r="LD133" s="501"/>
      <c r="LE133" s="501"/>
      <c r="LF133" s="501"/>
      <c r="LG133" s="501"/>
      <c r="LH133" s="501"/>
      <c r="LI133" s="501"/>
      <c r="LJ133" s="501"/>
      <c r="LK133" s="501"/>
      <c r="LL133" s="501"/>
      <c r="LM133" s="501"/>
      <c r="LN133" s="501"/>
      <c r="LO133" s="501"/>
      <c r="LP133" s="501"/>
      <c r="LQ133" s="501"/>
      <c r="LR133" s="501"/>
      <c r="LS133" s="501"/>
      <c r="LT133" s="501"/>
      <c r="LU133" s="501"/>
      <c r="LV133" s="501"/>
      <c r="LW133" s="501"/>
      <c r="LX133" s="501"/>
      <c r="LY133" s="501"/>
      <c r="LZ133" s="501"/>
      <c r="MA133" s="501"/>
      <c r="MB133" s="501"/>
      <c r="MC133" s="501"/>
      <c r="MD133" s="501"/>
      <c r="ME133" s="501"/>
      <c r="MF133" s="501"/>
      <c r="MG133" s="501"/>
      <c r="MH133" s="501"/>
      <c r="MI133" s="501"/>
      <c r="MJ133" s="501"/>
      <c r="MK133" s="501"/>
      <c r="ML133" s="501"/>
      <c r="MM133" s="501"/>
      <c r="MN133" s="501"/>
      <c r="MO133" s="501"/>
      <c r="MP133" s="501"/>
      <c r="MQ133" s="501"/>
      <c r="MR133" s="501"/>
      <c r="MS133" s="501"/>
      <c r="MT133" s="501"/>
      <c r="MU133" s="501"/>
      <c r="MV133" s="501"/>
      <c r="MW133" s="501"/>
      <c r="MX133" s="501"/>
      <c r="MY133" s="501"/>
      <c r="MZ133" s="501"/>
      <c r="NA133" s="501"/>
      <c r="NB133" s="501"/>
      <c r="NC133" s="501"/>
      <c r="ND133" s="501"/>
      <c r="NE133" s="501"/>
      <c r="NF133" s="501"/>
      <c r="NG133" s="501"/>
      <c r="NH133" s="501"/>
      <c r="NI133" s="501"/>
      <c r="NJ133" s="501"/>
      <c r="NK133" s="501"/>
      <c r="NL133" s="501"/>
      <c r="NM133" s="501"/>
      <c r="NN133" s="501"/>
      <c r="NO133" s="501"/>
      <c r="NP133" s="501"/>
      <c r="NQ133" s="501"/>
      <c r="NR133" s="501"/>
      <c r="NS133" s="501"/>
      <c r="NT133" s="501"/>
      <c r="NU133" s="501"/>
      <c r="NV133" s="501"/>
      <c r="NW133" s="501"/>
      <c r="NX133" s="501"/>
      <c r="NY133" s="501"/>
      <c r="NZ133" s="501"/>
      <c r="OA133" s="501"/>
      <c r="OB133" s="501"/>
      <c r="OC133" s="501"/>
      <c r="OD133" s="501"/>
      <c r="OE133" s="501"/>
      <c r="OF133" s="501"/>
      <c r="OG133" s="501"/>
      <c r="OH133" s="501"/>
      <c r="OI133" s="501"/>
      <c r="OJ133" s="501"/>
      <c r="OK133" s="501"/>
      <c r="OL133" s="501"/>
      <c r="OM133" s="501"/>
      <c r="ON133" s="501"/>
      <c r="OO133" s="501"/>
      <c r="OP133" s="501"/>
      <c r="OQ133" s="501"/>
      <c r="OR133" s="501"/>
      <c r="OS133" s="501"/>
      <c r="OT133" s="501"/>
      <c r="OU133" s="501"/>
      <c r="OV133" s="501"/>
      <c r="OW133" s="501"/>
      <c r="OX133" s="501"/>
      <c r="OY133" s="501"/>
      <c r="OZ133" s="501"/>
      <c r="PA133" s="501"/>
      <c r="PB133" s="501"/>
      <c r="PC133" s="501"/>
      <c r="PD133" s="501"/>
      <c r="PE133" s="501"/>
      <c r="PF133" s="501"/>
      <c r="PG133" s="501"/>
      <c r="PH133" s="501"/>
      <c r="PI133" s="501"/>
      <c r="PJ133" s="501"/>
      <c r="PK133" s="501"/>
      <c r="PL133" s="501"/>
      <c r="PM133" s="501"/>
      <c r="PN133" s="501"/>
      <c r="PO133" s="501"/>
      <c r="PP133" s="501"/>
      <c r="PQ133" s="501"/>
      <c r="PR133" s="501"/>
      <c r="PS133" s="501"/>
      <c r="PT133" s="501"/>
      <c r="PU133" s="501"/>
      <c r="PV133" s="501"/>
      <c r="PW133" s="501"/>
      <c r="PX133" s="501"/>
      <c r="PY133" s="501"/>
      <c r="PZ133" s="501"/>
      <c r="QA133" s="501"/>
      <c r="QB133" s="501"/>
      <c r="QC133" s="501"/>
      <c r="QD133" s="501"/>
      <c r="QE133" s="501"/>
      <c r="QF133" s="501"/>
      <c r="QG133" s="501"/>
      <c r="QH133" s="501"/>
      <c r="QI133" s="501"/>
      <c r="QJ133" s="501"/>
      <c r="QK133" s="501"/>
      <c r="QL133" s="501"/>
      <c r="QM133" s="501"/>
      <c r="QN133" s="501"/>
      <c r="QO133" s="501"/>
      <c r="QP133" s="501"/>
      <c r="QQ133" s="501"/>
      <c r="QR133" s="501"/>
      <c r="QS133" s="501"/>
      <c r="QT133" s="501"/>
      <c r="QU133" s="501"/>
      <c r="QV133" s="501"/>
      <c r="QW133" s="501"/>
      <c r="QX133" s="501"/>
      <c r="QY133" s="501"/>
      <c r="QZ133" s="501"/>
      <c r="RA133" s="501"/>
      <c r="RB133" s="501"/>
      <c r="RC133" s="501"/>
      <c r="RD133" s="501"/>
      <c r="RE133" s="501"/>
      <c r="RF133" s="501"/>
      <c r="RG133" s="501"/>
      <c r="RH133" s="501"/>
      <c r="RI133" s="501"/>
      <c r="RJ133" s="501"/>
      <c r="RK133" s="501"/>
      <c r="RL133" s="501"/>
      <c r="RM133" s="501"/>
      <c r="RN133" s="501"/>
      <c r="RO133" s="501"/>
      <c r="RP133" s="501"/>
      <c r="RQ133" s="501"/>
      <c r="RR133" s="501"/>
      <c r="RS133" s="501"/>
      <c r="RT133" s="501"/>
      <c r="RU133" s="501"/>
      <c r="RV133" s="501"/>
      <c r="RW133" s="501"/>
      <c r="RX133" s="501"/>
      <c r="RY133" s="501"/>
      <c r="RZ133" s="501"/>
      <c r="SA133" s="501"/>
      <c r="SB133" s="501"/>
      <c r="SC133" s="501"/>
      <c r="SD133" s="501"/>
      <c r="SE133" s="501"/>
      <c r="SF133" s="501"/>
      <c r="SG133" s="501"/>
      <c r="SH133" s="501"/>
      <c r="SI133" s="501"/>
      <c r="SJ133" s="501"/>
      <c r="SK133" s="501"/>
      <c r="SL133" s="501"/>
      <c r="SM133" s="501"/>
      <c r="SN133" s="501"/>
      <c r="SO133" s="501"/>
      <c r="SP133" s="501"/>
      <c r="SQ133" s="501"/>
      <c r="SR133" s="501"/>
      <c r="SS133" s="501"/>
      <c r="ST133" s="501"/>
      <c r="SU133" s="501"/>
      <c r="SV133" s="501"/>
      <c r="SW133" s="501"/>
      <c r="SX133" s="501"/>
      <c r="SY133" s="501"/>
      <c r="SZ133" s="501"/>
      <c r="TA133" s="501"/>
      <c r="TB133" s="501"/>
      <c r="TC133" s="501"/>
      <c r="TD133" s="501"/>
      <c r="TE133" s="501"/>
      <c r="TF133" s="501"/>
      <c r="TG133" s="501"/>
      <c r="TH133" s="501"/>
      <c r="TI133" s="501"/>
      <c r="TJ133" s="501"/>
      <c r="TK133" s="501"/>
      <c r="TL133" s="501"/>
      <c r="TM133" s="501"/>
      <c r="TN133" s="501"/>
      <c r="TO133" s="501"/>
      <c r="TP133" s="501"/>
      <c r="TQ133" s="501"/>
      <c r="TR133" s="501"/>
      <c r="TS133" s="501"/>
      <c r="TT133" s="501"/>
      <c r="TU133" s="501"/>
      <c r="TV133" s="501"/>
      <c r="TW133" s="501"/>
      <c r="TX133" s="501"/>
      <c r="TY133" s="501"/>
      <c r="TZ133" s="501"/>
      <c r="UA133" s="501"/>
      <c r="UB133" s="501"/>
      <c r="UC133" s="501"/>
      <c r="UD133" s="501"/>
      <c r="UE133" s="501"/>
      <c r="UF133" s="501"/>
      <c r="UG133" s="501"/>
      <c r="UH133" s="501"/>
      <c r="UI133" s="501"/>
      <c r="UJ133" s="501"/>
      <c r="UK133" s="501"/>
      <c r="UL133" s="501"/>
      <c r="UM133" s="501"/>
      <c r="UN133" s="501"/>
      <c r="UO133" s="501"/>
      <c r="UP133" s="501"/>
      <c r="UQ133" s="501"/>
      <c r="UR133" s="501"/>
      <c r="US133" s="501"/>
      <c r="UT133" s="501"/>
      <c r="UU133" s="501"/>
      <c r="UV133" s="501"/>
      <c r="UW133" s="501"/>
      <c r="UX133" s="501"/>
      <c r="UY133" s="501"/>
      <c r="UZ133" s="501"/>
      <c r="VA133" s="501"/>
      <c r="VB133" s="501"/>
      <c r="VC133" s="501"/>
      <c r="VD133" s="501"/>
      <c r="VE133" s="501"/>
      <c r="VF133" s="501"/>
      <c r="VG133" s="501"/>
      <c r="VH133" s="501"/>
      <c r="VI133" s="501"/>
      <c r="VJ133" s="501"/>
      <c r="VK133" s="501"/>
      <c r="VL133" s="501"/>
      <c r="VM133" s="501"/>
      <c r="VN133" s="501"/>
      <c r="VO133" s="501"/>
      <c r="VP133" s="501"/>
      <c r="VQ133" s="501"/>
      <c r="VR133" s="501"/>
      <c r="VS133" s="501"/>
      <c r="VT133" s="501"/>
      <c r="VU133" s="501"/>
      <c r="VV133" s="501"/>
      <c r="VW133" s="501"/>
      <c r="VX133" s="501"/>
      <c r="VY133" s="501"/>
      <c r="VZ133" s="501"/>
      <c r="WA133" s="501"/>
      <c r="WB133" s="501"/>
      <c r="WC133" s="501"/>
      <c r="WD133" s="501"/>
      <c r="WE133" s="501"/>
      <c r="WF133" s="501"/>
      <c r="WG133" s="501"/>
      <c r="WH133" s="501"/>
      <c r="WI133" s="501"/>
      <c r="WJ133" s="501"/>
      <c r="WK133" s="501"/>
      <c r="WL133" s="501"/>
      <c r="WM133" s="501"/>
      <c r="WN133" s="501"/>
      <c r="WO133" s="501"/>
      <c r="WP133" s="501"/>
      <c r="WQ133" s="501"/>
      <c r="WR133" s="501"/>
      <c r="WS133" s="501"/>
      <c r="WT133" s="501"/>
      <c r="WU133" s="501"/>
      <c r="WV133" s="501"/>
      <c r="WW133" s="501"/>
      <c r="WX133" s="501"/>
      <c r="WY133" s="501"/>
      <c r="WZ133" s="501"/>
      <c r="XA133" s="501"/>
      <c r="XB133" s="501"/>
      <c r="XC133" s="501"/>
      <c r="XD133" s="501"/>
      <c r="XE133" s="501"/>
      <c r="XF133" s="501"/>
      <c r="XG133" s="501"/>
      <c r="XH133" s="501"/>
      <c r="XI133" s="501"/>
      <c r="XJ133" s="501"/>
      <c r="XK133" s="501"/>
      <c r="XL133" s="501"/>
      <c r="XM133" s="501"/>
      <c r="XN133" s="501"/>
      <c r="XO133" s="501"/>
      <c r="XP133" s="501"/>
      <c r="XQ133" s="501"/>
      <c r="XR133" s="501"/>
      <c r="XS133" s="501"/>
      <c r="XT133" s="501"/>
      <c r="XU133" s="501"/>
      <c r="XV133" s="501"/>
      <c r="XW133" s="501"/>
      <c r="XX133" s="501"/>
      <c r="XY133" s="501"/>
      <c r="XZ133" s="501"/>
      <c r="YA133" s="501"/>
      <c r="YB133" s="501"/>
      <c r="YC133" s="501"/>
      <c r="YD133" s="501"/>
      <c r="YE133" s="501"/>
      <c r="YF133" s="501"/>
      <c r="YG133" s="501"/>
      <c r="YH133" s="501"/>
      <c r="YI133" s="501"/>
      <c r="YJ133" s="501"/>
      <c r="YK133" s="501"/>
      <c r="YL133" s="501"/>
      <c r="YM133" s="501"/>
      <c r="YN133" s="501"/>
      <c r="YO133" s="501"/>
      <c r="YP133" s="501"/>
      <c r="YQ133" s="501"/>
      <c r="YR133" s="501"/>
      <c r="YS133" s="501"/>
      <c r="YT133" s="501"/>
      <c r="YU133" s="501"/>
      <c r="YV133" s="501"/>
      <c r="YW133" s="501"/>
      <c r="YX133" s="501"/>
      <c r="YY133" s="501"/>
      <c r="YZ133" s="501"/>
      <c r="ZA133" s="501"/>
      <c r="ZB133" s="501"/>
      <c r="ZC133" s="501"/>
      <c r="ZD133" s="501"/>
      <c r="ZE133" s="501"/>
      <c r="ZF133" s="501"/>
      <c r="ZG133" s="501"/>
      <c r="ZH133" s="501"/>
      <c r="ZI133" s="501"/>
      <c r="ZJ133" s="501"/>
      <c r="ZK133" s="501"/>
      <c r="ZL133" s="501"/>
      <c r="ZM133" s="501"/>
      <c r="ZN133" s="501"/>
      <c r="ZO133" s="501"/>
      <c r="ZP133" s="501"/>
      <c r="ZQ133" s="501"/>
      <c r="ZR133" s="501"/>
      <c r="ZS133" s="501"/>
      <c r="ZT133" s="501"/>
      <c r="ZU133" s="501"/>
      <c r="ZV133" s="501"/>
      <c r="ZW133" s="501"/>
      <c r="ZX133" s="501"/>
      <c r="ZY133" s="501"/>
      <c r="ZZ133" s="501"/>
      <c r="AAA133" s="501"/>
      <c r="AAB133" s="501"/>
      <c r="AAC133" s="501"/>
      <c r="AAD133" s="501"/>
      <c r="AAE133" s="501"/>
      <c r="AAF133" s="501"/>
      <c r="AAG133" s="501"/>
      <c r="AAH133" s="501"/>
      <c r="AAI133" s="501"/>
      <c r="AAJ133" s="501"/>
      <c r="AAK133" s="501"/>
      <c r="AAL133" s="501"/>
      <c r="AAM133" s="501"/>
      <c r="AAN133" s="501"/>
      <c r="AAO133" s="501"/>
      <c r="AAP133" s="501"/>
      <c r="AAQ133" s="501"/>
      <c r="AAR133" s="501"/>
      <c r="AAS133" s="501"/>
      <c r="AAT133" s="501"/>
      <c r="AAU133" s="501"/>
      <c r="AAV133" s="501"/>
      <c r="AAW133" s="501"/>
      <c r="AAX133" s="501"/>
      <c r="AAY133" s="501"/>
      <c r="AAZ133" s="501"/>
      <c r="ABA133" s="501"/>
      <c r="ABB133" s="501"/>
      <c r="ABC133" s="501"/>
      <c r="ABD133" s="501"/>
      <c r="ABE133" s="501"/>
      <c r="ABF133" s="501"/>
      <c r="ABG133" s="501"/>
      <c r="ABH133" s="501"/>
      <c r="ABI133" s="501"/>
      <c r="ABJ133" s="501"/>
      <c r="ABK133" s="501"/>
      <c r="ABL133" s="501"/>
      <c r="ABM133" s="501"/>
      <c r="ABN133" s="501"/>
      <c r="ABO133" s="501"/>
      <c r="ABP133" s="501"/>
      <c r="ABQ133" s="501"/>
      <c r="ABR133" s="501"/>
      <c r="ABS133" s="501"/>
      <c r="ABT133" s="501"/>
      <c r="ABU133" s="501"/>
      <c r="ABV133" s="501"/>
      <c r="ABW133" s="501"/>
      <c r="ABX133" s="501"/>
      <c r="ABY133" s="501"/>
      <c r="ABZ133" s="501"/>
      <c r="ACA133" s="501"/>
      <c r="ACB133" s="501"/>
      <c r="ACC133" s="501"/>
      <c r="ACD133" s="501"/>
      <c r="ACE133" s="501"/>
      <c r="ACF133" s="501"/>
      <c r="ACG133" s="501"/>
      <c r="ACH133" s="501"/>
      <c r="ACI133" s="501"/>
      <c r="ACJ133" s="501"/>
      <c r="ACK133" s="501"/>
      <c r="ACL133" s="501"/>
      <c r="ACM133" s="501"/>
      <c r="ACN133" s="501"/>
      <c r="ACO133" s="501"/>
      <c r="ACP133" s="501"/>
      <c r="ACQ133" s="501"/>
      <c r="ACR133" s="501"/>
      <c r="ACS133" s="501"/>
      <c r="ACT133" s="501"/>
      <c r="ACU133" s="501"/>
      <c r="ACV133" s="501"/>
      <c r="ACW133" s="501"/>
      <c r="ACX133" s="501"/>
      <c r="ACY133" s="501"/>
      <c r="ACZ133" s="501"/>
      <c r="ADA133" s="501"/>
      <c r="ADB133" s="501"/>
      <c r="ADC133" s="501"/>
      <c r="ADD133" s="501"/>
      <c r="ADE133" s="501"/>
      <c r="ADF133" s="501"/>
      <c r="ADG133" s="501"/>
      <c r="ADH133" s="501"/>
      <c r="ADI133" s="501"/>
      <c r="ADJ133" s="501"/>
      <c r="ADK133" s="501"/>
      <c r="ADL133" s="501"/>
      <c r="ADM133" s="501"/>
      <c r="ADN133" s="501"/>
      <c r="ADO133" s="501"/>
      <c r="ADP133" s="501"/>
      <c r="ADQ133" s="501"/>
      <c r="ADR133" s="501"/>
      <c r="ADS133" s="501"/>
      <c r="ADT133" s="501"/>
      <c r="ADU133" s="501"/>
      <c r="ADV133" s="501"/>
      <c r="ADW133" s="501"/>
      <c r="ADX133" s="501"/>
      <c r="ADY133" s="501"/>
      <c r="ADZ133" s="501"/>
      <c r="AEA133" s="501"/>
      <c r="AEB133" s="501"/>
      <c r="AEC133" s="501"/>
      <c r="AED133" s="501"/>
      <c r="AEE133" s="501"/>
      <c r="AEF133" s="501"/>
      <c r="AEG133" s="501"/>
      <c r="AEH133" s="501"/>
      <c r="AEI133" s="501"/>
      <c r="AEJ133" s="501"/>
      <c r="AEK133" s="501"/>
      <c r="AEL133" s="501"/>
      <c r="AEM133" s="501"/>
      <c r="AEN133" s="501"/>
      <c r="AEO133" s="501"/>
      <c r="AEP133" s="501"/>
      <c r="AEQ133" s="501"/>
      <c r="AER133" s="501"/>
      <c r="AES133" s="501"/>
      <c r="AET133" s="501"/>
      <c r="AEU133" s="501"/>
      <c r="AEV133" s="501"/>
      <c r="AEW133" s="501"/>
      <c r="AEX133" s="501"/>
      <c r="AEY133" s="501"/>
      <c r="AEZ133" s="501"/>
      <c r="AFA133" s="501"/>
      <c r="AFB133" s="501"/>
      <c r="AFC133" s="501"/>
      <c r="AFD133" s="501"/>
      <c r="AFE133" s="501"/>
      <c r="AFF133" s="501"/>
      <c r="AFG133" s="501"/>
      <c r="AFH133" s="501"/>
      <c r="AFI133" s="501"/>
      <c r="AFJ133" s="501"/>
      <c r="AFK133" s="501"/>
      <c r="AFL133" s="501"/>
      <c r="AFM133" s="501"/>
      <c r="AFN133" s="501"/>
      <c r="AFO133" s="501"/>
      <c r="AFP133" s="501"/>
      <c r="AFQ133" s="501"/>
      <c r="AFR133" s="501"/>
      <c r="AFS133" s="501"/>
      <c r="AFT133" s="501"/>
      <c r="AFU133" s="501"/>
      <c r="AFV133" s="501"/>
      <c r="AFW133" s="501"/>
      <c r="AFX133" s="501"/>
      <c r="AFY133" s="501"/>
      <c r="AFZ133" s="501"/>
      <c r="AGA133" s="501"/>
      <c r="AGB133" s="501"/>
      <c r="AGC133" s="501"/>
      <c r="AGD133" s="501"/>
      <c r="AGE133" s="501"/>
      <c r="AGF133" s="501"/>
      <c r="AGG133" s="501"/>
      <c r="AGH133" s="501"/>
      <c r="AGI133" s="501"/>
      <c r="AGJ133" s="501"/>
      <c r="AGK133" s="501"/>
      <c r="AGL133" s="501"/>
      <c r="AGM133" s="501"/>
      <c r="AGN133" s="501"/>
      <c r="AGO133" s="501"/>
      <c r="AGP133" s="501"/>
      <c r="AGQ133" s="501"/>
      <c r="AGR133" s="501"/>
      <c r="AGS133" s="501"/>
      <c r="AGT133" s="501"/>
      <c r="AGU133" s="501"/>
      <c r="AGV133" s="501"/>
      <c r="AGW133" s="501"/>
      <c r="AGX133" s="501"/>
      <c r="AGY133" s="501"/>
      <c r="AGZ133" s="501"/>
      <c r="AHA133" s="501"/>
      <c r="AHB133" s="501"/>
      <c r="AHC133" s="501"/>
      <c r="AHD133" s="501"/>
      <c r="AHE133" s="501"/>
      <c r="AHF133" s="501"/>
      <c r="AHG133" s="501"/>
      <c r="AHH133" s="501"/>
      <c r="AHI133" s="501"/>
      <c r="AHJ133" s="501"/>
      <c r="AHK133" s="501"/>
      <c r="AHL133" s="501"/>
      <c r="AHM133" s="501"/>
      <c r="AHN133" s="501"/>
      <c r="AHO133" s="501"/>
      <c r="AHP133" s="501"/>
      <c r="AHQ133" s="501"/>
      <c r="AHR133" s="501"/>
      <c r="AHS133" s="501"/>
      <c r="AHT133" s="501"/>
      <c r="AHU133" s="501"/>
      <c r="AHV133" s="501"/>
      <c r="AHW133" s="501"/>
      <c r="AHX133" s="501"/>
      <c r="AHY133" s="501"/>
      <c r="AHZ133" s="501"/>
      <c r="AIA133" s="501"/>
      <c r="AIB133" s="501"/>
      <c r="AIC133" s="501"/>
      <c r="AID133" s="501"/>
      <c r="AIE133" s="501"/>
      <c r="AIF133" s="501"/>
      <c r="AIG133" s="501"/>
      <c r="AIH133" s="501"/>
      <c r="AII133" s="501"/>
      <c r="AIJ133" s="501"/>
      <c r="AIK133" s="501"/>
      <c r="AIL133" s="501"/>
      <c r="AIM133" s="501"/>
      <c r="AIN133" s="501"/>
      <c r="AIO133" s="501"/>
      <c r="AIP133" s="501"/>
      <c r="AIQ133" s="501"/>
      <c r="AIR133" s="501"/>
      <c r="AIS133" s="501"/>
      <c r="AIT133" s="501"/>
      <c r="AIU133" s="501"/>
      <c r="AIV133" s="501"/>
      <c r="AIW133" s="501"/>
      <c r="AIX133" s="501"/>
      <c r="AIY133" s="501"/>
      <c r="AIZ133" s="501"/>
      <c r="AJA133" s="501"/>
      <c r="AJB133" s="501"/>
      <c r="AJC133" s="501"/>
      <c r="AJD133" s="501"/>
      <c r="AJE133" s="501"/>
      <c r="AJF133" s="501"/>
      <c r="AJG133" s="501"/>
      <c r="AJH133" s="501"/>
      <c r="AJI133" s="501"/>
      <c r="AJJ133" s="501"/>
      <c r="AJK133" s="501"/>
      <c r="AJL133" s="501"/>
      <c r="AJM133" s="501"/>
      <c r="AJN133" s="501"/>
      <c r="AJO133" s="501"/>
      <c r="AJP133" s="501"/>
      <c r="AJQ133" s="501"/>
      <c r="AJR133" s="501"/>
      <c r="AJS133" s="501"/>
      <c r="AJT133" s="501"/>
      <c r="AJU133" s="501"/>
      <c r="AJV133" s="501"/>
      <c r="AJW133" s="501"/>
      <c r="AJX133" s="501"/>
      <c r="AJY133" s="501"/>
      <c r="AJZ133" s="501"/>
      <c r="AKA133" s="501"/>
      <c r="AKB133" s="501"/>
      <c r="AKC133" s="501"/>
      <c r="AKD133" s="501"/>
      <c r="AKE133" s="501"/>
      <c r="AKF133" s="501"/>
      <c r="AKG133" s="501"/>
      <c r="AKH133" s="501"/>
      <c r="AKI133" s="501"/>
      <c r="AKJ133" s="501"/>
      <c r="AKK133" s="501"/>
      <c r="AKL133" s="501"/>
      <c r="AKM133" s="501"/>
      <c r="AKN133" s="501"/>
      <c r="AKO133" s="501"/>
      <c r="AKP133" s="501"/>
      <c r="AKQ133" s="501"/>
      <c r="AKR133" s="501"/>
      <c r="AKS133" s="501"/>
      <c r="AKT133" s="501"/>
      <c r="AKU133" s="501"/>
      <c r="AKV133" s="501"/>
      <c r="AKW133" s="501"/>
      <c r="AKX133" s="501"/>
      <c r="AKY133" s="501"/>
      <c r="AKZ133" s="501"/>
      <c r="ALA133" s="501"/>
      <c r="ALB133" s="501"/>
      <c r="ALC133" s="501"/>
      <c r="ALD133" s="501"/>
      <c r="ALE133" s="501"/>
      <c r="ALF133" s="501"/>
      <c r="ALG133" s="501"/>
      <c r="ALH133" s="501"/>
      <c r="ALI133" s="501"/>
      <c r="ALJ133" s="501"/>
      <c r="ALK133" s="501"/>
      <c r="ALL133" s="501"/>
      <c r="ALM133" s="501"/>
      <c r="ALN133" s="501"/>
      <c r="ALO133" s="501"/>
      <c r="ALP133" s="501"/>
      <c r="ALQ133" s="501"/>
      <c r="ALR133" s="501"/>
      <c r="ALS133" s="501"/>
      <c r="ALT133" s="501"/>
      <c r="ALU133" s="501"/>
      <c r="ALV133" s="501"/>
      <c r="ALW133" s="501"/>
      <c r="ALX133" s="501"/>
      <c r="ALY133" s="501"/>
      <c r="ALZ133" s="501"/>
      <c r="AMA133" s="501"/>
      <c r="AMB133" s="501"/>
      <c r="AMC133" s="501"/>
      <c r="AMD133" s="501"/>
      <c r="AME133" s="501"/>
      <c r="AMF133" s="501"/>
      <c r="AMG133" s="501"/>
      <c r="AMH133" s="501"/>
      <c r="AMI133" s="501"/>
      <c r="AMJ133" s="501"/>
      <c r="AMK133" s="501"/>
      <c r="AML133" s="501"/>
      <c r="AMM133" s="501"/>
      <c r="AMN133" s="501"/>
      <c r="AMO133" s="501"/>
      <c r="AMP133" s="501"/>
      <c r="AMQ133" s="501"/>
      <c r="AMR133" s="501"/>
      <c r="AMS133" s="501"/>
      <c r="AMT133" s="501"/>
      <c r="AMU133" s="501"/>
      <c r="AMV133" s="501"/>
      <c r="AMW133" s="501"/>
      <c r="AMX133" s="501"/>
      <c r="AMY133" s="501"/>
      <c r="AMZ133" s="501"/>
      <c r="ANA133" s="501"/>
      <c r="ANB133" s="501"/>
      <c r="ANC133" s="501"/>
      <c r="AND133" s="501"/>
      <c r="ANE133" s="501"/>
      <c r="ANF133" s="501"/>
      <c r="ANG133" s="501"/>
      <c r="ANH133" s="501"/>
      <c r="ANI133" s="501"/>
      <c r="ANJ133" s="501"/>
      <c r="ANK133" s="501"/>
      <c r="ANL133" s="501"/>
      <c r="ANM133" s="501"/>
      <c r="ANN133" s="501"/>
      <c r="ANO133" s="501"/>
      <c r="ANP133" s="501"/>
      <c r="ANQ133" s="501"/>
      <c r="ANR133" s="501"/>
      <c r="ANS133" s="501"/>
      <c r="ANT133" s="501"/>
      <c r="ANU133" s="501"/>
      <c r="ANV133" s="501"/>
      <c r="ANW133" s="501"/>
      <c r="ANX133" s="501"/>
      <c r="ANY133" s="501"/>
      <c r="ANZ133" s="501"/>
      <c r="AOA133" s="501"/>
      <c r="AOB133" s="501"/>
      <c r="AOC133" s="501"/>
      <c r="AOD133" s="501"/>
      <c r="AOE133" s="501"/>
      <c r="AOF133" s="501"/>
      <c r="AOG133" s="501"/>
      <c r="AOH133" s="501"/>
      <c r="AOI133" s="501"/>
      <c r="AOJ133" s="501"/>
      <c r="AOK133" s="501"/>
      <c r="AOL133" s="501"/>
      <c r="AOM133" s="501"/>
      <c r="AON133" s="501"/>
      <c r="AOO133" s="501"/>
      <c r="AOP133" s="501"/>
      <c r="AOQ133" s="501"/>
      <c r="AOR133" s="501"/>
      <c r="AOS133" s="501"/>
      <c r="AOT133" s="501"/>
      <c r="AOU133" s="501"/>
      <c r="AOV133" s="501"/>
      <c r="AOW133" s="501"/>
      <c r="AOX133" s="501"/>
      <c r="AOY133" s="501"/>
      <c r="AOZ133" s="501"/>
      <c r="APA133" s="501"/>
      <c r="APB133" s="501"/>
      <c r="APC133" s="501"/>
      <c r="APD133" s="501"/>
      <c r="APE133" s="501"/>
      <c r="APF133" s="501"/>
      <c r="APG133" s="501"/>
      <c r="APH133" s="501"/>
      <c r="API133" s="501"/>
      <c r="APJ133" s="501"/>
      <c r="APK133" s="501"/>
      <c r="APL133" s="501"/>
      <c r="APM133" s="501"/>
      <c r="APN133" s="501"/>
      <c r="APO133" s="501"/>
      <c r="APP133" s="501"/>
      <c r="APQ133" s="501"/>
      <c r="APR133" s="501"/>
      <c r="APS133" s="501"/>
      <c r="APT133" s="501"/>
      <c r="APU133" s="501"/>
      <c r="APV133" s="501"/>
      <c r="APW133" s="501"/>
      <c r="APX133" s="501"/>
      <c r="APY133" s="501"/>
      <c r="APZ133" s="501"/>
      <c r="AQA133" s="501"/>
      <c r="AQB133" s="501"/>
      <c r="AQC133" s="501"/>
      <c r="AQD133" s="501"/>
      <c r="AQE133" s="501"/>
      <c r="AQF133" s="501"/>
      <c r="AQG133" s="501"/>
      <c r="AQH133" s="501"/>
      <c r="AQI133" s="501"/>
      <c r="AQJ133" s="501"/>
      <c r="AQK133" s="501"/>
      <c r="AQL133" s="501"/>
      <c r="AQM133" s="501"/>
      <c r="AQN133" s="501"/>
      <c r="AQO133" s="501"/>
      <c r="AQP133" s="501"/>
      <c r="AQQ133" s="501"/>
      <c r="AQR133" s="501"/>
      <c r="AQS133" s="501"/>
      <c r="AQT133" s="501"/>
      <c r="AQU133" s="501"/>
      <c r="AQV133" s="501"/>
      <c r="AQW133" s="501"/>
      <c r="AQX133" s="501"/>
      <c r="AQY133" s="501"/>
      <c r="AQZ133" s="501"/>
      <c r="ARA133" s="501"/>
      <c r="ARB133" s="501"/>
      <c r="ARC133" s="501"/>
      <c r="ARD133" s="501"/>
      <c r="ARE133" s="501"/>
      <c r="ARF133" s="501"/>
      <c r="ARG133" s="501"/>
      <c r="ARH133" s="501"/>
      <c r="ARI133" s="501"/>
      <c r="ARJ133" s="501"/>
      <c r="ARK133" s="501"/>
      <c r="ARL133" s="501"/>
      <c r="ARM133" s="501"/>
      <c r="ARN133" s="501"/>
      <c r="ARO133" s="501"/>
      <c r="ARP133" s="501"/>
      <c r="ARQ133" s="501"/>
      <c r="ARR133" s="501"/>
      <c r="ARS133" s="501"/>
      <c r="ART133" s="501"/>
      <c r="ARU133" s="501"/>
      <c r="ARV133" s="501"/>
      <c r="ARW133" s="501"/>
      <c r="ARX133" s="501"/>
      <c r="ARY133" s="501"/>
      <c r="ARZ133" s="501"/>
      <c r="ASA133" s="501"/>
      <c r="ASB133" s="501"/>
      <c r="ASC133" s="501"/>
      <c r="ASD133" s="501"/>
      <c r="ASE133" s="501"/>
      <c r="ASF133" s="501"/>
      <c r="ASG133" s="501"/>
      <c r="ASH133" s="501"/>
      <c r="ASI133" s="501"/>
      <c r="ASJ133" s="501"/>
      <c r="ASK133" s="501"/>
      <c r="ASL133" s="501"/>
      <c r="ASM133" s="501"/>
      <c r="ASN133" s="501"/>
      <c r="ASO133" s="501"/>
      <c r="ASP133" s="501"/>
      <c r="ASQ133" s="501"/>
      <c r="ASR133" s="501"/>
      <c r="ASS133" s="501"/>
      <c r="AST133" s="501"/>
      <c r="ASU133" s="501"/>
      <c r="ASV133" s="501"/>
      <c r="ASW133" s="501"/>
      <c r="ASX133" s="501"/>
      <c r="ASY133" s="501"/>
      <c r="ASZ133" s="501"/>
      <c r="ATA133" s="501"/>
      <c r="ATB133" s="501"/>
      <c r="ATC133" s="501"/>
      <c r="ATD133" s="501"/>
      <c r="ATE133" s="501"/>
      <c r="ATF133" s="501"/>
      <c r="ATG133" s="501"/>
      <c r="ATH133" s="501"/>
      <c r="ATI133" s="501"/>
      <c r="ATJ133" s="501"/>
      <c r="ATK133" s="501"/>
      <c r="ATL133" s="501"/>
      <c r="ATM133" s="501"/>
      <c r="ATN133" s="501"/>
      <c r="ATO133" s="501"/>
      <c r="ATP133" s="501"/>
      <c r="ATQ133" s="501"/>
      <c r="ATR133" s="501"/>
      <c r="ATS133" s="501"/>
      <c r="ATT133" s="501"/>
      <c r="ATU133" s="501"/>
      <c r="ATV133" s="501"/>
      <c r="ATW133" s="501"/>
      <c r="ATX133" s="501"/>
      <c r="ATY133" s="501"/>
      <c r="ATZ133" s="501"/>
      <c r="AUA133" s="501"/>
      <c r="AUB133" s="501"/>
      <c r="AUC133" s="501"/>
      <c r="AUD133" s="501"/>
      <c r="AUE133" s="501"/>
      <c r="AUF133" s="501"/>
      <c r="AUG133" s="501"/>
      <c r="AUH133" s="501"/>
      <c r="AUI133" s="501"/>
      <c r="AUJ133" s="501"/>
      <c r="AUK133" s="501"/>
      <c r="AUL133" s="501"/>
      <c r="AUM133" s="501"/>
      <c r="AUN133" s="501"/>
      <c r="AUO133" s="501"/>
      <c r="AUP133" s="501"/>
      <c r="AUQ133" s="501"/>
      <c r="AUR133" s="501"/>
      <c r="AUS133" s="501"/>
      <c r="AUT133" s="501"/>
      <c r="AUU133" s="501"/>
      <c r="AUV133" s="501"/>
      <c r="AUW133" s="501"/>
      <c r="AUX133" s="501"/>
      <c r="AUY133" s="501"/>
      <c r="AUZ133" s="501"/>
      <c r="AVA133" s="501"/>
      <c r="AVB133" s="501"/>
      <c r="AVC133" s="501"/>
      <c r="AVD133" s="501"/>
      <c r="AVE133" s="501"/>
      <c r="AVF133" s="501"/>
      <c r="AVG133" s="501"/>
      <c r="AVH133" s="501"/>
      <c r="AVI133" s="501"/>
      <c r="AVJ133" s="501"/>
      <c r="AVK133" s="501"/>
      <c r="AVL133" s="501"/>
      <c r="AVM133" s="501"/>
      <c r="AVN133" s="501"/>
      <c r="AVO133" s="501"/>
      <c r="AVP133" s="501"/>
      <c r="AVQ133" s="501"/>
      <c r="AVR133" s="501"/>
      <c r="AVS133" s="501"/>
      <c r="AVT133" s="501"/>
      <c r="AVU133" s="501"/>
      <c r="AVV133" s="501"/>
      <c r="AVW133" s="501"/>
      <c r="AVX133" s="501"/>
      <c r="AVY133" s="501"/>
      <c r="AVZ133" s="501"/>
      <c r="AWA133" s="501"/>
      <c r="AWB133" s="501"/>
      <c r="AWC133" s="501"/>
      <c r="AWD133" s="501"/>
      <c r="AWE133" s="501"/>
      <c r="AWF133" s="501"/>
    </row>
    <row r="134" spans="1:1280" s="278" customFormat="1" ht="16.2">
      <c r="A134" s="761"/>
      <c r="B134" s="874" t="s">
        <v>2839</v>
      </c>
      <c r="C134" s="760"/>
      <c r="D134" s="761"/>
      <c r="E134" s="875"/>
      <c r="F134" s="761"/>
      <c r="G134" s="876"/>
      <c r="H134" s="876"/>
      <c r="I134" s="876"/>
      <c r="J134" s="877"/>
      <c r="K134" s="873"/>
      <c r="L134" s="501"/>
      <c r="M134" s="730"/>
      <c r="N134" s="631"/>
      <c r="O134" s="408"/>
      <c r="P134" s="501"/>
      <c r="Q134" s="501"/>
      <c r="R134" s="501"/>
      <c r="S134" s="501"/>
      <c r="T134" s="501"/>
      <c r="U134" s="501"/>
      <c r="V134" s="501"/>
      <c r="W134" s="501"/>
      <c r="X134" s="501"/>
      <c r="Y134" s="501"/>
      <c r="Z134" s="501"/>
      <c r="AA134" s="501"/>
      <c r="AB134" s="501"/>
      <c r="AC134" s="501"/>
      <c r="AD134" s="501"/>
      <c r="AE134" s="501"/>
      <c r="AF134" s="501"/>
      <c r="AG134" s="501"/>
      <c r="AH134" s="501"/>
      <c r="AI134" s="501"/>
      <c r="AJ134" s="501"/>
      <c r="AK134" s="501"/>
      <c r="AL134" s="501"/>
      <c r="AM134" s="501"/>
      <c r="AN134" s="501"/>
      <c r="AO134" s="501"/>
      <c r="AP134" s="501"/>
      <c r="AQ134" s="501"/>
      <c r="AR134" s="501"/>
      <c r="AS134" s="501"/>
      <c r="AT134" s="501"/>
      <c r="AU134" s="501"/>
      <c r="AV134" s="501"/>
      <c r="AW134" s="501"/>
      <c r="AX134" s="501"/>
      <c r="AY134" s="501"/>
      <c r="AZ134" s="501"/>
      <c r="BA134" s="501"/>
      <c r="BB134" s="501"/>
      <c r="BC134" s="501"/>
      <c r="BD134" s="501"/>
      <c r="BE134" s="501"/>
      <c r="BF134" s="501"/>
      <c r="BG134" s="501"/>
      <c r="BH134" s="501"/>
      <c r="BI134" s="501"/>
      <c r="BJ134" s="501"/>
      <c r="BK134" s="501"/>
      <c r="BL134" s="501"/>
      <c r="BM134" s="501"/>
      <c r="BN134" s="501"/>
      <c r="BO134" s="501"/>
      <c r="BP134" s="501"/>
      <c r="BQ134" s="501"/>
      <c r="BR134" s="501"/>
      <c r="BS134" s="501"/>
      <c r="BT134" s="501"/>
      <c r="BU134" s="501"/>
      <c r="BV134" s="501"/>
      <c r="BW134" s="501"/>
      <c r="BX134" s="501"/>
      <c r="BY134" s="501"/>
      <c r="BZ134" s="501"/>
      <c r="CA134" s="501"/>
      <c r="CB134" s="501"/>
      <c r="CC134" s="501"/>
      <c r="CD134" s="501"/>
      <c r="CE134" s="501"/>
      <c r="CF134" s="501"/>
      <c r="CG134" s="501"/>
      <c r="CH134" s="501"/>
      <c r="CI134" s="501"/>
      <c r="CJ134" s="501"/>
      <c r="CK134" s="501"/>
      <c r="CL134" s="501"/>
      <c r="CM134" s="501"/>
      <c r="CN134" s="501"/>
      <c r="CO134" s="501"/>
      <c r="CP134" s="501"/>
      <c r="CQ134" s="501"/>
      <c r="CR134" s="501"/>
      <c r="CS134" s="501"/>
      <c r="CT134" s="501"/>
      <c r="CU134" s="501"/>
      <c r="CV134" s="501"/>
      <c r="CW134" s="501"/>
      <c r="CX134" s="501"/>
      <c r="CY134" s="501"/>
      <c r="CZ134" s="501"/>
      <c r="DA134" s="501"/>
      <c r="DB134" s="501"/>
      <c r="DC134" s="501"/>
      <c r="DD134" s="501"/>
      <c r="DE134" s="501"/>
      <c r="DF134" s="501"/>
      <c r="DG134" s="501"/>
      <c r="DH134" s="501"/>
      <c r="DI134" s="501"/>
      <c r="DJ134" s="501"/>
      <c r="DK134" s="501"/>
      <c r="DL134" s="501"/>
      <c r="DM134" s="501"/>
      <c r="DN134" s="501"/>
      <c r="DO134" s="501"/>
      <c r="DP134" s="501"/>
      <c r="DQ134" s="501"/>
      <c r="DR134" s="501"/>
      <c r="DS134" s="501"/>
      <c r="DT134" s="501"/>
      <c r="DU134" s="501"/>
      <c r="DV134" s="501"/>
      <c r="DW134" s="501"/>
      <c r="DX134" s="501"/>
      <c r="DY134" s="501"/>
      <c r="DZ134" s="501"/>
      <c r="EA134" s="501"/>
      <c r="EB134" s="501"/>
      <c r="EC134" s="501"/>
      <c r="ED134" s="501"/>
      <c r="EE134" s="501"/>
      <c r="EF134" s="501"/>
      <c r="EG134" s="501"/>
      <c r="EH134" s="501"/>
      <c r="EI134" s="501"/>
      <c r="EJ134" s="501"/>
      <c r="EK134" s="501"/>
      <c r="EL134" s="501"/>
      <c r="EM134" s="501"/>
      <c r="EN134" s="501"/>
      <c r="EO134" s="501"/>
      <c r="EP134" s="501"/>
      <c r="EQ134" s="501"/>
      <c r="ER134" s="501"/>
      <c r="ES134" s="501"/>
      <c r="ET134" s="501"/>
      <c r="EU134" s="501"/>
      <c r="EV134" s="501"/>
      <c r="EW134" s="501"/>
      <c r="EX134" s="501"/>
      <c r="EY134" s="501"/>
      <c r="EZ134" s="501"/>
      <c r="FA134" s="501"/>
      <c r="FB134" s="501"/>
      <c r="FC134" s="501"/>
      <c r="FD134" s="501"/>
      <c r="FE134" s="501"/>
      <c r="FF134" s="501"/>
      <c r="FG134" s="501"/>
      <c r="FH134" s="501"/>
      <c r="FI134" s="501"/>
      <c r="FJ134" s="501"/>
      <c r="FK134" s="501"/>
      <c r="FL134" s="501"/>
      <c r="FM134" s="501"/>
      <c r="FN134" s="501"/>
      <c r="FO134" s="501"/>
      <c r="FP134" s="501"/>
      <c r="FQ134" s="501"/>
      <c r="FR134" s="501"/>
      <c r="FS134" s="501"/>
      <c r="FT134" s="501"/>
      <c r="FU134" s="501"/>
      <c r="FV134" s="501"/>
      <c r="FW134" s="501"/>
      <c r="FX134" s="501"/>
      <c r="FY134" s="501"/>
      <c r="FZ134" s="501"/>
      <c r="GA134" s="501"/>
      <c r="GB134" s="501"/>
      <c r="GC134" s="501"/>
      <c r="GD134" s="501"/>
      <c r="GE134" s="501"/>
      <c r="GF134" s="501"/>
      <c r="GG134" s="501"/>
      <c r="GH134" s="501"/>
      <c r="GI134" s="501"/>
      <c r="GJ134" s="501"/>
      <c r="GK134" s="501"/>
      <c r="GL134" s="501"/>
      <c r="GM134" s="501"/>
      <c r="GN134" s="501"/>
      <c r="GO134" s="501"/>
      <c r="GP134" s="501"/>
      <c r="GQ134" s="501"/>
      <c r="GR134" s="501"/>
      <c r="GS134" s="501"/>
      <c r="GT134" s="501"/>
      <c r="GU134" s="501"/>
      <c r="GV134" s="501"/>
      <c r="GW134" s="501"/>
      <c r="GX134" s="501"/>
      <c r="GY134" s="501"/>
      <c r="GZ134" s="501"/>
      <c r="HA134" s="501"/>
      <c r="HB134" s="501"/>
      <c r="HC134" s="501"/>
      <c r="HD134" s="501"/>
      <c r="HE134" s="501"/>
      <c r="HF134" s="501"/>
      <c r="HG134" s="501"/>
      <c r="HH134" s="501"/>
      <c r="HI134" s="501"/>
      <c r="HJ134" s="501"/>
      <c r="HK134" s="501"/>
      <c r="HL134" s="501"/>
      <c r="HM134" s="501"/>
      <c r="HN134" s="501"/>
      <c r="HO134" s="501"/>
      <c r="HP134" s="501"/>
      <c r="HQ134" s="501"/>
      <c r="HR134" s="501"/>
      <c r="HS134" s="501"/>
      <c r="HT134" s="501"/>
      <c r="HU134" s="501"/>
      <c r="HV134" s="501"/>
      <c r="HW134" s="501"/>
      <c r="HX134" s="501"/>
      <c r="HY134" s="501"/>
      <c r="HZ134" s="501"/>
      <c r="IA134" s="501"/>
      <c r="IB134" s="501"/>
      <c r="IC134" s="501"/>
      <c r="ID134" s="501"/>
      <c r="IE134" s="501"/>
      <c r="IF134" s="501"/>
      <c r="IG134" s="501"/>
      <c r="IH134" s="501"/>
      <c r="II134" s="501"/>
      <c r="IJ134" s="501"/>
      <c r="IK134" s="501"/>
      <c r="IL134" s="501"/>
      <c r="IM134" s="501"/>
      <c r="IN134" s="501"/>
      <c r="IO134" s="501"/>
      <c r="IP134" s="501"/>
      <c r="IQ134" s="501"/>
      <c r="IR134" s="501"/>
      <c r="IS134" s="501"/>
      <c r="IT134" s="501"/>
      <c r="IU134" s="501"/>
      <c r="IV134" s="501"/>
      <c r="IW134" s="501"/>
      <c r="IX134" s="501"/>
      <c r="IY134" s="501"/>
      <c r="IZ134" s="501"/>
      <c r="JA134" s="501"/>
      <c r="JB134" s="501"/>
      <c r="JC134" s="501"/>
      <c r="JD134" s="501"/>
      <c r="JE134" s="501"/>
      <c r="JF134" s="501"/>
      <c r="JG134" s="501"/>
      <c r="JH134" s="501"/>
      <c r="JI134" s="501"/>
      <c r="JJ134" s="501"/>
      <c r="JK134" s="501"/>
      <c r="JL134" s="501"/>
      <c r="JM134" s="501"/>
      <c r="JN134" s="501"/>
      <c r="JO134" s="501"/>
      <c r="JP134" s="501"/>
      <c r="JQ134" s="501"/>
      <c r="JR134" s="501"/>
      <c r="JS134" s="501"/>
      <c r="JT134" s="501"/>
      <c r="JU134" s="501"/>
      <c r="JV134" s="501"/>
      <c r="JW134" s="501"/>
      <c r="JX134" s="501"/>
      <c r="JY134" s="501"/>
      <c r="JZ134" s="501"/>
      <c r="KA134" s="501"/>
      <c r="KB134" s="501"/>
      <c r="KC134" s="501"/>
      <c r="KD134" s="501"/>
      <c r="KE134" s="501"/>
      <c r="KF134" s="501"/>
      <c r="KG134" s="501"/>
      <c r="KH134" s="501"/>
      <c r="KI134" s="501"/>
      <c r="KJ134" s="501"/>
      <c r="KK134" s="501"/>
      <c r="KL134" s="501"/>
      <c r="KM134" s="501"/>
      <c r="KN134" s="501"/>
      <c r="KO134" s="501"/>
      <c r="KP134" s="501"/>
      <c r="KQ134" s="501"/>
      <c r="KR134" s="501"/>
      <c r="KS134" s="501"/>
      <c r="KT134" s="501"/>
      <c r="KU134" s="501"/>
      <c r="KV134" s="501"/>
      <c r="KW134" s="501"/>
      <c r="KX134" s="501"/>
      <c r="KY134" s="501"/>
      <c r="KZ134" s="501"/>
      <c r="LA134" s="501"/>
      <c r="LB134" s="501"/>
      <c r="LC134" s="501"/>
      <c r="LD134" s="501"/>
      <c r="LE134" s="501"/>
      <c r="LF134" s="501"/>
      <c r="LG134" s="501"/>
      <c r="LH134" s="501"/>
      <c r="LI134" s="501"/>
      <c r="LJ134" s="501"/>
      <c r="LK134" s="501"/>
      <c r="LL134" s="501"/>
      <c r="LM134" s="501"/>
      <c r="LN134" s="501"/>
      <c r="LO134" s="501"/>
      <c r="LP134" s="501"/>
      <c r="LQ134" s="501"/>
      <c r="LR134" s="501"/>
      <c r="LS134" s="501"/>
      <c r="LT134" s="501"/>
      <c r="LU134" s="501"/>
      <c r="LV134" s="501"/>
      <c r="LW134" s="501"/>
      <c r="LX134" s="501"/>
      <c r="LY134" s="501"/>
      <c r="LZ134" s="501"/>
      <c r="MA134" s="501"/>
      <c r="MB134" s="501"/>
      <c r="MC134" s="501"/>
      <c r="MD134" s="501"/>
      <c r="ME134" s="501"/>
      <c r="MF134" s="501"/>
      <c r="MG134" s="501"/>
      <c r="MH134" s="501"/>
      <c r="MI134" s="501"/>
      <c r="MJ134" s="501"/>
      <c r="MK134" s="501"/>
      <c r="ML134" s="501"/>
      <c r="MM134" s="501"/>
      <c r="MN134" s="501"/>
      <c r="MO134" s="501"/>
      <c r="MP134" s="501"/>
      <c r="MQ134" s="501"/>
      <c r="MR134" s="501"/>
      <c r="MS134" s="501"/>
      <c r="MT134" s="501"/>
      <c r="MU134" s="501"/>
      <c r="MV134" s="501"/>
      <c r="MW134" s="501"/>
      <c r="MX134" s="501"/>
      <c r="MY134" s="501"/>
      <c r="MZ134" s="501"/>
      <c r="NA134" s="501"/>
      <c r="NB134" s="501"/>
      <c r="NC134" s="501"/>
      <c r="ND134" s="501"/>
      <c r="NE134" s="501"/>
      <c r="NF134" s="501"/>
      <c r="NG134" s="501"/>
      <c r="NH134" s="501"/>
      <c r="NI134" s="501"/>
      <c r="NJ134" s="501"/>
      <c r="NK134" s="501"/>
      <c r="NL134" s="501"/>
      <c r="NM134" s="501"/>
      <c r="NN134" s="501"/>
      <c r="NO134" s="501"/>
      <c r="NP134" s="501"/>
      <c r="NQ134" s="501"/>
      <c r="NR134" s="501"/>
      <c r="NS134" s="501"/>
      <c r="NT134" s="501"/>
      <c r="NU134" s="501"/>
      <c r="NV134" s="501"/>
      <c r="NW134" s="501"/>
      <c r="NX134" s="501"/>
      <c r="NY134" s="501"/>
      <c r="NZ134" s="501"/>
      <c r="OA134" s="501"/>
      <c r="OB134" s="501"/>
      <c r="OC134" s="501"/>
      <c r="OD134" s="501"/>
      <c r="OE134" s="501"/>
      <c r="OF134" s="501"/>
      <c r="OG134" s="501"/>
      <c r="OH134" s="501"/>
      <c r="OI134" s="501"/>
      <c r="OJ134" s="501"/>
      <c r="OK134" s="501"/>
      <c r="OL134" s="501"/>
      <c r="OM134" s="501"/>
      <c r="ON134" s="501"/>
      <c r="OO134" s="501"/>
      <c r="OP134" s="501"/>
      <c r="OQ134" s="501"/>
      <c r="OR134" s="501"/>
      <c r="OS134" s="501"/>
      <c r="OT134" s="501"/>
      <c r="OU134" s="501"/>
      <c r="OV134" s="501"/>
      <c r="OW134" s="501"/>
      <c r="OX134" s="501"/>
      <c r="OY134" s="501"/>
      <c r="OZ134" s="501"/>
      <c r="PA134" s="501"/>
      <c r="PB134" s="501"/>
      <c r="PC134" s="501"/>
      <c r="PD134" s="501"/>
      <c r="PE134" s="501"/>
      <c r="PF134" s="501"/>
      <c r="PG134" s="501"/>
      <c r="PH134" s="501"/>
      <c r="PI134" s="501"/>
      <c r="PJ134" s="501"/>
      <c r="PK134" s="501"/>
      <c r="PL134" s="501"/>
      <c r="PM134" s="501"/>
      <c r="PN134" s="501"/>
      <c r="PO134" s="501"/>
      <c r="PP134" s="501"/>
      <c r="PQ134" s="501"/>
      <c r="PR134" s="501"/>
      <c r="PS134" s="501"/>
      <c r="PT134" s="501"/>
      <c r="PU134" s="501"/>
      <c r="PV134" s="501"/>
      <c r="PW134" s="501"/>
      <c r="PX134" s="501"/>
      <c r="PY134" s="501"/>
      <c r="PZ134" s="501"/>
      <c r="QA134" s="501"/>
      <c r="QB134" s="501"/>
      <c r="QC134" s="501"/>
      <c r="QD134" s="501"/>
      <c r="QE134" s="501"/>
      <c r="QF134" s="501"/>
      <c r="QG134" s="501"/>
      <c r="QH134" s="501"/>
      <c r="QI134" s="501"/>
      <c r="QJ134" s="501"/>
      <c r="QK134" s="501"/>
      <c r="QL134" s="501"/>
      <c r="QM134" s="501"/>
      <c r="QN134" s="501"/>
      <c r="QO134" s="501"/>
      <c r="QP134" s="501"/>
      <c r="QQ134" s="501"/>
      <c r="QR134" s="501"/>
      <c r="QS134" s="501"/>
      <c r="QT134" s="501"/>
      <c r="QU134" s="501"/>
      <c r="QV134" s="501"/>
      <c r="QW134" s="501"/>
      <c r="QX134" s="501"/>
      <c r="QY134" s="501"/>
      <c r="QZ134" s="501"/>
      <c r="RA134" s="501"/>
      <c r="RB134" s="501"/>
      <c r="RC134" s="501"/>
      <c r="RD134" s="501"/>
      <c r="RE134" s="501"/>
      <c r="RF134" s="501"/>
      <c r="RG134" s="501"/>
      <c r="RH134" s="501"/>
      <c r="RI134" s="501"/>
      <c r="RJ134" s="501"/>
      <c r="RK134" s="501"/>
      <c r="RL134" s="501"/>
      <c r="RM134" s="501"/>
      <c r="RN134" s="501"/>
      <c r="RO134" s="501"/>
      <c r="RP134" s="501"/>
      <c r="RQ134" s="501"/>
      <c r="RR134" s="501"/>
      <c r="RS134" s="501"/>
      <c r="RT134" s="501"/>
      <c r="RU134" s="501"/>
      <c r="RV134" s="501"/>
      <c r="RW134" s="501"/>
      <c r="RX134" s="501"/>
      <c r="RY134" s="501"/>
      <c r="RZ134" s="501"/>
      <c r="SA134" s="501"/>
      <c r="SB134" s="501"/>
      <c r="SC134" s="501"/>
      <c r="SD134" s="501"/>
      <c r="SE134" s="501"/>
      <c r="SF134" s="501"/>
      <c r="SG134" s="501"/>
      <c r="SH134" s="501"/>
      <c r="SI134" s="501"/>
      <c r="SJ134" s="501"/>
      <c r="SK134" s="501"/>
      <c r="SL134" s="501"/>
      <c r="SM134" s="501"/>
      <c r="SN134" s="501"/>
      <c r="SO134" s="501"/>
      <c r="SP134" s="501"/>
      <c r="SQ134" s="501"/>
      <c r="SR134" s="501"/>
      <c r="SS134" s="501"/>
      <c r="ST134" s="501"/>
      <c r="SU134" s="501"/>
      <c r="SV134" s="501"/>
      <c r="SW134" s="501"/>
      <c r="SX134" s="501"/>
      <c r="SY134" s="501"/>
      <c r="SZ134" s="501"/>
      <c r="TA134" s="501"/>
      <c r="TB134" s="501"/>
      <c r="TC134" s="501"/>
      <c r="TD134" s="501"/>
      <c r="TE134" s="501"/>
      <c r="TF134" s="501"/>
      <c r="TG134" s="501"/>
      <c r="TH134" s="501"/>
      <c r="TI134" s="501"/>
      <c r="TJ134" s="501"/>
      <c r="TK134" s="501"/>
      <c r="TL134" s="501"/>
      <c r="TM134" s="501"/>
      <c r="TN134" s="501"/>
      <c r="TO134" s="501"/>
      <c r="TP134" s="501"/>
      <c r="TQ134" s="501"/>
      <c r="TR134" s="501"/>
      <c r="TS134" s="501"/>
      <c r="TT134" s="501"/>
      <c r="TU134" s="501"/>
      <c r="TV134" s="501"/>
      <c r="TW134" s="501"/>
      <c r="TX134" s="501"/>
      <c r="TY134" s="501"/>
      <c r="TZ134" s="501"/>
      <c r="UA134" s="501"/>
      <c r="UB134" s="501"/>
      <c r="UC134" s="501"/>
      <c r="UD134" s="501"/>
      <c r="UE134" s="501"/>
      <c r="UF134" s="501"/>
      <c r="UG134" s="501"/>
      <c r="UH134" s="501"/>
      <c r="UI134" s="501"/>
      <c r="UJ134" s="501"/>
      <c r="UK134" s="501"/>
      <c r="UL134" s="501"/>
      <c r="UM134" s="501"/>
      <c r="UN134" s="501"/>
      <c r="UO134" s="501"/>
      <c r="UP134" s="501"/>
      <c r="UQ134" s="501"/>
      <c r="UR134" s="501"/>
      <c r="US134" s="501"/>
      <c r="UT134" s="501"/>
      <c r="UU134" s="501"/>
      <c r="UV134" s="501"/>
      <c r="UW134" s="501"/>
      <c r="UX134" s="501"/>
      <c r="UY134" s="501"/>
      <c r="UZ134" s="501"/>
      <c r="VA134" s="501"/>
      <c r="VB134" s="501"/>
      <c r="VC134" s="501"/>
      <c r="VD134" s="501"/>
      <c r="VE134" s="501"/>
      <c r="VF134" s="501"/>
      <c r="VG134" s="501"/>
      <c r="VH134" s="501"/>
      <c r="VI134" s="501"/>
      <c r="VJ134" s="501"/>
      <c r="VK134" s="501"/>
      <c r="VL134" s="501"/>
      <c r="VM134" s="501"/>
      <c r="VN134" s="501"/>
      <c r="VO134" s="501"/>
      <c r="VP134" s="501"/>
      <c r="VQ134" s="501"/>
      <c r="VR134" s="501"/>
      <c r="VS134" s="501"/>
      <c r="VT134" s="501"/>
      <c r="VU134" s="501"/>
      <c r="VV134" s="501"/>
      <c r="VW134" s="501"/>
      <c r="VX134" s="501"/>
      <c r="VY134" s="501"/>
      <c r="VZ134" s="501"/>
      <c r="WA134" s="501"/>
      <c r="WB134" s="501"/>
      <c r="WC134" s="501"/>
      <c r="WD134" s="501"/>
      <c r="WE134" s="501"/>
      <c r="WF134" s="501"/>
      <c r="WG134" s="501"/>
      <c r="WH134" s="501"/>
      <c r="WI134" s="501"/>
      <c r="WJ134" s="501"/>
      <c r="WK134" s="501"/>
      <c r="WL134" s="501"/>
      <c r="WM134" s="501"/>
      <c r="WN134" s="501"/>
      <c r="WO134" s="501"/>
      <c r="WP134" s="501"/>
      <c r="WQ134" s="501"/>
      <c r="WR134" s="501"/>
      <c r="WS134" s="501"/>
      <c r="WT134" s="501"/>
      <c r="WU134" s="501"/>
      <c r="WV134" s="501"/>
      <c r="WW134" s="501"/>
      <c r="WX134" s="501"/>
      <c r="WY134" s="501"/>
      <c r="WZ134" s="501"/>
      <c r="XA134" s="501"/>
      <c r="XB134" s="501"/>
      <c r="XC134" s="501"/>
      <c r="XD134" s="501"/>
      <c r="XE134" s="501"/>
      <c r="XF134" s="501"/>
      <c r="XG134" s="501"/>
      <c r="XH134" s="501"/>
      <c r="XI134" s="501"/>
      <c r="XJ134" s="501"/>
      <c r="XK134" s="501"/>
      <c r="XL134" s="501"/>
      <c r="XM134" s="501"/>
      <c r="XN134" s="501"/>
      <c r="XO134" s="501"/>
      <c r="XP134" s="501"/>
      <c r="XQ134" s="501"/>
      <c r="XR134" s="501"/>
      <c r="XS134" s="501"/>
      <c r="XT134" s="501"/>
      <c r="XU134" s="501"/>
      <c r="XV134" s="501"/>
      <c r="XW134" s="501"/>
      <c r="XX134" s="501"/>
      <c r="XY134" s="501"/>
      <c r="XZ134" s="501"/>
      <c r="YA134" s="501"/>
      <c r="YB134" s="501"/>
      <c r="YC134" s="501"/>
      <c r="YD134" s="501"/>
      <c r="YE134" s="501"/>
      <c r="YF134" s="501"/>
      <c r="YG134" s="501"/>
      <c r="YH134" s="501"/>
      <c r="YI134" s="501"/>
      <c r="YJ134" s="501"/>
      <c r="YK134" s="501"/>
      <c r="YL134" s="501"/>
      <c r="YM134" s="501"/>
      <c r="YN134" s="501"/>
      <c r="YO134" s="501"/>
      <c r="YP134" s="501"/>
      <c r="YQ134" s="501"/>
      <c r="YR134" s="501"/>
      <c r="YS134" s="501"/>
      <c r="YT134" s="501"/>
      <c r="YU134" s="501"/>
      <c r="YV134" s="501"/>
      <c r="YW134" s="501"/>
      <c r="YX134" s="501"/>
      <c r="YY134" s="501"/>
      <c r="YZ134" s="501"/>
      <c r="ZA134" s="501"/>
      <c r="ZB134" s="501"/>
      <c r="ZC134" s="501"/>
      <c r="ZD134" s="501"/>
      <c r="ZE134" s="501"/>
      <c r="ZF134" s="501"/>
      <c r="ZG134" s="501"/>
      <c r="ZH134" s="501"/>
      <c r="ZI134" s="501"/>
      <c r="ZJ134" s="501"/>
      <c r="ZK134" s="501"/>
      <c r="ZL134" s="501"/>
      <c r="ZM134" s="501"/>
      <c r="ZN134" s="501"/>
      <c r="ZO134" s="501"/>
      <c r="ZP134" s="501"/>
      <c r="ZQ134" s="501"/>
      <c r="ZR134" s="501"/>
      <c r="ZS134" s="501"/>
      <c r="ZT134" s="501"/>
      <c r="ZU134" s="501"/>
      <c r="ZV134" s="501"/>
      <c r="ZW134" s="501"/>
      <c r="ZX134" s="501"/>
      <c r="ZY134" s="501"/>
      <c r="ZZ134" s="501"/>
      <c r="AAA134" s="501"/>
      <c r="AAB134" s="501"/>
      <c r="AAC134" s="501"/>
      <c r="AAD134" s="501"/>
      <c r="AAE134" s="501"/>
      <c r="AAF134" s="501"/>
      <c r="AAG134" s="501"/>
      <c r="AAH134" s="501"/>
      <c r="AAI134" s="501"/>
      <c r="AAJ134" s="501"/>
      <c r="AAK134" s="501"/>
      <c r="AAL134" s="501"/>
      <c r="AAM134" s="501"/>
      <c r="AAN134" s="501"/>
      <c r="AAO134" s="501"/>
      <c r="AAP134" s="501"/>
      <c r="AAQ134" s="501"/>
      <c r="AAR134" s="501"/>
      <c r="AAS134" s="501"/>
      <c r="AAT134" s="501"/>
      <c r="AAU134" s="501"/>
      <c r="AAV134" s="501"/>
      <c r="AAW134" s="501"/>
      <c r="AAX134" s="501"/>
      <c r="AAY134" s="501"/>
      <c r="AAZ134" s="501"/>
      <c r="ABA134" s="501"/>
      <c r="ABB134" s="501"/>
      <c r="ABC134" s="501"/>
      <c r="ABD134" s="501"/>
      <c r="ABE134" s="501"/>
      <c r="ABF134" s="501"/>
      <c r="ABG134" s="501"/>
      <c r="ABH134" s="501"/>
      <c r="ABI134" s="501"/>
      <c r="ABJ134" s="501"/>
      <c r="ABK134" s="501"/>
      <c r="ABL134" s="501"/>
      <c r="ABM134" s="501"/>
      <c r="ABN134" s="501"/>
      <c r="ABO134" s="501"/>
      <c r="ABP134" s="501"/>
      <c r="ABQ134" s="501"/>
      <c r="ABR134" s="501"/>
      <c r="ABS134" s="501"/>
      <c r="ABT134" s="501"/>
      <c r="ABU134" s="501"/>
      <c r="ABV134" s="501"/>
      <c r="ABW134" s="501"/>
      <c r="ABX134" s="501"/>
      <c r="ABY134" s="501"/>
      <c r="ABZ134" s="501"/>
      <c r="ACA134" s="501"/>
      <c r="ACB134" s="501"/>
      <c r="ACC134" s="501"/>
      <c r="ACD134" s="501"/>
      <c r="ACE134" s="501"/>
      <c r="ACF134" s="501"/>
      <c r="ACG134" s="501"/>
      <c r="ACH134" s="501"/>
      <c r="ACI134" s="501"/>
      <c r="ACJ134" s="501"/>
      <c r="ACK134" s="501"/>
      <c r="ACL134" s="501"/>
      <c r="ACM134" s="501"/>
      <c r="ACN134" s="501"/>
      <c r="ACO134" s="501"/>
      <c r="ACP134" s="501"/>
      <c r="ACQ134" s="501"/>
      <c r="ACR134" s="501"/>
      <c r="ACS134" s="501"/>
      <c r="ACT134" s="501"/>
      <c r="ACU134" s="501"/>
      <c r="ACV134" s="501"/>
      <c r="ACW134" s="501"/>
      <c r="ACX134" s="501"/>
      <c r="ACY134" s="501"/>
      <c r="ACZ134" s="501"/>
      <c r="ADA134" s="501"/>
      <c r="ADB134" s="501"/>
      <c r="ADC134" s="501"/>
      <c r="ADD134" s="501"/>
      <c r="ADE134" s="501"/>
      <c r="ADF134" s="501"/>
      <c r="ADG134" s="501"/>
      <c r="ADH134" s="501"/>
      <c r="ADI134" s="501"/>
      <c r="ADJ134" s="501"/>
      <c r="ADK134" s="501"/>
      <c r="ADL134" s="501"/>
      <c r="ADM134" s="501"/>
      <c r="ADN134" s="501"/>
      <c r="ADO134" s="501"/>
      <c r="ADP134" s="501"/>
      <c r="ADQ134" s="501"/>
      <c r="ADR134" s="501"/>
      <c r="ADS134" s="501"/>
      <c r="ADT134" s="501"/>
      <c r="ADU134" s="501"/>
      <c r="ADV134" s="501"/>
      <c r="ADW134" s="501"/>
      <c r="ADX134" s="501"/>
      <c r="ADY134" s="501"/>
      <c r="ADZ134" s="501"/>
      <c r="AEA134" s="501"/>
      <c r="AEB134" s="501"/>
      <c r="AEC134" s="501"/>
      <c r="AED134" s="501"/>
      <c r="AEE134" s="501"/>
      <c r="AEF134" s="501"/>
      <c r="AEG134" s="501"/>
      <c r="AEH134" s="501"/>
      <c r="AEI134" s="501"/>
      <c r="AEJ134" s="501"/>
      <c r="AEK134" s="501"/>
      <c r="AEL134" s="501"/>
      <c r="AEM134" s="501"/>
      <c r="AEN134" s="501"/>
      <c r="AEO134" s="501"/>
      <c r="AEP134" s="501"/>
      <c r="AEQ134" s="501"/>
      <c r="AER134" s="501"/>
      <c r="AES134" s="501"/>
      <c r="AET134" s="501"/>
      <c r="AEU134" s="501"/>
      <c r="AEV134" s="501"/>
      <c r="AEW134" s="501"/>
      <c r="AEX134" s="501"/>
      <c r="AEY134" s="501"/>
      <c r="AEZ134" s="501"/>
      <c r="AFA134" s="501"/>
      <c r="AFB134" s="501"/>
      <c r="AFC134" s="501"/>
      <c r="AFD134" s="501"/>
      <c r="AFE134" s="501"/>
      <c r="AFF134" s="501"/>
      <c r="AFG134" s="501"/>
      <c r="AFH134" s="501"/>
      <c r="AFI134" s="501"/>
      <c r="AFJ134" s="501"/>
      <c r="AFK134" s="501"/>
      <c r="AFL134" s="501"/>
      <c r="AFM134" s="501"/>
      <c r="AFN134" s="501"/>
      <c r="AFO134" s="501"/>
      <c r="AFP134" s="501"/>
      <c r="AFQ134" s="501"/>
      <c r="AFR134" s="501"/>
      <c r="AFS134" s="501"/>
      <c r="AFT134" s="501"/>
      <c r="AFU134" s="501"/>
      <c r="AFV134" s="501"/>
      <c r="AFW134" s="501"/>
      <c r="AFX134" s="501"/>
      <c r="AFY134" s="501"/>
      <c r="AFZ134" s="501"/>
      <c r="AGA134" s="501"/>
      <c r="AGB134" s="501"/>
      <c r="AGC134" s="501"/>
      <c r="AGD134" s="501"/>
      <c r="AGE134" s="501"/>
      <c r="AGF134" s="501"/>
      <c r="AGG134" s="501"/>
      <c r="AGH134" s="501"/>
      <c r="AGI134" s="501"/>
      <c r="AGJ134" s="501"/>
      <c r="AGK134" s="501"/>
      <c r="AGL134" s="501"/>
      <c r="AGM134" s="501"/>
      <c r="AGN134" s="501"/>
      <c r="AGO134" s="501"/>
      <c r="AGP134" s="501"/>
      <c r="AGQ134" s="501"/>
      <c r="AGR134" s="501"/>
      <c r="AGS134" s="501"/>
      <c r="AGT134" s="501"/>
      <c r="AGU134" s="501"/>
      <c r="AGV134" s="501"/>
      <c r="AGW134" s="501"/>
      <c r="AGX134" s="501"/>
      <c r="AGY134" s="501"/>
      <c r="AGZ134" s="501"/>
      <c r="AHA134" s="501"/>
      <c r="AHB134" s="501"/>
      <c r="AHC134" s="501"/>
      <c r="AHD134" s="501"/>
      <c r="AHE134" s="501"/>
      <c r="AHF134" s="501"/>
      <c r="AHG134" s="501"/>
      <c r="AHH134" s="501"/>
      <c r="AHI134" s="501"/>
      <c r="AHJ134" s="501"/>
      <c r="AHK134" s="501"/>
      <c r="AHL134" s="501"/>
      <c r="AHM134" s="501"/>
      <c r="AHN134" s="501"/>
      <c r="AHO134" s="501"/>
      <c r="AHP134" s="501"/>
      <c r="AHQ134" s="501"/>
      <c r="AHR134" s="501"/>
      <c r="AHS134" s="501"/>
      <c r="AHT134" s="501"/>
      <c r="AHU134" s="501"/>
      <c r="AHV134" s="501"/>
      <c r="AHW134" s="501"/>
      <c r="AHX134" s="501"/>
      <c r="AHY134" s="501"/>
      <c r="AHZ134" s="501"/>
      <c r="AIA134" s="501"/>
      <c r="AIB134" s="501"/>
      <c r="AIC134" s="501"/>
      <c r="AID134" s="501"/>
      <c r="AIE134" s="501"/>
      <c r="AIF134" s="501"/>
      <c r="AIG134" s="501"/>
      <c r="AIH134" s="501"/>
      <c r="AII134" s="501"/>
      <c r="AIJ134" s="501"/>
      <c r="AIK134" s="501"/>
      <c r="AIL134" s="501"/>
      <c r="AIM134" s="501"/>
      <c r="AIN134" s="501"/>
      <c r="AIO134" s="501"/>
      <c r="AIP134" s="501"/>
      <c r="AIQ134" s="501"/>
      <c r="AIR134" s="501"/>
      <c r="AIS134" s="501"/>
      <c r="AIT134" s="501"/>
      <c r="AIU134" s="501"/>
      <c r="AIV134" s="501"/>
      <c r="AIW134" s="501"/>
      <c r="AIX134" s="501"/>
      <c r="AIY134" s="501"/>
      <c r="AIZ134" s="501"/>
      <c r="AJA134" s="501"/>
      <c r="AJB134" s="501"/>
      <c r="AJC134" s="501"/>
      <c r="AJD134" s="501"/>
      <c r="AJE134" s="501"/>
      <c r="AJF134" s="501"/>
      <c r="AJG134" s="501"/>
      <c r="AJH134" s="501"/>
      <c r="AJI134" s="501"/>
      <c r="AJJ134" s="501"/>
      <c r="AJK134" s="501"/>
      <c r="AJL134" s="501"/>
      <c r="AJM134" s="501"/>
      <c r="AJN134" s="501"/>
      <c r="AJO134" s="501"/>
      <c r="AJP134" s="501"/>
      <c r="AJQ134" s="501"/>
      <c r="AJR134" s="501"/>
      <c r="AJS134" s="501"/>
      <c r="AJT134" s="501"/>
      <c r="AJU134" s="501"/>
      <c r="AJV134" s="501"/>
      <c r="AJW134" s="501"/>
      <c r="AJX134" s="501"/>
      <c r="AJY134" s="501"/>
      <c r="AJZ134" s="501"/>
      <c r="AKA134" s="501"/>
      <c r="AKB134" s="501"/>
      <c r="AKC134" s="501"/>
      <c r="AKD134" s="501"/>
      <c r="AKE134" s="501"/>
      <c r="AKF134" s="501"/>
      <c r="AKG134" s="501"/>
      <c r="AKH134" s="501"/>
      <c r="AKI134" s="501"/>
      <c r="AKJ134" s="501"/>
      <c r="AKK134" s="501"/>
      <c r="AKL134" s="501"/>
      <c r="AKM134" s="501"/>
      <c r="AKN134" s="501"/>
      <c r="AKO134" s="501"/>
      <c r="AKP134" s="501"/>
      <c r="AKQ134" s="501"/>
      <c r="AKR134" s="501"/>
      <c r="AKS134" s="501"/>
      <c r="AKT134" s="501"/>
      <c r="AKU134" s="501"/>
      <c r="AKV134" s="501"/>
      <c r="AKW134" s="501"/>
      <c r="AKX134" s="501"/>
      <c r="AKY134" s="501"/>
      <c r="AKZ134" s="501"/>
      <c r="ALA134" s="501"/>
      <c r="ALB134" s="501"/>
      <c r="ALC134" s="501"/>
      <c r="ALD134" s="501"/>
      <c r="ALE134" s="501"/>
      <c r="ALF134" s="501"/>
      <c r="ALG134" s="501"/>
      <c r="ALH134" s="501"/>
      <c r="ALI134" s="501"/>
      <c r="ALJ134" s="501"/>
      <c r="ALK134" s="501"/>
      <c r="ALL134" s="501"/>
      <c r="ALM134" s="501"/>
      <c r="ALN134" s="501"/>
      <c r="ALO134" s="501"/>
      <c r="ALP134" s="501"/>
      <c r="ALQ134" s="501"/>
      <c r="ALR134" s="501"/>
      <c r="ALS134" s="501"/>
      <c r="ALT134" s="501"/>
      <c r="ALU134" s="501"/>
      <c r="ALV134" s="501"/>
      <c r="ALW134" s="501"/>
      <c r="ALX134" s="501"/>
      <c r="ALY134" s="501"/>
      <c r="ALZ134" s="501"/>
      <c r="AMA134" s="501"/>
      <c r="AMB134" s="501"/>
      <c r="AMC134" s="501"/>
      <c r="AMD134" s="501"/>
      <c r="AME134" s="501"/>
      <c r="AMF134" s="501"/>
      <c r="AMG134" s="501"/>
      <c r="AMH134" s="501"/>
      <c r="AMI134" s="501"/>
      <c r="AMJ134" s="501"/>
      <c r="AMK134" s="501"/>
      <c r="AML134" s="501"/>
      <c r="AMM134" s="501"/>
      <c r="AMN134" s="501"/>
      <c r="AMO134" s="501"/>
      <c r="AMP134" s="501"/>
      <c r="AMQ134" s="501"/>
      <c r="AMR134" s="501"/>
      <c r="AMS134" s="501"/>
      <c r="AMT134" s="501"/>
      <c r="AMU134" s="501"/>
      <c r="AMV134" s="501"/>
      <c r="AMW134" s="501"/>
      <c r="AMX134" s="501"/>
      <c r="AMY134" s="501"/>
      <c r="AMZ134" s="501"/>
      <c r="ANA134" s="501"/>
      <c r="ANB134" s="501"/>
      <c r="ANC134" s="501"/>
      <c r="AND134" s="501"/>
      <c r="ANE134" s="501"/>
      <c r="ANF134" s="501"/>
      <c r="ANG134" s="501"/>
      <c r="ANH134" s="501"/>
      <c r="ANI134" s="501"/>
      <c r="ANJ134" s="501"/>
      <c r="ANK134" s="501"/>
      <c r="ANL134" s="501"/>
      <c r="ANM134" s="501"/>
      <c r="ANN134" s="501"/>
      <c r="ANO134" s="501"/>
      <c r="ANP134" s="501"/>
      <c r="ANQ134" s="501"/>
      <c r="ANR134" s="501"/>
      <c r="ANS134" s="501"/>
      <c r="ANT134" s="501"/>
      <c r="ANU134" s="501"/>
      <c r="ANV134" s="501"/>
      <c r="ANW134" s="501"/>
      <c r="ANX134" s="501"/>
      <c r="ANY134" s="501"/>
      <c r="ANZ134" s="501"/>
      <c r="AOA134" s="501"/>
      <c r="AOB134" s="501"/>
      <c r="AOC134" s="501"/>
      <c r="AOD134" s="501"/>
      <c r="AOE134" s="501"/>
      <c r="AOF134" s="501"/>
      <c r="AOG134" s="501"/>
      <c r="AOH134" s="501"/>
      <c r="AOI134" s="501"/>
      <c r="AOJ134" s="501"/>
      <c r="AOK134" s="501"/>
      <c r="AOL134" s="501"/>
      <c r="AOM134" s="501"/>
      <c r="AON134" s="501"/>
      <c r="AOO134" s="501"/>
      <c r="AOP134" s="501"/>
      <c r="AOQ134" s="501"/>
      <c r="AOR134" s="501"/>
      <c r="AOS134" s="501"/>
      <c r="AOT134" s="501"/>
      <c r="AOU134" s="501"/>
      <c r="AOV134" s="501"/>
      <c r="AOW134" s="501"/>
      <c r="AOX134" s="501"/>
      <c r="AOY134" s="501"/>
      <c r="AOZ134" s="501"/>
      <c r="APA134" s="501"/>
      <c r="APB134" s="501"/>
      <c r="APC134" s="501"/>
      <c r="APD134" s="501"/>
      <c r="APE134" s="501"/>
      <c r="APF134" s="501"/>
      <c r="APG134" s="501"/>
      <c r="APH134" s="501"/>
      <c r="API134" s="501"/>
      <c r="APJ134" s="501"/>
      <c r="APK134" s="501"/>
      <c r="APL134" s="501"/>
      <c r="APM134" s="501"/>
      <c r="APN134" s="501"/>
      <c r="APO134" s="501"/>
      <c r="APP134" s="501"/>
      <c r="APQ134" s="501"/>
      <c r="APR134" s="501"/>
      <c r="APS134" s="501"/>
      <c r="APT134" s="501"/>
      <c r="APU134" s="501"/>
      <c r="APV134" s="501"/>
      <c r="APW134" s="501"/>
      <c r="APX134" s="501"/>
      <c r="APY134" s="501"/>
      <c r="APZ134" s="501"/>
      <c r="AQA134" s="501"/>
      <c r="AQB134" s="501"/>
      <c r="AQC134" s="501"/>
      <c r="AQD134" s="501"/>
      <c r="AQE134" s="501"/>
      <c r="AQF134" s="501"/>
      <c r="AQG134" s="501"/>
      <c r="AQH134" s="501"/>
      <c r="AQI134" s="501"/>
      <c r="AQJ134" s="501"/>
      <c r="AQK134" s="501"/>
      <c r="AQL134" s="501"/>
      <c r="AQM134" s="501"/>
      <c r="AQN134" s="501"/>
      <c r="AQO134" s="501"/>
      <c r="AQP134" s="501"/>
      <c r="AQQ134" s="501"/>
      <c r="AQR134" s="501"/>
      <c r="AQS134" s="501"/>
      <c r="AQT134" s="501"/>
      <c r="AQU134" s="501"/>
      <c r="AQV134" s="501"/>
      <c r="AQW134" s="501"/>
      <c r="AQX134" s="501"/>
      <c r="AQY134" s="501"/>
      <c r="AQZ134" s="501"/>
      <c r="ARA134" s="501"/>
      <c r="ARB134" s="501"/>
      <c r="ARC134" s="501"/>
      <c r="ARD134" s="501"/>
      <c r="ARE134" s="501"/>
      <c r="ARF134" s="501"/>
      <c r="ARG134" s="501"/>
      <c r="ARH134" s="501"/>
      <c r="ARI134" s="501"/>
      <c r="ARJ134" s="501"/>
      <c r="ARK134" s="501"/>
      <c r="ARL134" s="501"/>
      <c r="ARM134" s="501"/>
      <c r="ARN134" s="501"/>
      <c r="ARO134" s="501"/>
      <c r="ARP134" s="501"/>
      <c r="ARQ134" s="501"/>
      <c r="ARR134" s="501"/>
      <c r="ARS134" s="501"/>
      <c r="ART134" s="501"/>
      <c r="ARU134" s="501"/>
      <c r="ARV134" s="501"/>
      <c r="ARW134" s="501"/>
      <c r="ARX134" s="501"/>
      <c r="ARY134" s="501"/>
      <c r="ARZ134" s="501"/>
      <c r="ASA134" s="501"/>
      <c r="ASB134" s="501"/>
      <c r="ASC134" s="501"/>
      <c r="ASD134" s="501"/>
      <c r="ASE134" s="501"/>
      <c r="ASF134" s="501"/>
      <c r="ASG134" s="501"/>
      <c r="ASH134" s="501"/>
      <c r="ASI134" s="501"/>
      <c r="ASJ134" s="501"/>
      <c r="ASK134" s="501"/>
      <c r="ASL134" s="501"/>
      <c r="ASM134" s="501"/>
      <c r="ASN134" s="501"/>
      <c r="ASO134" s="501"/>
      <c r="ASP134" s="501"/>
      <c r="ASQ134" s="501"/>
      <c r="ASR134" s="501"/>
      <c r="ASS134" s="501"/>
      <c r="AST134" s="501"/>
      <c r="ASU134" s="501"/>
      <c r="ASV134" s="501"/>
      <c r="ASW134" s="501"/>
      <c r="ASX134" s="501"/>
      <c r="ASY134" s="501"/>
      <c r="ASZ134" s="501"/>
      <c r="ATA134" s="501"/>
      <c r="ATB134" s="501"/>
      <c r="ATC134" s="501"/>
      <c r="ATD134" s="501"/>
      <c r="ATE134" s="501"/>
      <c r="ATF134" s="501"/>
      <c r="ATG134" s="501"/>
      <c r="ATH134" s="501"/>
      <c r="ATI134" s="501"/>
      <c r="ATJ134" s="501"/>
      <c r="ATK134" s="501"/>
      <c r="ATL134" s="501"/>
      <c r="ATM134" s="501"/>
      <c r="ATN134" s="501"/>
      <c r="ATO134" s="501"/>
      <c r="ATP134" s="501"/>
      <c r="ATQ134" s="501"/>
      <c r="ATR134" s="501"/>
      <c r="ATS134" s="501"/>
      <c r="ATT134" s="501"/>
      <c r="ATU134" s="501"/>
      <c r="ATV134" s="501"/>
      <c r="ATW134" s="501"/>
      <c r="ATX134" s="501"/>
      <c r="ATY134" s="501"/>
      <c r="ATZ134" s="501"/>
      <c r="AUA134" s="501"/>
      <c r="AUB134" s="501"/>
      <c r="AUC134" s="501"/>
      <c r="AUD134" s="501"/>
      <c r="AUE134" s="501"/>
      <c r="AUF134" s="501"/>
      <c r="AUG134" s="501"/>
      <c r="AUH134" s="501"/>
      <c r="AUI134" s="501"/>
      <c r="AUJ134" s="501"/>
      <c r="AUK134" s="501"/>
      <c r="AUL134" s="501"/>
      <c r="AUM134" s="501"/>
      <c r="AUN134" s="501"/>
      <c r="AUO134" s="501"/>
      <c r="AUP134" s="501"/>
      <c r="AUQ134" s="501"/>
      <c r="AUR134" s="501"/>
      <c r="AUS134" s="501"/>
      <c r="AUT134" s="501"/>
      <c r="AUU134" s="501"/>
      <c r="AUV134" s="501"/>
      <c r="AUW134" s="501"/>
      <c r="AUX134" s="501"/>
      <c r="AUY134" s="501"/>
      <c r="AUZ134" s="501"/>
      <c r="AVA134" s="501"/>
      <c r="AVB134" s="501"/>
      <c r="AVC134" s="501"/>
      <c r="AVD134" s="501"/>
      <c r="AVE134" s="501"/>
      <c r="AVF134" s="501"/>
      <c r="AVG134" s="501"/>
      <c r="AVH134" s="501"/>
      <c r="AVI134" s="501"/>
      <c r="AVJ134" s="501"/>
      <c r="AVK134" s="501"/>
      <c r="AVL134" s="501"/>
      <c r="AVM134" s="501"/>
      <c r="AVN134" s="501"/>
      <c r="AVO134" s="501"/>
      <c r="AVP134" s="501"/>
      <c r="AVQ134" s="501"/>
      <c r="AVR134" s="501"/>
      <c r="AVS134" s="501"/>
      <c r="AVT134" s="501"/>
      <c r="AVU134" s="501"/>
      <c r="AVV134" s="501"/>
      <c r="AVW134" s="501"/>
      <c r="AVX134" s="501"/>
      <c r="AVY134" s="501"/>
      <c r="AVZ134" s="501"/>
      <c r="AWA134" s="501"/>
      <c r="AWB134" s="501"/>
      <c r="AWC134" s="501"/>
      <c r="AWD134" s="501"/>
      <c r="AWE134" s="501"/>
      <c r="AWF134" s="501"/>
    </row>
    <row r="135" spans="1:1280" s="278" customFormat="1" ht="25.2">
      <c r="A135" s="761" t="s">
        <v>760</v>
      </c>
      <c r="B135" s="853" t="s">
        <v>628</v>
      </c>
      <c r="C135" s="854"/>
      <c r="D135" s="855" t="s">
        <v>1546</v>
      </c>
      <c r="E135" s="790" t="s">
        <v>1527</v>
      </c>
      <c r="F135" s="791" t="s">
        <v>704</v>
      </c>
      <c r="G135" s="756">
        <v>1358.5</v>
      </c>
      <c r="H135" s="756">
        <v>24.1</v>
      </c>
      <c r="I135" s="756">
        <f t="shared" ref="I135:I141" si="23">ROUND(H135*(1+$K$471),2)</f>
        <v>30.11</v>
      </c>
      <c r="J135" s="756">
        <f t="shared" ref="J135:J141" si="24">ROUND(I135*G135,2)</f>
        <v>40904.44</v>
      </c>
      <c r="K135" s="873"/>
      <c r="L135" s="501"/>
      <c r="M135" s="730"/>
      <c r="N135" s="631"/>
      <c r="O135" s="408"/>
      <c r="P135" s="501"/>
      <c r="Q135" s="501"/>
      <c r="R135" s="501"/>
      <c r="S135" s="501"/>
      <c r="T135" s="501"/>
      <c r="U135" s="501"/>
      <c r="V135" s="501"/>
      <c r="W135" s="501"/>
      <c r="X135" s="501"/>
      <c r="Y135" s="501"/>
      <c r="Z135" s="501"/>
      <c r="AA135" s="501"/>
      <c r="AB135" s="501"/>
      <c r="AC135" s="501"/>
      <c r="AD135" s="501"/>
      <c r="AE135" s="501"/>
      <c r="AF135" s="501"/>
      <c r="AG135" s="501"/>
      <c r="AH135" s="501"/>
      <c r="AI135" s="501"/>
      <c r="AJ135" s="501"/>
      <c r="AK135" s="501"/>
      <c r="AL135" s="501"/>
      <c r="AM135" s="501"/>
      <c r="AN135" s="501"/>
      <c r="AO135" s="501"/>
      <c r="AP135" s="501"/>
      <c r="AQ135" s="501"/>
      <c r="AR135" s="501"/>
      <c r="AS135" s="501"/>
      <c r="AT135" s="501"/>
      <c r="AU135" s="501"/>
      <c r="AV135" s="501"/>
      <c r="AW135" s="501"/>
      <c r="AX135" s="501"/>
      <c r="AY135" s="501"/>
      <c r="AZ135" s="501"/>
      <c r="BA135" s="501"/>
      <c r="BB135" s="501"/>
      <c r="BC135" s="501"/>
      <c r="BD135" s="501"/>
      <c r="BE135" s="501"/>
      <c r="BF135" s="501"/>
      <c r="BG135" s="501"/>
      <c r="BH135" s="501"/>
      <c r="BI135" s="501"/>
      <c r="BJ135" s="501"/>
      <c r="BK135" s="501"/>
      <c r="BL135" s="501"/>
      <c r="BM135" s="501"/>
      <c r="BN135" s="501"/>
      <c r="BO135" s="501"/>
      <c r="BP135" s="501"/>
      <c r="BQ135" s="501"/>
      <c r="BR135" s="501"/>
      <c r="BS135" s="501"/>
      <c r="BT135" s="501"/>
      <c r="BU135" s="501"/>
      <c r="BV135" s="501"/>
      <c r="BW135" s="501"/>
      <c r="BX135" s="501"/>
      <c r="BY135" s="501"/>
      <c r="BZ135" s="501"/>
      <c r="CA135" s="501"/>
      <c r="CB135" s="501"/>
      <c r="CC135" s="501"/>
      <c r="CD135" s="501"/>
      <c r="CE135" s="501"/>
      <c r="CF135" s="501"/>
      <c r="CG135" s="501"/>
      <c r="CH135" s="501"/>
      <c r="CI135" s="501"/>
      <c r="CJ135" s="501"/>
      <c r="CK135" s="501"/>
      <c r="CL135" s="501"/>
      <c r="CM135" s="501"/>
      <c r="CN135" s="501"/>
      <c r="CO135" s="501"/>
      <c r="CP135" s="501"/>
      <c r="CQ135" s="501"/>
      <c r="CR135" s="501"/>
      <c r="CS135" s="501"/>
      <c r="CT135" s="501"/>
      <c r="CU135" s="501"/>
      <c r="CV135" s="501"/>
      <c r="CW135" s="501"/>
      <c r="CX135" s="501"/>
      <c r="CY135" s="501"/>
      <c r="CZ135" s="501"/>
      <c r="DA135" s="501"/>
      <c r="DB135" s="501"/>
      <c r="DC135" s="501"/>
      <c r="DD135" s="501"/>
      <c r="DE135" s="501"/>
      <c r="DF135" s="501"/>
      <c r="DG135" s="501"/>
      <c r="DH135" s="501"/>
      <c r="DI135" s="501"/>
      <c r="DJ135" s="501"/>
      <c r="DK135" s="501"/>
      <c r="DL135" s="501"/>
      <c r="DM135" s="501"/>
      <c r="DN135" s="501"/>
      <c r="DO135" s="501"/>
      <c r="DP135" s="501"/>
      <c r="DQ135" s="501"/>
      <c r="DR135" s="501"/>
      <c r="DS135" s="501"/>
      <c r="DT135" s="501"/>
      <c r="DU135" s="501"/>
      <c r="DV135" s="501"/>
      <c r="DW135" s="501"/>
      <c r="DX135" s="501"/>
      <c r="DY135" s="501"/>
      <c r="DZ135" s="501"/>
      <c r="EA135" s="501"/>
      <c r="EB135" s="501"/>
      <c r="EC135" s="501"/>
      <c r="ED135" s="501"/>
      <c r="EE135" s="501"/>
      <c r="EF135" s="501"/>
      <c r="EG135" s="501"/>
      <c r="EH135" s="501"/>
      <c r="EI135" s="501"/>
      <c r="EJ135" s="501"/>
      <c r="EK135" s="501"/>
      <c r="EL135" s="501"/>
      <c r="EM135" s="501"/>
      <c r="EN135" s="501"/>
      <c r="EO135" s="501"/>
      <c r="EP135" s="501"/>
      <c r="EQ135" s="501"/>
      <c r="ER135" s="501"/>
      <c r="ES135" s="501"/>
      <c r="ET135" s="501"/>
      <c r="EU135" s="501"/>
      <c r="EV135" s="501"/>
      <c r="EW135" s="501"/>
      <c r="EX135" s="501"/>
      <c r="EY135" s="501"/>
      <c r="EZ135" s="501"/>
      <c r="FA135" s="501"/>
      <c r="FB135" s="501"/>
      <c r="FC135" s="501"/>
      <c r="FD135" s="501"/>
      <c r="FE135" s="501"/>
      <c r="FF135" s="501"/>
      <c r="FG135" s="501"/>
      <c r="FH135" s="501"/>
      <c r="FI135" s="501"/>
      <c r="FJ135" s="501"/>
      <c r="FK135" s="501"/>
      <c r="FL135" s="501"/>
      <c r="FM135" s="501"/>
      <c r="FN135" s="501"/>
      <c r="FO135" s="501"/>
      <c r="FP135" s="501"/>
      <c r="FQ135" s="501"/>
      <c r="FR135" s="501"/>
      <c r="FS135" s="501"/>
      <c r="FT135" s="501"/>
      <c r="FU135" s="501"/>
      <c r="FV135" s="501"/>
      <c r="FW135" s="501"/>
      <c r="FX135" s="501"/>
      <c r="FY135" s="501"/>
      <c r="FZ135" s="501"/>
      <c r="GA135" s="501"/>
      <c r="GB135" s="501"/>
      <c r="GC135" s="501"/>
      <c r="GD135" s="501"/>
      <c r="GE135" s="501"/>
      <c r="GF135" s="501"/>
      <c r="GG135" s="501"/>
      <c r="GH135" s="501"/>
      <c r="GI135" s="501"/>
      <c r="GJ135" s="501"/>
      <c r="GK135" s="501"/>
      <c r="GL135" s="501"/>
      <c r="GM135" s="501"/>
      <c r="GN135" s="501"/>
      <c r="GO135" s="501"/>
      <c r="GP135" s="501"/>
      <c r="GQ135" s="501"/>
      <c r="GR135" s="501"/>
      <c r="GS135" s="501"/>
      <c r="GT135" s="501"/>
      <c r="GU135" s="501"/>
      <c r="GV135" s="501"/>
      <c r="GW135" s="501"/>
      <c r="GX135" s="501"/>
      <c r="GY135" s="501"/>
      <c r="GZ135" s="501"/>
      <c r="HA135" s="501"/>
      <c r="HB135" s="501"/>
      <c r="HC135" s="501"/>
      <c r="HD135" s="501"/>
      <c r="HE135" s="501"/>
      <c r="HF135" s="501"/>
      <c r="HG135" s="501"/>
      <c r="HH135" s="501"/>
      <c r="HI135" s="501"/>
      <c r="HJ135" s="501"/>
      <c r="HK135" s="501"/>
      <c r="HL135" s="501"/>
      <c r="HM135" s="501"/>
      <c r="HN135" s="501"/>
      <c r="HO135" s="501"/>
      <c r="HP135" s="501"/>
      <c r="HQ135" s="501"/>
      <c r="HR135" s="501"/>
      <c r="HS135" s="501"/>
      <c r="HT135" s="501"/>
      <c r="HU135" s="501"/>
      <c r="HV135" s="501"/>
      <c r="HW135" s="501"/>
      <c r="HX135" s="501"/>
      <c r="HY135" s="501"/>
      <c r="HZ135" s="501"/>
      <c r="IA135" s="501"/>
      <c r="IB135" s="501"/>
      <c r="IC135" s="501"/>
      <c r="ID135" s="501"/>
      <c r="IE135" s="501"/>
      <c r="IF135" s="501"/>
      <c r="IG135" s="501"/>
      <c r="IH135" s="501"/>
      <c r="II135" s="501"/>
      <c r="IJ135" s="501"/>
      <c r="IK135" s="501"/>
      <c r="IL135" s="501"/>
      <c r="IM135" s="501"/>
      <c r="IN135" s="501"/>
      <c r="IO135" s="501"/>
      <c r="IP135" s="501"/>
      <c r="IQ135" s="501"/>
      <c r="IR135" s="501"/>
      <c r="IS135" s="501"/>
      <c r="IT135" s="501"/>
      <c r="IU135" s="501"/>
      <c r="IV135" s="501"/>
      <c r="IW135" s="501"/>
      <c r="IX135" s="501"/>
      <c r="IY135" s="501"/>
      <c r="IZ135" s="501"/>
      <c r="JA135" s="501"/>
      <c r="JB135" s="501"/>
      <c r="JC135" s="501"/>
      <c r="JD135" s="501"/>
      <c r="JE135" s="501"/>
      <c r="JF135" s="501"/>
      <c r="JG135" s="501"/>
      <c r="JH135" s="501"/>
      <c r="JI135" s="501"/>
      <c r="JJ135" s="501"/>
      <c r="JK135" s="501"/>
      <c r="JL135" s="501"/>
      <c r="JM135" s="501"/>
      <c r="JN135" s="501"/>
      <c r="JO135" s="501"/>
      <c r="JP135" s="501"/>
      <c r="JQ135" s="501"/>
      <c r="JR135" s="501"/>
      <c r="JS135" s="501"/>
      <c r="JT135" s="501"/>
      <c r="JU135" s="501"/>
      <c r="JV135" s="501"/>
      <c r="JW135" s="501"/>
      <c r="JX135" s="501"/>
      <c r="JY135" s="501"/>
      <c r="JZ135" s="501"/>
      <c r="KA135" s="501"/>
      <c r="KB135" s="501"/>
      <c r="KC135" s="501"/>
      <c r="KD135" s="501"/>
      <c r="KE135" s="501"/>
      <c r="KF135" s="501"/>
      <c r="KG135" s="501"/>
      <c r="KH135" s="501"/>
      <c r="KI135" s="501"/>
      <c r="KJ135" s="501"/>
      <c r="KK135" s="501"/>
      <c r="KL135" s="501"/>
      <c r="KM135" s="501"/>
      <c r="KN135" s="501"/>
      <c r="KO135" s="501"/>
      <c r="KP135" s="501"/>
      <c r="KQ135" s="501"/>
      <c r="KR135" s="501"/>
      <c r="KS135" s="501"/>
      <c r="KT135" s="501"/>
      <c r="KU135" s="501"/>
      <c r="KV135" s="501"/>
      <c r="KW135" s="501"/>
      <c r="KX135" s="501"/>
      <c r="KY135" s="501"/>
      <c r="KZ135" s="501"/>
      <c r="LA135" s="501"/>
      <c r="LB135" s="501"/>
      <c r="LC135" s="501"/>
      <c r="LD135" s="501"/>
      <c r="LE135" s="501"/>
      <c r="LF135" s="501"/>
      <c r="LG135" s="501"/>
      <c r="LH135" s="501"/>
      <c r="LI135" s="501"/>
      <c r="LJ135" s="501"/>
      <c r="LK135" s="501"/>
      <c r="LL135" s="501"/>
      <c r="LM135" s="501"/>
      <c r="LN135" s="501"/>
      <c r="LO135" s="501"/>
      <c r="LP135" s="501"/>
      <c r="LQ135" s="501"/>
      <c r="LR135" s="501"/>
      <c r="LS135" s="501"/>
      <c r="LT135" s="501"/>
      <c r="LU135" s="501"/>
      <c r="LV135" s="501"/>
      <c r="LW135" s="501"/>
      <c r="LX135" s="501"/>
      <c r="LY135" s="501"/>
      <c r="LZ135" s="501"/>
      <c r="MA135" s="501"/>
      <c r="MB135" s="501"/>
      <c r="MC135" s="501"/>
      <c r="MD135" s="501"/>
      <c r="ME135" s="501"/>
      <c r="MF135" s="501"/>
      <c r="MG135" s="501"/>
      <c r="MH135" s="501"/>
      <c r="MI135" s="501"/>
      <c r="MJ135" s="501"/>
      <c r="MK135" s="501"/>
      <c r="ML135" s="501"/>
      <c r="MM135" s="501"/>
      <c r="MN135" s="501"/>
      <c r="MO135" s="501"/>
      <c r="MP135" s="501"/>
      <c r="MQ135" s="501"/>
      <c r="MR135" s="501"/>
      <c r="MS135" s="501"/>
      <c r="MT135" s="501"/>
      <c r="MU135" s="501"/>
      <c r="MV135" s="501"/>
      <c r="MW135" s="501"/>
      <c r="MX135" s="501"/>
      <c r="MY135" s="501"/>
      <c r="MZ135" s="501"/>
      <c r="NA135" s="501"/>
      <c r="NB135" s="501"/>
      <c r="NC135" s="501"/>
      <c r="ND135" s="501"/>
      <c r="NE135" s="501"/>
      <c r="NF135" s="501"/>
      <c r="NG135" s="501"/>
      <c r="NH135" s="501"/>
      <c r="NI135" s="501"/>
      <c r="NJ135" s="501"/>
      <c r="NK135" s="501"/>
      <c r="NL135" s="501"/>
      <c r="NM135" s="501"/>
      <c r="NN135" s="501"/>
      <c r="NO135" s="501"/>
      <c r="NP135" s="501"/>
      <c r="NQ135" s="501"/>
      <c r="NR135" s="501"/>
      <c r="NS135" s="501"/>
      <c r="NT135" s="501"/>
      <c r="NU135" s="501"/>
      <c r="NV135" s="501"/>
      <c r="NW135" s="501"/>
      <c r="NX135" s="501"/>
      <c r="NY135" s="501"/>
      <c r="NZ135" s="501"/>
      <c r="OA135" s="501"/>
      <c r="OB135" s="501"/>
      <c r="OC135" s="501"/>
      <c r="OD135" s="501"/>
      <c r="OE135" s="501"/>
      <c r="OF135" s="501"/>
      <c r="OG135" s="501"/>
      <c r="OH135" s="501"/>
      <c r="OI135" s="501"/>
      <c r="OJ135" s="501"/>
      <c r="OK135" s="501"/>
      <c r="OL135" s="501"/>
      <c r="OM135" s="501"/>
      <c r="ON135" s="501"/>
      <c r="OO135" s="501"/>
      <c r="OP135" s="501"/>
      <c r="OQ135" s="501"/>
      <c r="OR135" s="501"/>
      <c r="OS135" s="501"/>
      <c r="OT135" s="501"/>
      <c r="OU135" s="501"/>
      <c r="OV135" s="501"/>
      <c r="OW135" s="501"/>
      <c r="OX135" s="501"/>
      <c r="OY135" s="501"/>
      <c r="OZ135" s="501"/>
      <c r="PA135" s="501"/>
      <c r="PB135" s="501"/>
      <c r="PC135" s="501"/>
      <c r="PD135" s="501"/>
      <c r="PE135" s="501"/>
      <c r="PF135" s="501"/>
      <c r="PG135" s="501"/>
      <c r="PH135" s="501"/>
      <c r="PI135" s="501"/>
      <c r="PJ135" s="501"/>
      <c r="PK135" s="501"/>
      <c r="PL135" s="501"/>
      <c r="PM135" s="501"/>
      <c r="PN135" s="501"/>
      <c r="PO135" s="501"/>
      <c r="PP135" s="501"/>
      <c r="PQ135" s="501"/>
      <c r="PR135" s="501"/>
      <c r="PS135" s="501"/>
      <c r="PT135" s="501"/>
      <c r="PU135" s="501"/>
      <c r="PV135" s="501"/>
      <c r="PW135" s="501"/>
      <c r="PX135" s="501"/>
      <c r="PY135" s="501"/>
      <c r="PZ135" s="501"/>
      <c r="QA135" s="501"/>
      <c r="QB135" s="501"/>
      <c r="QC135" s="501"/>
      <c r="QD135" s="501"/>
      <c r="QE135" s="501"/>
      <c r="QF135" s="501"/>
      <c r="QG135" s="501"/>
      <c r="QH135" s="501"/>
      <c r="QI135" s="501"/>
      <c r="QJ135" s="501"/>
      <c r="QK135" s="501"/>
      <c r="QL135" s="501"/>
      <c r="QM135" s="501"/>
      <c r="QN135" s="501"/>
      <c r="QO135" s="501"/>
      <c r="QP135" s="501"/>
      <c r="QQ135" s="501"/>
      <c r="QR135" s="501"/>
      <c r="QS135" s="501"/>
      <c r="QT135" s="501"/>
      <c r="QU135" s="501"/>
      <c r="QV135" s="501"/>
      <c r="QW135" s="501"/>
      <c r="QX135" s="501"/>
      <c r="QY135" s="501"/>
      <c r="QZ135" s="501"/>
      <c r="RA135" s="501"/>
      <c r="RB135" s="501"/>
      <c r="RC135" s="501"/>
      <c r="RD135" s="501"/>
      <c r="RE135" s="501"/>
      <c r="RF135" s="501"/>
      <c r="RG135" s="501"/>
      <c r="RH135" s="501"/>
      <c r="RI135" s="501"/>
      <c r="RJ135" s="501"/>
      <c r="RK135" s="501"/>
      <c r="RL135" s="501"/>
      <c r="RM135" s="501"/>
      <c r="RN135" s="501"/>
      <c r="RO135" s="501"/>
      <c r="RP135" s="501"/>
      <c r="RQ135" s="501"/>
      <c r="RR135" s="501"/>
      <c r="RS135" s="501"/>
      <c r="RT135" s="501"/>
      <c r="RU135" s="501"/>
      <c r="RV135" s="501"/>
      <c r="RW135" s="501"/>
      <c r="RX135" s="501"/>
      <c r="RY135" s="501"/>
      <c r="RZ135" s="501"/>
      <c r="SA135" s="501"/>
      <c r="SB135" s="501"/>
      <c r="SC135" s="501"/>
      <c r="SD135" s="501"/>
      <c r="SE135" s="501"/>
      <c r="SF135" s="501"/>
      <c r="SG135" s="501"/>
      <c r="SH135" s="501"/>
      <c r="SI135" s="501"/>
      <c r="SJ135" s="501"/>
      <c r="SK135" s="501"/>
      <c r="SL135" s="501"/>
      <c r="SM135" s="501"/>
      <c r="SN135" s="501"/>
      <c r="SO135" s="501"/>
      <c r="SP135" s="501"/>
      <c r="SQ135" s="501"/>
      <c r="SR135" s="501"/>
      <c r="SS135" s="501"/>
      <c r="ST135" s="501"/>
      <c r="SU135" s="501"/>
      <c r="SV135" s="501"/>
      <c r="SW135" s="501"/>
      <c r="SX135" s="501"/>
      <c r="SY135" s="501"/>
      <c r="SZ135" s="501"/>
      <c r="TA135" s="501"/>
      <c r="TB135" s="501"/>
      <c r="TC135" s="501"/>
      <c r="TD135" s="501"/>
      <c r="TE135" s="501"/>
      <c r="TF135" s="501"/>
      <c r="TG135" s="501"/>
      <c r="TH135" s="501"/>
      <c r="TI135" s="501"/>
      <c r="TJ135" s="501"/>
      <c r="TK135" s="501"/>
      <c r="TL135" s="501"/>
      <c r="TM135" s="501"/>
      <c r="TN135" s="501"/>
      <c r="TO135" s="501"/>
      <c r="TP135" s="501"/>
      <c r="TQ135" s="501"/>
      <c r="TR135" s="501"/>
      <c r="TS135" s="501"/>
      <c r="TT135" s="501"/>
      <c r="TU135" s="501"/>
      <c r="TV135" s="501"/>
      <c r="TW135" s="501"/>
      <c r="TX135" s="501"/>
      <c r="TY135" s="501"/>
      <c r="TZ135" s="501"/>
      <c r="UA135" s="501"/>
      <c r="UB135" s="501"/>
      <c r="UC135" s="501"/>
      <c r="UD135" s="501"/>
      <c r="UE135" s="501"/>
      <c r="UF135" s="501"/>
      <c r="UG135" s="501"/>
      <c r="UH135" s="501"/>
      <c r="UI135" s="501"/>
      <c r="UJ135" s="501"/>
      <c r="UK135" s="501"/>
      <c r="UL135" s="501"/>
      <c r="UM135" s="501"/>
      <c r="UN135" s="501"/>
      <c r="UO135" s="501"/>
      <c r="UP135" s="501"/>
      <c r="UQ135" s="501"/>
      <c r="UR135" s="501"/>
      <c r="US135" s="501"/>
      <c r="UT135" s="501"/>
      <c r="UU135" s="501"/>
      <c r="UV135" s="501"/>
      <c r="UW135" s="501"/>
      <c r="UX135" s="501"/>
      <c r="UY135" s="501"/>
      <c r="UZ135" s="501"/>
      <c r="VA135" s="501"/>
      <c r="VB135" s="501"/>
      <c r="VC135" s="501"/>
      <c r="VD135" s="501"/>
      <c r="VE135" s="501"/>
      <c r="VF135" s="501"/>
      <c r="VG135" s="501"/>
      <c r="VH135" s="501"/>
      <c r="VI135" s="501"/>
      <c r="VJ135" s="501"/>
      <c r="VK135" s="501"/>
      <c r="VL135" s="501"/>
      <c r="VM135" s="501"/>
      <c r="VN135" s="501"/>
      <c r="VO135" s="501"/>
      <c r="VP135" s="501"/>
      <c r="VQ135" s="501"/>
      <c r="VR135" s="501"/>
      <c r="VS135" s="501"/>
      <c r="VT135" s="501"/>
      <c r="VU135" s="501"/>
      <c r="VV135" s="501"/>
      <c r="VW135" s="501"/>
      <c r="VX135" s="501"/>
      <c r="VY135" s="501"/>
      <c r="VZ135" s="501"/>
      <c r="WA135" s="501"/>
      <c r="WB135" s="501"/>
      <c r="WC135" s="501"/>
      <c r="WD135" s="501"/>
      <c r="WE135" s="501"/>
      <c r="WF135" s="501"/>
      <c r="WG135" s="501"/>
      <c r="WH135" s="501"/>
      <c r="WI135" s="501"/>
      <c r="WJ135" s="501"/>
      <c r="WK135" s="501"/>
      <c r="WL135" s="501"/>
      <c r="WM135" s="501"/>
      <c r="WN135" s="501"/>
      <c r="WO135" s="501"/>
      <c r="WP135" s="501"/>
      <c r="WQ135" s="501"/>
      <c r="WR135" s="501"/>
      <c r="WS135" s="501"/>
      <c r="WT135" s="501"/>
      <c r="WU135" s="501"/>
      <c r="WV135" s="501"/>
      <c r="WW135" s="501"/>
      <c r="WX135" s="501"/>
      <c r="WY135" s="501"/>
      <c r="WZ135" s="501"/>
      <c r="XA135" s="501"/>
      <c r="XB135" s="501"/>
      <c r="XC135" s="501"/>
      <c r="XD135" s="501"/>
      <c r="XE135" s="501"/>
      <c r="XF135" s="501"/>
      <c r="XG135" s="501"/>
      <c r="XH135" s="501"/>
      <c r="XI135" s="501"/>
      <c r="XJ135" s="501"/>
      <c r="XK135" s="501"/>
      <c r="XL135" s="501"/>
      <c r="XM135" s="501"/>
      <c r="XN135" s="501"/>
      <c r="XO135" s="501"/>
      <c r="XP135" s="501"/>
      <c r="XQ135" s="501"/>
      <c r="XR135" s="501"/>
      <c r="XS135" s="501"/>
      <c r="XT135" s="501"/>
      <c r="XU135" s="501"/>
      <c r="XV135" s="501"/>
      <c r="XW135" s="501"/>
      <c r="XX135" s="501"/>
      <c r="XY135" s="501"/>
      <c r="XZ135" s="501"/>
      <c r="YA135" s="501"/>
      <c r="YB135" s="501"/>
      <c r="YC135" s="501"/>
      <c r="YD135" s="501"/>
      <c r="YE135" s="501"/>
      <c r="YF135" s="501"/>
      <c r="YG135" s="501"/>
      <c r="YH135" s="501"/>
      <c r="YI135" s="501"/>
      <c r="YJ135" s="501"/>
      <c r="YK135" s="501"/>
      <c r="YL135" s="501"/>
      <c r="YM135" s="501"/>
      <c r="YN135" s="501"/>
      <c r="YO135" s="501"/>
      <c r="YP135" s="501"/>
      <c r="YQ135" s="501"/>
      <c r="YR135" s="501"/>
      <c r="YS135" s="501"/>
      <c r="YT135" s="501"/>
      <c r="YU135" s="501"/>
      <c r="YV135" s="501"/>
      <c r="YW135" s="501"/>
      <c r="YX135" s="501"/>
      <c r="YY135" s="501"/>
      <c r="YZ135" s="501"/>
      <c r="ZA135" s="501"/>
      <c r="ZB135" s="501"/>
      <c r="ZC135" s="501"/>
      <c r="ZD135" s="501"/>
      <c r="ZE135" s="501"/>
      <c r="ZF135" s="501"/>
      <c r="ZG135" s="501"/>
      <c r="ZH135" s="501"/>
      <c r="ZI135" s="501"/>
      <c r="ZJ135" s="501"/>
      <c r="ZK135" s="501"/>
      <c r="ZL135" s="501"/>
      <c r="ZM135" s="501"/>
      <c r="ZN135" s="501"/>
      <c r="ZO135" s="501"/>
      <c r="ZP135" s="501"/>
      <c r="ZQ135" s="501"/>
      <c r="ZR135" s="501"/>
      <c r="ZS135" s="501"/>
      <c r="ZT135" s="501"/>
      <c r="ZU135" s="501"/>
      <c r="ZV135" s="501"/>
      <c r="ZW135" s="501"/>
      <c r="ZX135" s="501"/>
      <c r="ZY135" s="501"/>
      <c r="ZZ135" s="501"/>
      <c r="AAA135" s="501"/>
      <c r="AAB135" s="501"/>
      <c r="AAC135" s="501"/>
      <c r="AAD135" s="501"/>
      <c r="AAE135" s="501"/>
      <c r="AAF135" s="501"/>
      <c r="AAG135" s="501"/>
      <c r="AAH135" s="501"/>
      <c r="AAI135" s="501"/>
      <c r="AAJ135" s="501"/>
      <c r="AAK135" s="501"/>
      <c r="AAL135" s="501"/>
      <c r="AAM135" s="501"/>
      <c r="AAN135" s="501"/>
      <c r="AAO135" s="501"/>
      <c r="AAP135" s="501"/>
      <c r="AAQ135" s="501"/>
      <c r="AAR135" s="501"/>
      <c r="AAS135" s="501"/>
      <c r="AAT135" s="501"/>
      <c r="AAU135" s="501"/>
      <c r="AAV135" s="501"/>
      <c r="AAW135" s="501"/>
      <c r="AAX135" s="501"/>
      <c r="AAY135" s="501"/>
      <c r="AAZ135" s="501"/>
      <c r="ABA135" s="501"/>
      <c r="ABB135" s="501"/>
      <c r="ABC135" s="501"/>
      <c r="ABD135" s="501"/>
      <c r="ABE135" s="501"/>
      <c r="ABF135" s="501"/>
      <c r="ABG135" s="501"/>
      <c r="ABH135" s="501"/>
      <c r="ABI135" s="501"/>
      <c r="ABJ135" s="501"/>
      <c r="ABK135" s="501"/>
      <c r="ABL135" s="501"/>
      <c r="ABM135" s="501"/>
      <c r="ABN135" s="501"/>
      <c r="ABO135" s="501"/>
      <c r="ABP135" s="501"/>
      <c r="ABQ135" s="501"/>
      <c r="ABR135" s="501"/>
      <c r="ABS135" s="501"/>
      <c r="ABT135" s="501"/>
      <c r="ABU135" s="501"/>
      <c r="ABV135" s="501"/>
      <c r="ABW135" s="501"/>
      <c r="ABX135" s="501"/>
      <c r="ABY135" s="501"/>
      <c r="ABZ135" s="501"/>
      <c r="ACA135" s="501"/>
      <c r="ACB135" s="501"/>
      <c r="ACC135" s="501"/>
      <c r="ACD135" s="501"/>
      <c r="ACE135" s="501"/>
      <c r="ACF135" s="501"/>
      <c r="ACG135" s="501"/>
      <c r="ACH135" s="501"/>
      <c r="ACI135" s="501"/>
      <c r="ACJ135" s="501"/>
      <c r="ACK135" s="501"/>
      <c r="ACL135" s="501"/>
      <c r="ACM135" s="501"/>
      <c r="ACN135" s="501"/>
      <c r="ACO135" s="501"/>
      <c r="ACP135" s="501"/>
      <c r="ACQ135" s="501"/>
      <c r="ACR135" s="501"/>
      <c r="ACS135" s="501"/>
      <c r="ACT135" s="501"/>
      <c r="ACU135" s="501"/>
      <c r="ACV135" s="501"/>
      <c r="ACW135" s="501"/>
      <c r="ACX135" s="501"/>
      <c r="ACY135" s="501"/>
      <c r="ACZ135" s="501"/>
      <c r="ADA135" s="501"/>
      <c r="ADB135" s="501"/>
      <c r="ADC135" s="501"/>
      <c r="ADD135" s="501"/>
      <c r="ADE135" s="501"/>
      <c r="ADF135" s="501"/>
      <c r="ADG135" s="501"/>
      <c r="ADH135" s="501"/>
      <c r="ADI135" s="501"/>
      <c r="ADJ135" s="501"/>
      <c r="ADK135" s="501"/>
      <c r="ADL135" s="501"/>
      <c r="ADM135" s="501"/>
      <c r="ADN135" s="501"/>
      <c r="ADO135" s="501"/>
      <c r="ADP135" s="501"/>
      <c r="ADQ135" s="501"/>
      <c r="ADR135" s="501"/>
      <c r="ADS135" s="501"/>
      <c r="ADT135" s="501"/>
      <c r="ADU135" s="501"/>
      <c r="ADV135" s="501"/>
      <c r="ADW135" s="501"/>
      <c r="ADX135" s="501"/>
      <c r="ADY135" s="501"/>
      <c r="ADZ135" s="501"/>
      <c r="AEA135" s="501"/>
      <c r="AEB135" s="501"/>
      <c r="AEC135" s="501"/>
      <c r="AED135" s="501"/>
      <c r="AEE135" s="501"/>
      <c r="AEF135" s="501"/>
      <c r="AEG135" s="501"/>
      <c r="AEH135" s="501"/>
      <c r="AEI135" s="501"/>
      <c r="AEJ135" s="501"/>
      <c r="AEK135" s="501"/>
      <c r="AEL135" s="501"/>
      <c r="AEM135" s="501"/>
      <c r="AEN135" s="501"/>
      <c r="AEO135" s="501"/>
      <c r="AEP135" s="501"/>
      <c r="AEQ135" s="501"/>
      <c r="AER135" s="501"/>
      <c r="AES135" s="501"/>
      <c r="AET135" s="501"/>
      <c r="AEU135" s="501"/>
      <c r="AEV135" s="501"/>
      <c r="AEW135" s="501"/>
      <c r="AEX135" s="501"/>
      <c r="AEY135" s="501"/>
      <c r="AEZ135" s="501"/>
      <c r="AFA135" s="501"/>
      <c r="AFB135" s="501"/>
      <c r="AFC135" s="501"/>
      <c r="AFD135" s="501"/>
      <c r="AFE135" s="501"/>
      <c r="AFF135" s="501"/>
      <c r="AFG135" s="501"/>
      <c r="AFH135" s="501"/>
      <c r="AFI135" s="501"/>
      <c r="AFJ135" s="501"/>
      <c r="AFK135" s="501"/>
      <c r="AFL135" s="501"/>
      <c r="AFM135" s="501"/>
      <c r="AFN135" s="501"/>
      <c r="AFO135" s="501"/>
      <c r="AFP135" s="501"/>
      <c r="AFQ135" s="501"/>
      <c r="AFR135" s="501"/>
      <c r="AFS135" s="501"/>
      <c r="AFT135" s="501"/>
      <c r="AFU135" s="501"/>
      <c r="AFV135" s="501"/>
      <c r="AFW135" s="501"/>
      <c r="AFX135" s="501"/>
      <c r="AFY135" s="501"/>
      <c r="AFZ135" s="501"/>
      <c r="AGA135" s="501"/>
      <c r="AGB135" s="501"/>
      <c r="AGC135" s="501"/>
      <c r="AGD135" s="501"/>
      <c r="AGE135" s="501"/>
      <c r="AGF135" s="501"/>
      <c r="AGG135" s="501"/>
      <c r="AGH135" s="501"/>
      <c r="AGI135" s="501"/>
      <c r="AGJ135" s="501"/>
      <c r="AGK135" s="501"/>
      <c r="AGL135" s="501"/>
      <c r="AGM135" s="501"/>
      <c r="AGN135" s="501"/>
      <c r="AGO135" s="501"/>
      <c r="AGP135" s="501"/>
      <c r="AGQ135" s="501"/>
      <c r="AGR135" s="501"/>
      <c r="AGS135" s="501"/>
      <c r="AGT135" s="501"/>
      <c r="AGU135" s="501"/>
      <c r="AGV135" s="501"/>
      <c r="AGW135" s="501"/>
      <c r="AGX135" s="501"/>
      <c r="AGY135" s="501"/>
      <c r="AGZ135" s="501"/>
      <c r="AHA135" s="501"/>
      <c r="AHB135" s="501"/>
      <c r="AHC135" s="501"/>
      <c r="AHD135" s="501"/>
      <c r="AHE135" s="501"/>
      <c r="AHF135" s="501"/>
      <c r="AHG135" s="501"/>
      <c r="AHH135" s="501"/>
      <c r="AHI135" s="501"/>
      <c r="AHJ135" s="501"/>
      <c r="AHK135" s="501"/>
      <c r="AHL135" s="501"/>
      <c r="AHM135" s="501"/>
      <c r="AHN135" s="501"/>
      <c r="AHO135" s="501"/>
      <c r="AHP135" s="501"/>
      <c r="AHQ135" s="501"/>
      <c r="AHR135" s="501"/>
      <c r="AHS135" s="501"/>
      <c r="AHT135" s="501"/>
      <c r="AHU135" s="501"/>
      <c r="AHV135" s="501"/>
      <c r="AHW135" s="501"/>
      <c r="AHX135" s="501"/>
      <c r="AHY135" s="501"/>
      <c r="AHZ135" s="501"/>
      <c r="AIA135" s="501"/>
      <c r="AIB135" s="501"/>
      <c r="AIC135" s="501"/>
      <c r="AID135" s="501"/>
      <c r="AIE135" s="501"/>
      <c r="AIF135" s="501"/>
      <c r="AIG135" s="501"/>
      <c r="AIH135" s="501"/>
      <c r="AII135" s="501"/>
      <c r="AIJ135" s="501"/>
      <c r="AIK135" s="501"/>
      <c r="AIL135" s="501"/>
      <c r="AIM135" s="501"/>
      <c r="AIN135" s="501"/>
      <c r="AIO135" s="501"/>
      <c r="AIP135" s="501"/>
      <c r="AIQ135" s="501"/>
      <c r="AIR135" s="501"/>
      <c r="AIS135" s="501"/>
      <c r="AIT135" s="501"/>
      <c r="AIU135" s="501"/>
      <c r="AIV135" s="501"/>
      <c r="AIW135" s="501"/>
      <c r="AIX135" s="501"/>
      <c r="AIY135" s="501"/>
      <c r="AIZ135" s="501"/>
      <c r="AJA135" s="501"/>
      <c r="AJB135" s="501"/>
      <c r="AJC135" s="501"/>
      <c r="AJD135" s="501"/>
      <c r="AJE135" s="501"/>
      <c r="AJF135" s="501"/>
      <c r="AJG135" s="501"/>
      <c r="AJH135" s="501"/>
      <c r="AJI135" s="501"/>
      <c r="AJJ135" s="501"/>
      <c r="AJK135" s="501"/>
      <c r="AJL135" s="501"/>
      <c r="AJM135" s="501"/>
      <c r="AJN135" s="501"/>
      <c r="AJO135" s="501"/>
      <c r="AJP135" s="501"/>
      <c r="AJQ135" s="501"/>
      <c r="AJR135" s="501"/>
      <c r="AJS135" s="501"/>
      <c r="AJT135" s="501"/>
      <c r="AJU135" s="501"/>
      <c r="AJV135" s="501"/>
      <c r="AJW135" s="501"/>
      <c r="AJX135" s="501"/>
      <c r="AJY135" s="501"/>
      <c r="AJZ135" s="501"/>
      <c r="AKA135" s="501"/>
      <c r="AKB135" s="501"/>
      <c r="AKC135" s="501"/>
      <c r="AKD135" s="501"/>
      <c r="AKE135" s="501"/>
      <c r="AKF135" s="501"/>
      <c r="AKG135" s="501"/>
      <c r="AKH135" s="501"/>
      <c r="AKI135" s="501"/>
      <c r="AKJ135" s="501"/>
      <c r="AKK135" s="501"/>
      <c r="AKL135" s="501"/>
      <c r="AKM135" s="501"/>
      <c r="AKN135" s="501"/>
      <c r="AKO135" s="501"/>
      <c r="AKP135" s="501"/>
      <c r="AKQ135" s="501"/>
      <c r="AKR135" s="501"/>
      <c r="AKS135" s="501"/>
      <c r="AKT135" s="501"/>
      <c r="AKU135" s="501"/>
      <c r="AKV135" s="501"/>
      <c r="AKW135" s="501"/>
      <c r="AKX135" s="501"/>
      <c r="AKY135" s="501"/>
      <c r="AKZ135" s="501"/>
      <c r="ALA135" s="501"/>
      <c r="ALB135" s="501"/>
      <c r="ALC135" s="501"/>
      <c r="ALD135" s="501"/>
      <c r="ALE135" s="501"/>
      <c r="ALF135" s="501"/>
      <c r="ALG135" s="501"/>
      <c r="ALH135" s="501"/>
      <c r="ALI135" s="501"/>
      <c r="ALJ135" s="501"/>
      <c r="ALK135" s="501"/>
      <c r="ALL135" s="501"/>
      <c r="ALM135" s="501"/>
      <c r="ALN135" s="501"/>
      <c r="ALO135" s="501"/>
      <c r="ALP135" s="501"/>
      <c r="ALQ135" s="501"/>
      <c r="ALR135" s="501"/>
      <c r="ALS135" s="501"/>
      <c r="ALT135" s="501"/>
      <c r="ALU135" s="501"/>
      <c r="ALV135" s="501"/>
      <c r="ALW135" s="501"/>
      <c r="ALX135" s="501"/>
      <c r="ALY135" s="501"/>
      <c r="ALZ135" s="501"/>
      <c r="AMA135" s="501"/>
      <c r="AMB135" s="501"/>
      <c r="AMC135" s="501"/>
      <c r="AMD135" s="501"/>
      <c r="AME135" s="501"/>
      <c r="AMF135" s="501"/>
      <c r="AMG135" s="501"/>
      <c r="AMH135" s="501"/>
      <c r="AMI135" s="501"/>
      <c r="AMJ135" s="501"/>
      <c r="AMK135" s="501"/>
      <c r="AML135" s="501"/>
      <c r="AMM135" s="501"/>
      <c r="AMN135" s="501"/>
      <c r="AMO135" s="501"/>
      <c r="AMP135" s="501"/>
      <c r="AMQ135" s="501"/>
      <c r="AMR135" s="501"/>
      <c r="AMS135" s="501"/>
      <c r="AMT135" s="501"/>
      <c r="AMU135" s="501"/>
      <c r="AMV135" s="501"/>
      <c r="AMW135" s="501"/>
      <c r="AMX135" s="501"/>
      <c r="AMY135" s="501"/>
      <c r="AMZ135" s="501"/>
      <c r="ANA135" s="501"/>
      <c r="ANB135" s="501"/>
      <c r="ANC135" s="501"/>
      <c r="AND135" s="501"/>
      <c r="ANE135" s="501"/>
      <c r="ANF135" s="501"/>
      <c r="ANG135" s="501"/>
      <c r="ANH135" s="501"/>
      <c r="ANI135" s="501"/>
      <c r="ANJ135" s="501"/>
      <c r="ANK135" s="501"/>
      <c r="ANL135" s="501"/>
      <c r="ANM135" s="501"/>
      <c r="ANN135" s="501"/>
      <c r="ANO135" s="501"/>
      <c r="ANP135" s="501"/>
      <c r="ANQ135" s="501"/>
      <c r="ANR135" s="501"/>
      <c r="ANS135" s="501"/>
      <c r="ANT135" s="501"/>
      <c r="ANU135" s="501"/>
      <c r="ANV135" s="501"/>
      <c r="ANW135" s="501"/>
      <c r="ANX135" s="501"/>
      <c r="ANY135" s="501"/>
      <c r="ANZ135" s="501"/>
      <c r="AOA135" s="501"/>
      <c r="AOB135" s="501"/>
      <c r="AOC135" s="501"/>
      <c r="AOD135" s="501"/>
      <c r="AOE135" s="501"/>
      <c r="AOF135" s="501"/>
      <c r="AOG135" s="501"/>
      <c r="AOH135" s="501"/>
      <c r="AOI135" s="501"/>
      <c r="AOJ135" s="501"/>
      <c r="AOK135" s="501"/>
      <c r="AOL135" s="501"/>
      <c r="AOM135" s="501"/>
      <c r="AON135" s="501"/>
      <c r="AOO135" s="501"/>
      <c r="AOP135" s="501"/>
      <c r="AOQ135" s="501"/>
      <c r="AOR135" s="501"/>
      <c r="AOS135" s="501"/>
      <c r="AOT135" s="501"/>
      <c r="AOU135" s="501"/>
      <c r="AOV135" s="501"/>
      <c r="AOW135" s="501"/>
      <c r="AOX135" s="501"/>
      <c r="AOY135" s="501"/>
      <c r="AOZ135" s="501"/>
      <c r="APA135" s="501"/>
      <c r="APB135" s="501"/>
      <c r="APC135" s="501"/>
      <c r="APD135" s="501"/>
      <c r="APE135" s="501"/>
      <c r="APF135" s="501"/>
      <c r="APG135" s="501"/>
      <c r="APH135" s="501"/>
      <c r="API135" s="501"/>
      <c r="APJ135" s="501"/>
      <c r="APK135" s="501"/>
      <c r="APL135" s="501"/>
      <c r="APM135" s="501"/>
      <c r="APN135" s="501"/>
      <c r="APO135" s="501"/>
      <c r="APP135" s="501"/>
      <c r="APQ135" s="501"/>
      <c r="APR135" s="501"/>
      <c r="APS135" s="501"/>
      <c r="APT135" s="501"/>
      <c r="APU135" s="501"/>
      <c r="APV135" s="501"/>
      <c r="APW135" s="501"/>
      <c r="APX135" s="501"/>
      <c r="APY135" s="501"/>
      <c r="APZ135" s="501"/>
      <c r="AQA135" s="501"/>
      <c r="AQB135" s="501"/>
      <c r="AQC135" s="501"/>
      <c r="AQD135" s="501"/>
      <c r="AQE135" s="501"/>
      <c r="AQF135" s="501"/>
      <c r="AQG135" s="501"/>
      <c r="AQH135" s="501"/>
      <c r="AQI135" s="501"/>
      <c r="AQJ135" s="501"/>
      <c r="AQK135" s="501"/>
      <c r="AQL135" s="501"/>
      <c r="AQM135" s="501"/>
      <c r="AQN135" s="501"/>
      <c r="AQO135" s="501"/>
      <c r="AQP135" s="501"/>
      <c r="AQQ135" s="501"/>
      <c r="AQR135" s="501"/>
      <c r="AQS135" s="501"/>
      <c r="AQT135" s="501"/>
      <c r="AQU135" s="501"/>
      <c r="AQV135" s="501"/>
      <c r="AQW135" s="501"/>
      <c r="AQX135" s="501"/>
      <c r="AQY135" s="501"/>
      <c r="AQZ135" s="501"/>
      <c r="ARA135" s="501"/>
      <c r="ARB135" s="501"/>
      <c r="ARC135" s="501"/>
      <c r="ARD135" s="501"/>
      <c r="ARE135" s="501"/>
      <c r="ARF135" s="501"/>
      <c r="ARG135" s="501"/>
      <c r="ARH135" s="501"/>
      <c r="ARI135" s="501"/>
      <c r="ARJ135" s="501"/>
      <c r="ARK135" s="501"/>
      <c r="ARL135" s="501"/>
      <c r="ARM135" s="501"/>
      <c r="ARN135" s="501"/>
      <c r="ARO135" s="501"/>
      <c r="ARP135" s="501"/>
      <c r="ARQ135" s="501"/>
      <c r="ARR135" s="501"/>
      <c r="ARS135" s="501"/>
      <c r="ART135" s="501"/>
      <c r="ARU135" s="501"/>
      <c r="ARV135" s="501"/>
      <c r="ARW135" s="501"/>
      <c r="ARX135" s="501"/>
      <c r="ARY135" s="501"/>
      <c r="ARZ135" s="501"/>
      <c r="ASA135" s="501"/>
      <c r="ASB135" s="501"/>
      <c r="ASC135" s="501"/>
      <c r="ASD135" s="501"/>
      <c r="ASE135" s="501"/>
      <c r="ASF135" s="501"/>
      <c r="ASG135" s="501"/>
      <c r="ASH135" s="501"/>
      <c r="ASI135" s="501"/>
      <c r="ASJ135" s="501"/>
      <c r="ASK135" s="501"/>
      <c r="ASL135" s="501"/>
      <c r="ASM135" s="501"/>
      <c r="ASN135" s="501"/>
      <c r="ASO135" s="501"/>
      <c r="ASP135" s="501"/>
      <c r="ASQ135" s="501"/>
      <c r="ASR135" s="501"/>
      <c r="ASS135" s="501"/>
      <c r="AST135" s="501"/>
      <c r="ASU135" s="501"/>
      <c r="ASV135" s="501"/>
      <c r="ASW135" s="501"/>
      <c r="ASX135" s="501"/>
      <c r="ASY135" s="501"/>
      <c r="ASZ135" s="501"/>
      <c r="ATA135" s="501"/>
      <c r="ATB135" s="501"/>
      <c r="ATC135" s="501"/>
      <c r="ATD135" s="501"/>
      <c r="ATE135" s="501"/>
      <c r="ATF135" s="501"/>
      <c r="ATG135" s="501"/>
      <c r="ATH135" s="501"/>
      <c r="ATI135" s="501"/>
      <c r="ATJ135" s="501"/>
      <c r="ATK135" s="501"/>
      <c r="ATL135" s="501"/>
      <c r="ATM135" s="501"/>
      <c r="ATN135" s="501"/>
      <c r="ATO135" s="501"/>
      <c r="ATP135" s="501"/>
      <c r="ATQ135" s="501"/>
      <c r="ATR135" s="501"/>
      <c r="ATS135" s="501"/>
      <c r="ATT135" s="501"/>
      <c r="ATU135" s="501"/>
      <c r="ATV135" s="501"/>
      <c r="ATW135" s="501"/>
      <c r="ATX135" s="501"/>
      <c r="ATY135" s="501"/>
      <c r="ATZ135" s="501"/>
      <c r="AUA135" s="501"/>
      <c r="AUB135" s="501"/>
      <c r="AUC135" s="501"/>
      <c r="AUD135" s="501"/>
      <c r="AUE135" s="501"/>
      <c r="AUF135" s="501"/>
      <c r="AUG135" s="501"/>
      <c r="AUH135" s="501"/>
      <c r="AUI135" s="501"/>
      <c r="AUJ135" s="501"/>
      <c r="AUK135" s="501"/>
      <c r="AUL135" s="501"/>
      <c r="AUM135" s="501"/>
      <c r="AUN135" s="501"/>
      <c r="AUO135" s="501"/>
      <c r="AUP135" s="501"/>
      <c r="AUQ135" s="501"/>
      <c r="AUR135" s="501"/>
      <c r="AUS135" s="501"/>
      <c r="AUT135" s="501"/>
      <c r="AUU135" s="501"/>
      <c r="AUV135" s="501"/>
      <c r="AUW135" s="501"/>
      <c r="AUX135" s="501"/>
      <c r="AUY135" s="501"/>
      <c r="AUZ135" s="501"/>
      <c r="AVA135" s="501"/>
      <c r="AVB135" s="501"/>
      <c r="AVC135" s="501"/>
      <c r="AVD135" s="501"/>
      <c r="AVE135" s="501"/>
      <c r="AVF135" s="501"/>
      <c r="AVG135" s="501"/>
      <c r="AVH135" s="501"/>
      <c r="AVI135" s="501"/>
      <c r="AVJ135" s="501"/>
      <c r="AVK135" s="501"/>
      <c r="AVL135" s="501"/>
      <c r="AVM135" s="501"/>
      <c r="AVN135" s="501"/>
      <c r="AVO135" s="501"/>
      <c r="AVP135" s="501"/>
      <c r="AVQ135" s="501"/>
      <c r="AVR135" s="501"/>
      <c r="AVS135" s="501"/>
      <c r="AVT135" s="501"/>
      <c r="AVU135" s="501"/>
      <c r="AVV135" s="501"/>
      <c r="AVW135" s="501"/>
      <c r="AVX135" s="501"/>
      <c r="AVY135" s="501"/>
      <c r="AVZ135" s="501"/>
      <c r="AWA135" s="501"/>
      <c r="AWB135" s="501"/>
      <c r="AWC135" s="501"/>
      <c r="AWD135" s="501"/>
      <c r="AWE135" s="501"/>
      <c r="AWF135" s="501"/>
    </row>
    <row r="136" spans="1:1280" s="278" customFormat="1" ht="16.2">
      <c r="A136" s="761" t="s">
        <v>762</v>
      </c>
      <c r="B136" s="759" t="s">
        <v>628</v>
      </c>
      <c r="C136" s="760"/>
      <c r="D136" s="761">
        <v>93382</v>
      </c>
      <c r="E136" s="762" t="s">
        <v>1528</v>
      </c>
      <c r="F136" s="761" t="s">
        <v>704</v>
      </c>
      <c r="G136" s="756">
        <v>919</v>
      </c>
      <c r="H136" s="756">
        <v>17.29</v>
      </c>
      <c r="I136" s="756">
        <f t="shared" si="23"/>
        <v>21.6</v>
      </c>
      <c r="J136" s="756">
        <f t="shared" si="24"/>
        <v>19850.400000000001</v>
      </c>
      <c r="K136" s="873"/>
      <c r="L136" s="501"/>
      <c r="M136" s="730"/>
      <c r="N136" s="631"/>
      <c r="O136" s="408"/>
      <c r="P136" s="501"/>
      <c r="Q136" s="501"/>
      <c r="R136" s="501"/>
      <c r="S136" s="501"/>
      <c r="T136" s="501"/>
      <c r="U136" s="501"/>
      <c r="V136" s="501"/>
      <c r="W136" s="501"/>
      <c r="X136" s="501"/>
      <c r="Y136" s="501"/>
      <c r="Z136" s="501"/>
      <c r="AA136" s="501"/>
      <c r="AB136" s="501"/>
      <c r="AC136" s="501"/>
      <c r="AD136" s="501"/>
      <c r="AE136" s="501"/>
      <c r="AF136" s="501"/>
      <c r="AG136" s="501"/>
      <c r="AH136" s="501"/>
      <c r="AI136" s="501"/>
      <c r="AJ136" s="501"/>
      <c r="AK136" s="501"/>
      <c r="AL136" s="501"/>
      <c r="AM136" s="501"/>
      <c r="AN136" s="501"/>
      <c r="AO136" s="501"/>
      <c r="AP136" s="501"/>
      <c r="AQ136" s="501"/>
      <c r="AR136" s="501"/>
      <c r="AS136" s="501"/>
      <c r="AT136" s="501"/>
      <c r="AU136" s="501"/>
      <c r="AV136" s="501"/>
      <c r="AW136" s="501"/>
      <c r="AX136" s="501"/>
      <c r="AY136" s="501"/>
      <c r="AZ136" s="501"/>
      <c r="BA136" s="501"/>
      <c r="BB136" s="501"/>
      <c r="BC136" s="501"/>
      <c r="BD136" s="501"/>
      <c r="BE136" s="501"/>
      <c r="BF136" s="501"/>
      <c r="BG136" s="501"/>
      <c r="BH136" s="501"/>
      <c r="BI136" s="501"/>
      <c r="BJ136" s="501"/>
      <c r="BK136" s="501"/>
      <c r="BL136" s="501"/>
      <c r="BM136" s="501"/>
      <c r="BN136" s="501"/>
      <c r="BO136" s="501"/>
      <c r="BP136" s="501"/>
      <c r="BQ136" s="501"/>
      <c r="BR136" s="501"/>
      <c r="BS136" s="501"/>
      <c r="BT136" s="501"/>
      <c r="BU136" s="501"/>
      <c r="BV136" s="501"/>
      <c r="BW136" s="501"/>
      <c r="BX136" s="501"/>
      <c r="BY136" s="501"/>
      <c r="BZ136" s="501"/>
      <c r="CA136" s="501"/>
      <c r="CB136" s="501"/>
      <c r="CC136" s="501"/>
      <c r="CD136" s="501"/>
      <c r="CE136" s="501"/>
      <c r="CF136" s="501"/>
      <c r="CG136" s="501"/>
      <c r="CH136" s="501"/>
      <c r="CI136" s="501"/>
      <c r="CJ136" s="501"/>
      <c r="CK136" s="501"/>
      <c r="CL136" s="501"/>
      <c r="CM136" s="501"/>
      <c r="CN136" s="501"/>
      <c r="CO136" s="501"/>
      <c r="CP136" s="501"/>
      <c r="CQ136" s="501"/>
      <c r="CR136" s="501"/>
      <c r="CS136" s="501"/>
      <c r="CT136" s="501"/>
      <c r="CU136" s="501"/>
      <c r="CV136" s="501"/>
      <c r="CW136" s="501"/>
      <c r="CX136" s="501"/>
      <c r="CY136" s="501"/>
      <c r="CZ136" s="501"/>
      <c r="DA136" s="501"/>
      <c r="DB136" s="501"/>
      <c r="DC136" s="501"/>
      <c r="DD136" s="501"/>
      <c r="DE136" s="501"/>
      <c r="DF136" s="501"/>
      <c r="DG136" s="501"/>
      <c r="DH136" s="501"/>
      <c r="DI136" s="501"/>
      <c r="DJ136" s="501"/>
      <c r="DK136" s="501"/>
      <c r="DL136" s="501"/>
      <c r="DM136" s="501"/>
      <c r="DN136" s="501"/>
      <c r="DO136" s="501"/>
      <c r="DP136" s="501"/>
      <c r="DQ136" s="501"/>
      <c r="DR136" s="501"/>
      <c r="DS136" s="501"/>
      <c r="DT136" s="501"/>
      <c r="DU136" s="501"/>
      <c r="DV136" s="501"/>
      <c r="DW136" s="501"/>
      <c r="DX136" s="501"/>
      <c r="DY136" s="501"/>
      <c r="DZ136" s="501"/>
      <c r="EA136" s="501"/>
      <c r="EB136" s="501"/>
      <c r="EC136" s="501"/>
      <c r="ED136" s="501"/>
      <c r="EE136" s="501"/>
      <c r="EF136" s="501"/>
      <c r="EG136" s="501"/>
      <c r="EH136" s="501"/>
      <c r="EI136" s="501"/>
      <c r="EJ136" s="501"/>
      <c r="EK136" s="501"/>
      <c r="EL136" s="501"/>
      <c r="EM136" s="501"/>
      <c r="EN136" s="501"/>
      <c r="EO136" s="501"/>
      <c r="EP136" s="501"/>
      <c r="EQ136" s="501"/>
      <c r="ER136" s="501"/>
      <c r="ES136" s="501"/>
      <c r="ET136" s="501"/>
      <c r="EU136" s="501"/>
      <c r="EV136" s="501"/>
      <c r="EW136" s="501"/>
      <c r="EX136" s="501"/>
      <c r="EY136" s="501"/>
      <c r="EZ136" s="501"/>
      <c r="FA136" s="501"/>
      <c r="FB136" s="501"/>
      <c r="FC136" s="501"/>
      <c r="FD136" s="501"/>
      <c r="FE136" s="501"/>
      <c r="FF136" s="501"/>
      <c r="FG136" s="501"/>
      <c r="FH136" s="501"/>
      <c r="FI136" s="501"/>
      <c r="FJ136" s="501"/>
      <c r="FK136" s="501"/>
      <c r="FL136" s="501"/>
      <c r="FM136" s="501"/>
      <c r="FN136" s="501"/>
      <c r="FO136" s="501"/>
      <c r="FP136" s="501"/>
      <c r="FQ136" s="501"/>
      <c r="FR136" s="501"/>
      <c r="FS136" s="501"/>
      <c r="FT136" s="501"/>
      <c r="FU136" s="501"/>
      <c r="FV136" s="501"/>
      <c r="FW136" s="501"/>
      <c r="FX136" s="501"/>
      <c r="FY136" s="501"/>
      <c r="FZ136" s="501"/>
      <c r="GA136" s="501"/>
      <c r="GB136" s="501"/>
      <c r="GC136" s="501"/>
      <c r="GD136" s="501"/>
      <c r="GE136" s="501"/>
      <c r="GF136" s="501"/>
      <c r="GG136" s="501"/>
      <c r="GH136" s="501"/>
      <c r="GI136" s="501"/>
      <c r="GJ136" s="501"/>
      <c r="GK136" s="501"/>
      <c r="GL136" s="501"/>
      <c r="GM136" s="501"/>
      <c r="GN136" s="501"/>
      <c r="GO136" s="501"/>
      <c r="GP136" s="501"/>
      <c r="GQ136" s="501"/>
      <c r="GR136" s="501"/>
      <c r="GS136" s="501"/>
      <c r="GT136" s="501"/>
      <c r="GU136" s="501"/>
      <c r="GV136" s="501"/>
      <c r="GW136" s="501"/>
      <c r="GX136" s="501"/>
      <c r="GY136" s="501"/>
      <c r="GZ136" s="501"/>
      <c r="HA136" s="501"/>
      <c r="HB136" s="501"/>
      <c r="HC136" s="501"/>
      <c r="HD136" s="501"/>
      <c r="HE136" s="501"/>
      <c r="HF136" s="501"/>
      <c r="HG136" s="501"/>
      <c r="HH136" s="501"/>
      <c r="HI136" s="501"/>
      <c r="HJ136" s="501"/>
      <c r="HK136" s="501"/>
      <c r="HL136" s="501"/>
      <c r="HM136" s="501"/>
      <c r="HN136" s="501"/>
      <c r="HO136" s="501"/>
      <c r="HP136" s="501"/>
      <c r="HQ136" s="501"/>
      <c r="HR136" s="501"/>
      <c r="HS136" s="501"/>
      <c r="HT136" s="501"/>
      <c r="HU136" s="501"/>
      <c r="HV136" s="501"/>
      <c r="HW136" s="501"/>
      <c r="HX136" s="501"/>
      <c r="HY136" s="501"/>
      <c r="HZ136" s="501"/>
      <c r="IA136" s="501"/>
      <c r="IB136" s="501"/>
      <c r="IC136" s="501"/>
      <c r="ID136" s="501"/>
      <c r="IE136" s="501"/>
      <c r="IF136" s="501"/>
      <c r="IG136" s="501"/>
      <c r="IH136" s="501"/>
      <c r="II136" s="501"/>
      <c r="IJ136" s="501"/>
      <c r="IK136" s="501"/>
      <c r="IL136" s="501"/>
      <c r="IM136" s="501"/>
      <c r="IN136" s="501"/>
      <c r="IO136" s="501"/>
      <c r="IP136" s="501"/>
      <c r="IQ136" s="501"/>
      <c r="IR136" s="501"/>
      <c r="IS136" s="501"/>
      <c r="IT136" s="501"/>
      <c r="IU136" s="501"/>
      <c r="IV136" s="501"/>
      <c r="IW136" s="501"/>
      <c r="IX136" s="501"/>
      <c r="IY136" s="501"/>
      <c r="IZ136" s="501"/>
      <c r="JA136" s="501"/>
      <c r="JB136" s="501"/>
      <c r="JC136" s="501"/>
      <c r="JD136" s="501"/>
      <c r="JE136" s="501"/>
      <c r="JF136" s="501"/>
      <c r="JG136" s="501"/>
      <c r="JH136" s="501"/>
      <c r="JI136" s="501"/>
      <c r="JJ136" s="501"/>
      <c r="JK136" s="501"/>
      <c r="JL136" s="501"/>
      <c r="JM136" s="501"/>
      <c r="JN136" s="501"/>
      <c r="JO136" s="501"/>
      <c r="JP136" s="501"/>
      <c r="JQ136" s="501"/>
      <c r="JR136" s="501"/>
      <c r="JS136" s="501"/>
      <c r="JT136" s="501"/>
      <c r="JU136" s="501"/>
      <c r="JV136" s="501"/>
      <c r="JW136" s="501"/>
      <c r="JX136" s="501"/>
      <c r="JY136" s="501"/>
      <c r="JZ136" s="501"/>
      <c r="KA136" s="501"/>
      <c r="KB136" s="501"/>
      <c r="KC136" s="501"/>
      <c r="KD136" s="501"/>
      <c r="KE136" s="501"/>
      <c r="KF136" s="501"/>
      <c r="KG136" s="501"/>
      <c r="KH136" s="501"/>
      <c r="KI136" s="501"/>
      <c r="KJ136" s="501"/>
      <c r="KK136" s="501"/>
      <c r="KL136" s="501"/>
      <c r="KM136" s="501"/>
      <c r="KN136" s="501"/>
      <c r="KO136" s="501"/>
      <c r="KP136" s="501"/>
      <c r="KQ136" s="501"/>
      <c r="KR136" s="501"/>
      <c r="KS136" s="501"/>
      <c r="KT136" s="501"/>
      <c r="KU136" s="501"/>
      <c r="KV136" s="501"/>
      <c r="KW136" s="501"/>
      <c r="KX136" s="501"/>
      <c r="KY136" s="501"/>
      <c r="KZ136" s="501"/>
      <c r="LA136" s="501"/>
      <c r="LB136" s="501"/>
      <c r="LC136" s="501"/>
      <c r="LD136" s="501"/>
      <c r="LE136" s="501"/>
      <c r="LF136" s="501"/>
      <c r="LG136" s="501"/>
      <c r="LH136" s="501"/>
      <c r="LI136" s="501"/>
      <c r="LJ136" s="501"/>
      <c r="LK136" s="501"/>
      <c r="LL136" s="501"/>
      <c r="LM136" s="501"/>
      <c r="LN136" s="501"/>
      <c r="LO136" s="501"/>
      <c r="LP136" s="501"/>
      <c r="LQ136" s="501"/>
      <c r="LR136" s="501"/>
      <c r="LS136" s="501"/>
      <c r="LT136" s="501"/>
      <c r="LU136" s="501"/>
      <c r="LV136" s="501"/>
      <c r="LW136" s="501"/>
      <c r="LX136" s="501"/>
      <c r="LY136" s="501"/>
      <c r="LZ136" s="501"/>
      <c r="MA136" s="501"/>
      <c r="MB136" s="501"/>
      <c r="MC136" s="501"/>
      <c r="MD136" s="501"/>
      <c r="ME136" s="501"/>
      <c r="MF136" s="501"/>
      <c r="MG136" s="501"/>
      <c r="MH136" s="501"/>
      <c r="MI136" s="501"/>
      <c r="MJ136" s="501"/>
      <c r="MK136" s="501"/>
      <c r="ML136" s="501"/>
      <c r="MM136" s="501"/>
      <c r="MN136" s="501"/>
      <c r="MO136" s="501"/>
      <c r="MP136" s="501"/>
      <c r="MQ136" s="501"/>
      <c r="MR136" s="501"/>
      <c r="MS136" s="501"/>
      <c r="MT136" s="501"/>
      <c r="MU136" s="501"/>
      <c r="MV136" s="501"/>
      <c r="MW136" s="501"/>
      <c r="MX136" s="501"/>
      <c r="MY136" s="501"/>
      <c r="MZ136" s="501"/>
      <c r="NA136" s="501"/>
      <c r="NB136" s="501"/>
      <c r="NC136" s="501"/>
      <c r="ND136" s="501"/>
      <c r="NE136" s="501"/>
      <c r="NF136" s="501"/>
      <c r="NG136" s="501"/>
      <c r="NH136" s="501"/>
      <c r="NI136" s="501"/>
      <c r="NJ136" s="501"/>
      <c r="NK136" s="501"/>
      <c r="NL136" s="501"/>
      <c r="NM136" s="501"/>
      <c r="NN136" s="501"/>
      <c r="NO136" s="501"/>
      <c r="NP136" s="501"/>
      <c r="NQ136" s="501"/>
      <c r="NR136" s="501"/>
      <c r="NS136" s="501"/>
      <c r="NT136" s="501"/>
      <c r="NU136" s="501"/>
      <c r="NV136" s="501"/>
      <c r="NW136" s="501"/>
      <c r="NX136" s="501"/>
      <c r="NY136" s="501"/>
      <c r="NZ136" s="501"/>
      <c r="OA136" s="501"/>
      <c r="OB136" s="501"/>
      <c r="OC136" s="501"/>
      <c r="OD136" s="501"/>
      <c r="OE136" s="501"/>
      <c r="OF136" s="501"/>
      <c r="OG136" s="501"/>
      <c r="OH136" s="501"/>
      <c r="OI136" s="501"/>
      <c r="OJ136" s="501"/>
      <c r="OK136" s="501"/>
      <c r="OL136" s="501"/>
      <c r="OM136" s="501"/>
      <c r="ON136" s="501"/>
      <c r="OO136" s="501"/>
      <c r="OP136" s="501"/>
      <c r="OQ136" s="501"/>
      <c r="OR136" s="501"/>
      <c r="OS136" s="501"/>
      <c r="OT136" s="501"/>
      <c r="OU136" s="501"/>
      <c r="OV136" s="501"/>
      <c r="OW136" s="501"/>
      <c r="OX136" s="501"/>
      <c r="OY136" s="501"/>
      <c r="OZ136" s="501"/>
      <c r="PA136" s="501"/>
      <c r="PB136" s="501"/>
      <c r="PC136" s="501"/>
      <c r="PD136" s="501"/>
      <c r="PE136" s="501"/>
      <c r="PF136" s="501"/>
      <c r="PG136" s="501"/>
      <c r="PH136" s="501"/>
      <c r="PI136" s="501"/>
      <c r="PJ136" s="501"/>
      <c r="PK136" s="501"/>
      <c r="PL136" s="501"/>
      <c r="PM136" s="501"/>
      <c r="PN136" s="501"/>
      <c r="PO136" s="501"/>
      <c r="PP136" s="501"/>
      <c r="PQ136" s="501"/>
      <c r="PR136" s="501"/>
      <c r="PS136" s="501"/>
      <c r="PT136" s="501"/>
      <c r="PU136" s="501"/>
      <c r="PV136" s="501"/>
      <c r="PW136" s="501"/>
      <c r="PX136" s="501"/>
      <c r="PY136" s="501"/>
      <c r="PZ136" s="501"/>
      <c r="QA136" s="501"/>
      <c r="QB136" s="501"/>
      <c r="QC136" s="501"/>
      <c r="QD136" s="501"/>
      <c r="QE136" s="501"/>
      <c r="QF136" s="501"/>
      <c r="QG136" s="501"/>
      <c r="QH136" s="501"/>
      <c r="QI136" s="501"/>
      <c r="QJ136" s="501"/>
      <c r="QK136" s="501"/>
      <c r="QL136" s="501"/>
      <c r="QM136" s="501"/>
      <c r="QN136" s="501"/>
      <c r="QO136" s="501"/>
      <c r="QP136" s="501"/>
      <c r="QQ136" s="501"/>
      <c r="QR136" s="501"/>
      <c r="QS136" s="501"/>
      <c r="QT136" s="501"/>
      <c r="QU136" s="501"/>
      <c r="QV136" s="501"/>
      <c r="QW136" s="501"/>
      <c r="QX136" s="501"/>
      <c r="QY136" s="501"/>
      <c r="QZ136" s="501"/>
      <c r="RA136" s="501"/>
      <c r="RB136" s="501"/>
      <c r="RC136" s="501"/>
      <c r="RD136" s="501"/>
      <c r="RE136" s="501"/>
      <c r="RF136" s="501"/>
      <c r="RG136" s="501"/>
      <c r="RH136" s="501"/>
      <c r="RI136" s="501"/>
      <c r="RJ136" s="501"/>
      <c r="RK136" s="501"/>
      <c r="RL136" s="501"/>
      <c r="RM136" s="501"/>
      <c r="RN136" s="501"/>
      <c r="RO136" s="501"/>
      <c r="RP136" s="501"/>
      <c r="RQ136" s="501"/>
      <c r="RR136" s="501"/>
      <c r="RS136" s="501"/>
      <c r="RT136" s="501"/>
      <c r="RU136" s="501"/>
      <c r="RV136" s="501"/>
      <c r="RW136" s="501"/>
      <c r="RX136" s="501"/>
      <c r="RY136" s="501"/>
      <c r="RZ136" s="501"/>
      <c r="SA136" s="501"/>
      <c r="SB136" s="501"/>
      <c r="SC136" s="501"/>
      <c r="SD136" s="501"/>
      <c r="SE136" s="501"/>
      <c r="SF136" s="501"/>
      <c r="SG136" s="501"/>
      <c r="SH136" s="501"/>
      <c r="SI136" s="501"/>
      <c r="SJ136" s="501"/>
      <c r="SK136" s="501"/>
      <c r="SL136" s="501"/>
      <c r="SM136" s="501"/>
      <c r="SN136" s="501"/>
      <c r="SO136" s="501"/>
      <c r="SP136" s="501"/>
      <c r="SQ136" s="501"/>
      <c r="SR136" s="501"/>
      <c r="SS136" s="501"/>
      <c r="ST136" s="501"/>
      <c r="SU136" s="501"/>
      <c r="SV136" s="501"/>
      <c r="SW136" s="501"/>
      <c r="SX136" s="501"/>
      <c r="SY136" s="501"/>
      <c r="SZ136" s="501"/>
      <c r="TA136" s="501"/>
      <c r="TB136" s="501"/>
      <c r="TC136" s="501"/>
      <c r="TD136" s="501"/>
      <c r="TE136" s="501"/>
      <c r="TF136" s="501"/>
      <c r="TG136" s="501"/>
      <c r="TH136" s="501"/>
      <c r="TI136" s="501"/>
      <c r="TJ136" s="501"/>
      <c r="TK136" s="501"/>
      <c r="TL136" s="501"/>
      <c r="TM136" s="501"/>
      <c r="TN136" s="501"/>
      <c r="TO136" s="501"/>
      <c r="TP136" s="501"/>
      <c r="TQ136" s="501"/>
      <c r="TR136" s="501"/>
      <c r="TS136" s="501"/>
      <c r="TT136" s="501"/>
      <c r="TU136" s="501"/>
      <c r="TV136" s="501"/>
      <c r="TW136" s="501"/>
      <c r="TX136" s="501"/>
      <c r="TY136" s="501"/>
      <c r="TZ136" s="501"/>
      <c r="UA136" s="501"/>
      <c r="UB136" s="501"/>
      <c r="UC136" s="501"/>
      <c r="UD136" s="501"/>
      <c r="UE136" s="501"/>
      <c r="UF136" s="501"/>
      <c r="UG136" s="501"/>
      <c r="UH136" s="501"/>
      <c r="UI136" s="501"/>
      <c r="UJ136" s="501"/>
      <c r="UK136" s="501"/>
      <c r="UL136" s="501"/>
      <c r="UM136" s="501"/>
      <c r="UN136" s="501"/>
      <c r="UO136" s="501"/>
      <c r="UP136" s="501"/>
      <c r="UQ136" s="501"/>
      <c r="UR136" s="501"/>
      <c r="US136" s="501"/>
      <c r="UT136" s="501"/>
      <c r="UU136" s="501"/>
      <c r="UV136" s="501"/>
      <c r="UW136" s="501"/>
      <c r="UX136" s="501"/>
      <c r="UY136" s="501"/>
      <c r="UZ136" s="501"/>
      <c r="VA136" s="501"/>
      <c r="VB136" s="501"/>
      <c r="VC136" s="501"/>
      <c r="VD136" s="501"/>
      <c r="VE136" s="501"/>
      <c r="VF136" s="501"/>
      <c r="VG136" s="501"/>
      <c r="VH136" s="501"/>
      <c r="VI136" s="501"/>
      <c r="VJ136" s="501"/>
      <c r="VK136" s="501"/>
      <c r="VL136" s="501"/>
      <c r="VM136" s="501"/>
      <c r="VN136" s="501"/>
      <c r="VO136" s="501"/>
      <c r="VP136" s="501"/>
      <c r="VQ136" s="501"/>
      <c r="VR136" s="501"/>
      <c r="VS136" s="501"/>
      <c r="VT136" s="501"/>
      <c r="VU136" s="501"/>
      <c r="VV136" s="501"/>
      <c r="VW136" s="501"/>
      <c r="VX136" s="501"/>
      <c r="VY136" s="501"/>
      <c r="VZ136" s="501"/>
      <c r="WA136" s="501"/>
      <c r="WB136" s="501"/>
      <c r="WC136" s="501"/>
      <c r="WD136" s="501"/>
      <c r="WE136" s="501"/>
      <c r="WF136" s="501"/>
      <c r="WG136" s="501"/>
      <c r="WH136" s="501"/>
      <c r="WI136" s="501"/>
      <c r="WJ136" s="501"/>
      <c r="WK136" s="501"/>
      <c r="WL136" s="501"/>
      <c r="WM136" s="501"/>
      <c r="WN136" s="501"/>
      <c r="WO136" s="501"/>
      <c r="WP136" s="501"/>
      <c r="WQ136" s="501"/>
      <c r="WR136" s="501"/>
      <c r="WS136" s="501"/>
      <c r="WT136" s="501"/>
      <c r="WU136" s="501"/>
      <c r="WV136" s="501"/>
      <c r="WW136" s="501"/>
      <c r="WX136" s="501"/>
      <c r="WY136" s="501"/>
      <c r="WZ136" s="501"/>
      <c r="XA136" s="501"/>
      <c r="XB136" s="501"/>
      <c r="XC136" s="501"/>
      <c r="XD136" s="501"/>
      <c r="XE136" s="501"/>
      <c r="XF136" s="501"/>
      <c r="XG136" s="501"/>
      <c r="XH136" s="501"/>
      <c r="XI136" s="501"/>
      <c r="XJ136" s="501"/>
      <c r="XK136" s="501"/>
      <c r="XL136" s="501"/>
      <c r="XM136" s="501"/>
      <c r="XN136" s="501"/>
      <c r="XO136" s="501"/>
      <c r="XP136" s="501"/>
      <c r="XQ136" s="501"/>
      <c r="XR136" s="501"/>
      <c r="XS136" s="501"/>
      <c r="XT136" s="501"/>
      <c r="XU136" s="501"/>
      <c r="XV136" s="501"/>
      <c r="XW136" s="501"/>
      <c r="XX136" s="501"/>
      <c r="XY136" s="501"/>
      <c r="XZ136" s="501"/>
      <c r="YA136" s="501"/>
      <c r="YB136" s="501"/>
      <c r="YC136" s="501"/>
      <c r="YD136" s="501"/>
      <c r="YE136" s="501"/>
      <c r="YF136" s="501"/>
      <c r="YG136" s="501"/>
      <c r="YH136" s="501"/>
      <c r="YI136" s="501"/>
      <c r="YJ136" s="501"/>
      <c r="YK136" s="501"/>
      <c r="YL136" s="501"/>
      <c r="YM136" s="501"/>
      <c r="YN136" s="501"/>
      <c r="YO136" s="501"/>
      <c r="YP136" s="501"/>
      <c r="YQ136" s="501"/>
      <c r="YR136" s="501"/>
      <c r="YS136" s="501"/>
      <c r="YT136" s="501"/>
      <c r="YU136" s="501"/>
      <c r="YV136" s="501"/>
      <c r="YW136" s="501"/>
      <c r="YX136" s="501"/>
      <c r="YY136" s="501"/>
      <c r="YZ136" s="501"/>
      <c r="ZA136" s="501"/>
      <c r="ZB136" s="501"/>
      <c r="ZC136" s="501"/>
      <c r="ZD136" s="501"/>
      <c r="ZE136" s="501"/>
      <c r="ZF136" s="501"/>
      <c r="ZG136" s="501"/>
      <c r="ZH136" s="501"/>
      <c r="ZI136" s="501"/>
      <c r="ZJ136" s="501"/>
      <c r="ZK136" s="501"/>
      <c r="ZL136" s="501"/>
      <c r="ZM136" s="501"/>
      <c r="ZN136" s="501"/>
      <c r="ZO136" s="501"/>
      <c r="ZP136" s="501"/>
      <c r="ZQ136" s="501"/>
      <c r="ZR136" s="501"/>
      <c r="ZS136" s="501"/>
      <c r="ZT136" s="501"/>
      <c r="ZU136" s="501"/>
      <c r="ZV136" s="501"/>
      <c r="ZW136" s="501"/>
      <c r="ZX136" s="501"/>
      <c r="ZY136" s="501"/>
      <c r="ZZ136" s="501"/>
      <c r="AAA136" s="501"/>
      <c r="AAB136" s="501"/>
      <c r="AAC136" s="501"/>
      <c r="AAD136" s="501"/>
      <c r="AAE136" s="501"/>
      <c r="AAF136" s="501"/>
      <c r="AAG136" s="501"/>
      <c r="AAH136" s="501"/>
      <c r="AAI136" s="501"/>
      <c r="AAJ136" s="501"/>
      <c r="AAK136" s="501"/>
      <c r="AAL136" s="501"/>
      <c r="AAM136" s="501"/>
      <c r="AAN136" s="501"/>
      <c r="AAO136" s="501"/>
      <c r="AAP136" s="501"/>
      <c r="AAQ136" s="501"/>
      <c r="AAR136" s="501"/>
      <c r="AAS136" s="501"/>
      <c r="AAT136" s="501"/>
      <c r="AAU136" s="501"/>
      <c r="AAV136" s="501"/>
      <c r="AAW136" s="501"/>
      <c r="AAX136" s="501"/>
      <c r="AAY136" s="501"/>
      <c r="AAZ136" s="501"/>
      <c r="ABA136" s="501"/>
      <c r="ABB136" s="501"/>
      <c r="ABC136" s="501"/>
      <c r="ABD136" s="501"/>
      <c r="ABE136" s="501"/>
      <c r="ABF136" s="501"/>
      <c r="ABG136" s="501"/>
      <c r="ABH136" s="501"/>
      <c r="ABI136" s="501"/>
      <c r="ABJ136" s="501"/>
      <c r="ABK136" s="501"/>
      <c r="ABL136" s="501"/>
      <c r="ABM136" s="501"/>
      <c r="ABN136" s="501"/>
      <c r="ABO136" s="501"/>
      <c r="ABP136" s="501"/>
      <c r="ABQ136" s="501"/>
      <c r="ABR136" s="501"/>
      <c r="ABS136" s="501"/>
      <c r="ABT136" s="501"/>
      <c r="ABU136" s="501"/>
      <c r="ABV136" s="501"/>
      <c r="ABW136" s="501"/>
      <c r="ABX136" s="501"/>
      <c r="ABY136" s="501"/>
      <c r="ABZ136" s="501"/>
      <c r="ACA136" s="501"/>
      <c r="ACB136" s="501"/>
      <c r="ACC136" s="501"/>
      <c r="ACD136" s="501"/>
      <c r="ACE136" s="501"/>
      <c r="ACF136" s="501"/>
      <c r="ACG136" s="501"/>
      <c r="ACH136" s="501"/>
      <c r="ACI136" s="501"/>
      <c r="ACJ136" s="501"/>
      <c r="ACK136" s="501"/>
      <c r="ACL136" s="501"/>
      <c r="ACM136" s="501"/>
      <c r="ACN136" s="501"/>
      <c r="ACO136" s="501"/>
      <c r="ACP136" s="501"/>
      <c r="ACQ136" s="501"/>
      <c r="ACR136" s="501"/>
      <c r="ACS136" s="501"/>
      <c r="ACT136" s="501"/>
      <c r="ACU136" s="501"/>
      <c r="ACV136" s="501"/>
      <c r="ACW136" s="501"/>
      <c r="ACX136" s="501"/>
      <c r="ACY136" s="501"/>
      <c r="ACZ136" s="501"/>
      <c r="ADA136" s="501"/>
      <c r="ADB136" s="501"/>
      <c r="ADC136" s="501"/>
      <c r="ADD136" s="501"/>
      <c r="ADE136" s="501"/>
      <c r="ADF136" s="501"/>
      <c r="ADG136" s="501"/>
      <c r="ADH136" s="501"/>
      <c r="ADI136" s="501"/>
      <c r="ADJ136" s="501"/>
      <c r="ADK136" s="501"/>
      <c r="ADL136" s="501"/>
      <c r="ADM136" s="501"/>
      <c r="ADN136" s="501"/>
      <c r="ADO136" s="501"/>
      <c r="ADP136" s="501"/>
      <c r="ADQ136" s="501"/>
      <c r="ADR136" s="501"/>
      <c r="ADS136" s="501"/>
      <c r="ADT136" s="501"/>
      <c r="ADU136" s="501"/>
      <c r="ADV136" s="501"/>
      <c r="ADW136" s="501"/>
      <c r="ADX136" s="501"/>
      <c r="ADY136" s="501"/>
      <c r="ADZ136" s="501"/>
      <c r="AEA136" s="501"/>
      <c r="AEB136" s="501"/>
      <c r="AEC136" s="501"/>
      <c r="AED136" s="501"/>
      <c r="AEE136" s="501"/>
      <c r="AEF136" s="501"/>
      <c r="AEG136" s="501"/>
      <c r="AEH136" s="501"/>
      <c r="AEI136" s="501"/>
      <c r="AEJ136" s="501"/>
      <c r="AEK136" s="501"/>
      <c r="AEL136" s="501"/>
      <c r="AEM136" s="501"/>
      <c r="AEN136" s="501"/>
      <c r="AEO136" s="501"/>
      <c r="AEP136" s="501"/>
      <c r="AEQ136" s="501"/>
      <c r="AER136" s="501"/>
      <c r="AES136" s="501"/>
      <c r="AET136" s="501"/>
      <c r="AEU136" s="501"/>
      <c r="AEV136" s="501"/>
      <c r="AEW136" s="501"/>
      <c r="AEX136" s="501"/>
      <c r="AEY136" s="501"/>
      <c r="AEZ136" s="501"/>
      <c r="AFA136" s="501"/>
      <c r="AFB136" s="501"/>
      <c r="AFC136" s="501"/>
      <c r="AFD136" s="501"/>
      <c r="AFE136" s="501"/>
      <c r="AFF136" s="501"/>
      <c r="AFG136" s="501"/>
      <c r="AFH136" s="501"/>
      <c r="AFI136" s="501"/>
      <c r="AFJ136" s="501"/>
      <c r="AFK136" s="501"/>
      <c r="AFL136" s="501"/>
      <c r="AFM136" s="501"/>
      <c r="AFN136" s="501"/>
      <c r="AFO136" s="501"/>
      <c r="AFP136" s="501"/>
      <c r="AFQ136" s="501"/>
      <c r="AFR136" s="501"/>
      <c r="AFS136" s="501"/>
      <c r="AFT136" s="501"/>
      <c r="AFU136" s="501"/>
      <c r="AFV136" s="501"/>
      <c r="AFW136" s="501"/>
      <c r="AFX136" s="501"/>
      <c r="AFY136" s="501"/>
      <c r="AFZ136" s="501"/>
      <c r="AGA136" s="501"/>
      <c r="AGB136" s="501"/>
      <c r="AGC136" s="501"/>
      <c r="AGD136" s="501"/>
      <c r="AGE136" s="501"/>
      <c r="AGF136" s="501"/>
      <c r="AGG136" s="501"/>
      <c r="AGH136" s="501"/>
      <c r="AGI136" s="501"/>
      <c r="AGJ136" s="501"/>
      <c r="AGK136" s="501"/>
      <c r="AGL136" s="501"/>
      <c r="AGM136" s="501"/>
      <c r="AGN136" s="501"/>
      <c r="AGO136" s="501"/>
      <c r="AGP136" s="501"/>
      <c r="AGQ136" s="501"/>
      <c r="AGR136" s="501"/>
      <c r="AGS136" s="501"/>
      <c r="AGT136" s="501"/>
      <c r="AGU136" s="501"/>
      <c r="AGV136" s="501"/>
      <c r="AGW136" s="501"/>
      <c r="AGX136" s="501"/>
      <c r="AGY136" s="501"/>
      <c r="AGZ136" s="501"/>
      <c r="AHA136" s="501"/>
      <c r="AHB136" s="501"/>
      <c r="AHC136" s="501"/>
      <c r="AHD136" s="501"/>
      <c r="AHE136" s="501"/>
      <c r="AHF136" s="501"/>
      <c r="AHG136" s="501"/>
      <c r="AHH136" s="501"/>
      <c r="AHI136" s="501"/>
      <c r="AHJ136" s="501"/>
      <c r="AHK136" s="501"/>
      <c r="AHL136" s="501"/>
      <c r="AHM136" s="501"/>
      <c r="AHN136" s="501"/>
      <c r="AHO136" s="501"/>
      <c r="AHP136" s="501"/>
      <c r="AHQ136" s="501"/>
      <c r="AHR136" s="501"/>
      <c r="AHS136" s="501"/>
      <c r="AHT136" s="501"/>
      <c r="AHU136" s="501"/>
      <c r="AHV136" s="501"/>
      <c r="AHW136" s="501"/>
      <c r="AHX136" s="501"/>
      <c r="AHY136" s="501"/>
      <c r="AHZ136" s="501"/>
      <c r="AIA136" s="501"/>
      <c r="AIB136" s="501"/>
      <c r="AIC136" s="501"/>
      <c r="AID136" s="501"/>
      <c r="AIE136" s="501"/>
      <c r="AIF136" s="501"/>
      <c r="AIG136" s="501"/>
      <c r="AIH136" s="501"/>
      <c r="AII136" s="501"/>
      <c r="AIJ136" s="501"/>
      <c r="AIK136" s="501"/>
      <c r="AIL136" s="501"/>
      <c r="AIM136" s="501"/>
      <c r="AIN136" s="501"/>
      <c r="AIO136" s="501"/>
      <c r="AIP136" s="501"/>
      <c r="AIQ136" s="501"/>
      <c r="AIR136" s="501"/>
      <c r="AIS136" s="501"/>
      <c r="AIT136" s="501"/>
      <c r="AIU136" s="501"/>
      <c r="AIV136" s="501"/>
      <c r="AIW136" s="501"/>
      <c r="AIX136" s="501"/>
      <c r="AIY136" s="501"/>
      <c r="AIZ136" s="501"/>
      <c r="AJA136" s="501"/>
      <c r="AJB136" s="501"/>
      <c r="AJC136" s="501"/>
      <c r="AJD136" s="501"/>
      <c r="AJE136" s="501"/>
      <c r="AJF136" s="501"/>
      <c r="AJG136" s="501"/>
      <c r="AJH136" s="501"/>
      <c r="AJI136" s="501"/>
      <c r="AJJ136" s="501"/>
      <c r="AJK136" s="501"/>
      <c r="AJL136" s="501"/>
      <c r="AJM136" s="501"/>
      <c r="AJN136" s="501"/>
      <c r="AJO136" s="501"/>
      <c r="AJP136" s="501"/>
      <c r="AJQ136" s="501"/>
      <c r="AJR136" s="501"/>
      <c r="AJS136" s="501"/>
      <c r="AJT136" s="501"/>
      <c r="AJU136" s="501"/>
      <c r="AJV136" s="501"/>
      <c r="AJW136" s="501"/>
      <c r="AJX136" s="501"/>
      <c r="AJY136" s="501"/>
      <c r="AJZ136" s="501"/>
      <c r="AKA136" s="501"/>
      <c r="AKB136" s="501"/>
      <c r="AKC136" s="501"/>
      <c r="AKD136" s="501"/>
      <c r="AKE136" s="501"/>
      <c r="AKF136" s="501"/>
      <c r="AKG136" s="501"/>
      <c r="AKH136" s="501"/>
      <c r="AKI136" s="501"/>
      <c r="AKJ136" s="501"/>
      <c r="AKK136" s="501"/>
      <c r="AKL136" s="501"/>
      <c r="AKM136" s="501"/>
      <c r="AKN136" s="501"/>
      <c r="AKO136" s="501"/>
      <c r="AKP136" s="501"/>
      <c r="AKQ136" s="501"/>
      <c r="AKR136" s="501"/>
      <c r="AKS136" s="501"/>
      <c r="AKT136" s="501"/>
      <c r="AKU136" s="501"/>
      <c r="AKV136" s="501"/>
      <c r="AKW136" s="501"/>
      <c r="AKX136" s="501"/>
      <c r="AKY136" s="501"/>
      <c r="AKZ136" s="501"/>
      <c r="ALA136" s="501"/>
      <c r="ALB136" s="501"/>
      <c r="ALC136" s="501"/>
      <c r="ALD136" s="501"/>
      <c r="ALE136" s="501"/>
      <c r="ALF136" s="501"/>
      <c r="ALG136" s="501"/>
      <c r="ALH136" s="501"/>
      <c r="ALI136" s="501"/>
      <c r="ALJ136" s="501"/>
      <c r="ALK136" s="501"/>
      <c r="ALL136" s="501"/>
      <c r="ALM136" s="501"/>
      <c r="ALN136" s="501"/>
      <c r="ALO136" s="501"/>
      <c r="ALP136" s="501"/>
      <c r="ALQ136" s="501"/>
      <c r="ALR136" s="501"/>
      <c r="ALS136" s="501"/>
      <c r="ALT136" s="501"/>
      <c r="ALU136" s="501"/>
      <c r="ALV136" s="501"/>
      <c r="ALW136" s="501"/>
      <c r="ALX136" s="501"/>
      <c r="ALY136" s="501"/>
      <c r="ALZ136" s="501"/>
      <c r="AMA136" s="501"/>
      <c r="AMB136" s="501"/>
      <c r="AMC136" s="501"/>
      <c r="AMD136" s="501"/>
      <c r="AME136" s="501"/>
      <c r="AMF136" s="501"/>
      <c r="AMG136" s="501"/>
      <c r="AMH136" s="501"/>
      <c r="AMI136" s="501"/>
      <c r="AMJ136" s="501"/>
      <c r="AMK136" s="501"/>
      <c r="AML136" s="501"/>
      <c r="AMM136" s="501"/>
      <c r="AMN136" s="501"/>
      <c r="AMO136" s="501"/>
      <c r="AMP136" s="501"/>
      <c r="AMQ136" s="501"/>
      <c r="AMR136" s="501"/>
      <c r="AMS136" s="501"/>
      <c r="AMT136" s="501"/>
      <c r="AMU136" s="501"/>
      <c r="AMV136" s="501"/>
      <c r="AMW136" s="501"/>
      <c r="AMX136" s="501"/>
      <c r="AMY136" s="501"/>
      <c r="AMZ136" s="501"/>
      <c r="ANA136" s="501"/>
      <c r="ANB136" s="501"/>
      <c r="ANC136" s="501"/>
      <c r="AND136" s="501"/>
      <c r="ANE136" s="501"/>
      <c r="ANF136" s="501"/>
      <c r="ANG136" s="501"/>
      <c r="ANH136" s="501"/>
      <c r="ANI136" s="501"/>
      <c r="ANJ136" s="501"/>
      <c r="ANK136" s="501"/>
      <c r="ANL136" s="501"/>
      <c r="ANM136" s="501"/>
      <c r="ANN136" s="501"/>
      <c r="ANO136" s="501"/>
      <c r="ANP136" s="501"/>
      <c r="ANQ136" s="501"/>
      <c r="ANR136" s="501"/>
      <c r="ANS136" s="501"/>
      <c r="ANT136" s="501"/>
      <c r="ANU136" s="501"/>
      <c r="ANV136" s="501"/>
      <c r="ANW136" s="501"/>
      <c r="ANX136" s="501"/>
      <c r="ANY136" s="501"/>
      <c r="ANZ136" s="501"/>
      <c r="AOA136" s="501"/>
      <c r="AOB136" s="501"/>
      <c r="AOC136" s="501"/>
      <c r="AOD136" s="501"/>
      <c r="AOE136" s="501"/>
      <c r="AOF136" s="501"/>
      <c r="AOG136" s="501"/>
      <c r="AOH136" s="501"/>
      <c r="AOI136" s="501"/>
      <c r="AOJ136" s="501"/>
      <c r="AOK136" s="501"/>
      <c r="AOL136" s="501"/>
      <c r="AOM136" s="501"/>
      <c r="AON136" s="501"/>
      <c r="AOO136" s="501"/>
      <c r="AOP136" s="501"/>
      <c r="AOQ136" s="501"/>
      <c r="AOR136" s="501"/>
      <c r="AOS136" s="501"/>
      <c r="AOT136" s="501"/>
      <c r="AOU136" s="501"/>
      <c r="AOV136" s="501"/>
      <c r="AOW136" s="501"/>
      <c r="AOX136" s="501"/>
      <c r="AOY136" s="501"/>
      <c r="AOZ136" s="501"/>
      <c r="APA136" s="501"/>
      <c r="APB136" s="501"/>
      <c r="APC136" s="501"/>
      <c r="APD136" s="501"/>
      <c r="APE136" s="501"/>
      <c r="APF136" s="501"/>
      <c r="APG136" s="501"/>
      <c r="APH136" s="501"/>
      <c r="API136" s="501"/>
      <c r="APJ136" s="501"/>
      <c r="APK136" s="501"/>
      <c r="APL136" s="501"/>
      <c r="APM136" s="501"/>
      <c r="APN136" s="501"/>
      <c r="APO136" s="501"/>
      <c r="APP136" s="501"/>
      <c r="APQ136" s="501"/>
      <c r="APR136" s="501"/>
      <c r="APS136" s="501"/>
      <c r="APT136" s="501"/>
      <c r="APU136" s="501"/>
      <c r="APV136" s="501"/>
      <c r="APW136" s="501"/>
      <c r="APX136" s="501"/>
      <c r="APY136" s="501"/>
      <c r="APZ136" s="501"/>
      <c r="AQA136" s="501"/>
      <c r="AQB136" s="501"/>
      <c r="AQC136" s="501"/>
      <c r="AQD136" s="501"/>
      <c r="AQE136" s="501"/>
      <c r="AQF136" s="501"/>
      <c r="AQG136" s="501"/>
      <c r="AQH136" s="501"/>
      <c r="AQI136" s="501"/>
      <c r="AQJ136" s="501"/>
      <c r="AQK136" s="501"/>
      <c r="AQL136" s="501"/>
      <c r="AQM136" s="501"/>
      <c r="AQN136" s="501"/>
      <c r="AQO136" s="501"/>
      <c r="AQP136" s="501"/>
      <c r="AQQ136" s="501"/>
      <c r="AQR136" s="501"/>
      <c r="AQS136" s="501"/>
      <c r="AQT136" s="501"/>
      <c r="AQU136" s="501"/>
      <c r="AQV136" s="501"/>
      <c r="AQW136" s="501"/>
      <c r="AQX136" s="501"/>
      <c r="AQY136" s="501"/>
      <c r="AQZ136" s="501"/>
      <c r="ARA136" s="501"/>
      <c r="ARB136" s="501"/>
      <c r="ARC136" s="501"/>
      <c r="ARD136" s="501"/>
      <c r="ARE136" s="501"/>
      <c r="ARF136" s="501"/>
      <c r="ARG136" s="501"/>
      <c r="ARH136" s="501"/>
      <c r="ARI136" s="501"/>
      <c r="ARJ136" s="501"/>
      <c r="ARK136" s="501"/>
      <c r="ARL136" s="501"/>
      <c r="ARM136" s="501"/>
      <c r="ARN136" s="501"/>
      <c r="ARO136" s="501"/>
      <c r="ARP136" s="501"/>
      <c r="ARQ136" s="501"/>
      <c r="ARR136" s="501"/>
      <c r="ARS136" s="501"/>
      <c r="ART136" s="501"/>
      <c r="ARU136" s="501"/>
      <c r="ARV136" s="501"/>
      <c r="ARW136" s="501"/>
      <c r="ARX136" s="501"/>
      <c r="ARY136" s="501"/>
      <c r="ARZ136" s="501"/>
      <c r="ASA136" s="501"/>
      <c r="ASB136" s="501"/>
      <c r="ASC136" s="501"/>
      <c r="ASD136" s="501"/>
      <c r="ASE136" s="501"/>
      <c r="ASF136" s="501"/>
      <c r="ASG136" s="501"/>
      <c r="ASH136" s="501"/>
      <c r="ASI136" s="501"/>
      <c r="ASJ136" s="501"/>
      <c r="ASK136" s="501"/>
      <c r="ASL136" s="501"/>
      <c r="ASM136" s="501"/>
      <c r="ASN136" s="501"/>
      <c r="ASO136" s="501"/>
      <c r="ASP136" s="501"/>
      <c r="ASQ136" s="501"/>
      <c r="ASR136" s="501"/>
      <c r="ASS136" s="501"/>
      <c r="AST136" s="501"/>
      <c r="ASU136" s="501"/>
      <c r="ASV136" s="501"/>
      <c r="ASW136" s="501"/>
      <c r="ASX136" s="501"/>
      <c r="ASY136" s="501"/>
      <c r="ASZ136" s="501"/>
      <c r="ATA136" s="501"/>
      <c r="ATB136" s="501"/>
      <c r="ATC136" s="501"/>
      <c r="ATD136" s="501"/>
      <c r="ATE136" s="501"/>
      <c r="ATF136" s="501"/>
      <c r="ATG136" s="501"/>
      <c r="ATH136" s="501"/>
      <c r="ATI136" s="501"/>
      <c r="ATJ136" s="501"/>
      <c r="ATK136" s="501"/>
      <c r="ATL136" s="501"/>
      <c r="ATM136" s="501"/>
      <c r="ATN136" s="501"/>
      <c r="ATO136" s="501"/>
      <c r="ATP136" s="501"/>
      <c r="ATQ136" s="501"/>
      <c r="ATR136" s="501"/>
      <c r="ATS136" s="501"/>
      <c r="ATT136" s="501"/>
      <c r="ATU136" s="501"/>
      <c r="ATV136" s="501"/>
      <c r="ATW136" s="501"/>
      <c r="ATX136" s="501"/>
      <c r="ATY136" s="501"/>
      <c r="ATZ136" s="501"/>
      <c r="AUA136" s="501"/>
      <c r="AUB136" s="501"/>
      <c r="AUC136" s="501"/>
      <c r="AUD136" s="501"/>
      <c r="AUE136" s="501"/>
      <c r="AUF136" s="501"/>
      <c r="AUG136" s="501"/>
      <c r="AUH136" s="501"/>
      <c r="AUI136" s="501"/>
      <c r="AUJ136" s="501"/>
      <c r="AUK136" s="501"/>
      <c r="AUL136" s="501"/>
      <c r="AUM136" s="501"/>
      <c r="AUN136" s="501"/>
      <c r="AUO136" s="501"/>
      <c r="AUP136" s="501"/>
      <c r="AUQ136" s="501"/>
      <c r="AUR136" s="501"/>
      <c r="AUS136" s="501"/>
      <c r="AUT136" s="501"/>
      <c r="AUU136" s="501"/>
      <c r="AUV136" s="501"/>
      <c r="AUW136" s="501"/>
      <c r="AUX136" s="501"/>
      <c r="AUY136" s="501"/>
      <c r="AUZ136" s="501"/>
      <c r="AVA136" s="501"/>
      <c r="AVB136" s="501"/>
      <c r="AVC136" s="501"/>
      <c r="AVD136" s="501"/>
      <c r="AVE136" s="501"/>
      <c r="AVF136" s="501"/>
      <c r="AVG136" s="501"/>
      <c r="AVH136" s="501"/>
      <c r="AVI136" s="501"/>
      <c r="AVJ136" s="501"/>
      <c r="AVK136" s="501"/>
      <c r="AVL136" s="501"/>
      <c r="AVM136" s="501"/>
      <c r="AVN136" s="501"/>
      <c r="AVO136" s="501"/>
      <c r="AVP136" s="501"/>
      <c r="AVQ136" s="501"/>
      <c r="AVR136" s="501"/>
      <c r="AVS136" s="501"/>
      <c r="AVT136" s="501"/>
      <c r="AVU136" s="501"/>
      <c r="AVV136" s="501"/>
      <c r="AVW136" s="501"/>
      <c r="AVX136" s="501"/>
      <c r="AVY136" s="501"/>
      <c r="AVZ136" s="501"/>
      <c r="AWA136" s="501"/>
      <c r="AWB136" s="501"/>
      <c r="AWC136" s="501"/>
      <c r="AWD136" s="501"/>
      <c r="AWE136" s="501"/>
      <c r="AWF136" s="501"/>
    </row>
    <row r="137" spans="1:1280" s="278" customFormat="1" ht="17.25" customHeight="1">
      <c r="A137" s="761" t="s">
        <v>763</v>
      </c>
      <c r="B137" s="759" t="s">
        <v>628</v>
      </c>
      <c r="C137" s="760"/>
      <c r="D137" s="761">
        <v>5622</v>
      </c>
      <c r="E137" s="762" t="s">
        <v>1946</v>
      </c>
      <c r="F137" s="761" t="s">
        <v>654</v>
      </c>
      <c r="G137" s="756">
        <v>639</v>
      </c>
      <c r="H137" s="756">
        <v>3.97</v>
      </c>
      <c r="I137" s="756">
        <f t="shared" si="23"/>
        <v>4.96</v>
      </c>
      <c r="J137" s="756">
        <f t="shared" si="24"/>
        <v>3169.44</v>
      </c>
      <c r="K137" s="873"/>
      <c r="L137" s="501"/>
      <c r="M137" s="730"/>
      <c r="N137" s="631"/>
      <c r="O137" s="408"/>
      <c r="P137" s="501"/>
      <c r="Q137" s="501"/>
      <c r="R137" s="501"/>
      <c r="S137" s="501"/>
      <c r="T137" s="501"/>
      <c r="U137" s="501"/>
      <c r="V137" s="501"/>
      <c r="W137" s="501"/>
      <c r="X137" s="501"/>
      <c r="Y137" s="501"/>
      <c r="Z137" s="501"/>
      <c r="AA137" s="501"/>
      <c r="AB137" s="501"/>
      <c r="AC137" s="501"/>
      <c r="AD137" s="501"/>
      <c r="AE137" s="501"/>
      <c r="AF137" s="501"/>
      <c r="AG137" s="501"/>
      <c r="AH137" s="501"/>
      <c r="AI137" s="501"/>
      <c r="AJ137" s="501"/>
      <c r="AK137" s="501"/>
      <c r="AL137" s="501"/>
      <c r="AM137" s="501"/>
      <c r="AN137" s="501"/>
      <c r="AO137" s="501"/>
      <c r="AP137" s="501"/>
      <c r="AQ137" s="501"/>
      <c r="AR137" s="501"/>
      <c r="AS137" s="501"/>
      <c r="AT137" s="501"/>
      <c r="AU137" s="501"/>
      <c r="AV137" s="501"/>
      <c r="AW137" s="501"/>
      <c r="AX137" s="501"/>
      <c r="AY137" s="501"/>
      <c r="AZ137" s="501"/>
      <c r="BA137" s="501"/>
      <c r="BB137" s="501"/>
      <c r="BC137" s="501"/>
      <c r="BD137" s="501"/>
      <c r="BE137" s="501"/>
      <c r="BF137" s="501"/>
      <c r="BG137" s="501"/>
      <c r="BH137" s="501"/>
      <c r="BI137" s="501"/>
      <c r="BJ137" s="501"/>
      <c r="BK137" s="501"/>
      <c r="BL137" s="501"/>
      <c r="BM137" s="501"/>
      <c r="BN137" s="501"/>
      <c r="BO137" s="501"/>
      <c r="BP137" s="501"/>
      <c r="BQ137" s="501"/>
      <c r="BR137" s="501"/>
      <c r="BS137" s="501"/>
      <c r="BT137" s="501"/>
      <c r="BU137" s="501"/>
      <c r="BV137" s="501"/>
      <c r="BW137" s="501"/>
      <c r="BX137" s="501"/>
      <c r="BY137" s="501"/>
      <c r="BZ137" s="501"/>
      <c r="CA137" s="501"/>
      <c r="CB137" s="501"/>
      <c r="CC137" s="501"/>
      <c r="CD137" s="501"/>
      <c r="CE137" s="501"/>
      <c r="CF137" s="501"/>
      <c r="CG137" s="501"/>
      <c r="CH137" s="501"/>
      <c r="CI137" s="501"/>
      <c r="CJ137" s="501"/>
      <c r="CK137" s="501"/>
      <c r="CL137" s="501"/>
      <c r="CM137" s="501"/>
      <c r="CN137" s="501"/>
      <c r="CO137" s="501"/>
      <c r="CP137" s="501"/>
      <c r="CQ137" s="501"/>
      <c r="CR137" s="501"/>
      <c r="CS137" s="501"/>
      <c r="CT137" s="501"/>
      <c r="CU137" s="501"/>
      <c r="CV137" s="501"/>
      <c r="CW137" s="501"/>
      <c r="CX137" s="501"/>
      <c r="CY137" s="501"/>
      <c r="CZ137" s="501"/>
      <c r="DA137" s="501"/>
      <c r="DB137" s="501"/>
      <c r="DC137" s="501"/>
      <c r="DD137" s="501"/>
      <c r="DE137" s="501"/>
      <c r="DF137" s="501"/>
      <c r="DG137" s="501"/>
      <c r="DH137" s="501"/>
      <c r="DI137" s="501"/>
      <c r="DJ137" s="501"/>
      <c r="DK137" s="501"/>
      <c r="DL137" s="501"/>
      <c r="DM137" s="501"/>
      <c r="DN137" s="501"/>
      <c r="DO137" s="501"/>
      <c r="DP137" s="501"/>
      <c r="DQ137" s="501"/>
      <c r="DR137" s="501"/>
      <c r="DS137" s="501"/>
      <c r="DT137" s="501"/>
      <c r="DU137" s="501"/>
      <c r="DV137" s="501"/>
      <c r="DW137" s="501"/>
      <c r="DX137" s="501"/>
      <c r="DY137" s="501"/>
      <c r="DZ137" s="501"/>
      <c r="EA137" s="501"/>
      <c r="EB137" s="501"/>
      <c r="EC137" s="501"/>
      <c r="ED137" s="501"/>
      <c r="EE137" s="501"/>
      <c r="EF137" s="501"/>
      <c r="EG137" s="501"/>
      <c r="EH137" s="501"/>
      <c r="EI137" s="501"/>
      <c r="EJ137" s="501"/>
      <c r="EK137" s="501"/>
      <c r="EL137" s="501"/>
      <c r="EM137" s="501"/>
      <c r="EN137" s="501"/>
      <c r="EO137" s="501"/>
      <c r="EP137" s="501"/>
      <c r="EQ137" s="501"/>
      <c r="ER137" s="501"/>
      <c r="ES137" s="501"/>
      <c r="ET137" s="501"/>
      <c r="EU137" s="501"/>
      <c r="EV137" s="501"/>
      <c r="EW137" s="501"/>
      <c r="EX137" s="501"/>
      <c r="EY137" s="501"/>
      <c r="EZ137" s="501"/>
      <c r="FA137" s="501"/>
      <c r="FB137" s="501"/>
      <c r="FC137" s="501"/>
      <c r="FD137" s="501"/>
      <c r="FE137" s="501"/>
      <c r="FF137" s="501"/>
      <c r="FG137" s="501"/>
      <c r="FH137" s="501"/>
      <c r="FI137" s="501"/>
      <c r="FJ137" s="501"/>
      <c r="FK137" s="501"/>
      <c r="FL137" s="501"/>
      <c r="FM137" s="501"/>
      <c r="FN137" s="501"/>
      <c r="FO137" s="501"/>
      <c r="FP137" s="501"/>
      <c r="FQ137" s="501"/>
      <c r="FR137" s="501"/>
      <c r="FS137" s="501"/>
      <c r="FT137" s="501"/>
      <c r="FU137" s="501"/>
      <c r="FV137" s="501"/>
      <c r="FW137" s="501"/>
      <c r="FX137" s="501"/>
      <c r="FY137" s="501"/>
      <c r="FZ137" s="501"/>
      <c r="GA137" s="501"/>
      <c r="GB137" s="501"/>
      <c r="GC137" s="501"/>
      <c r="GD137" s="501"/>
      <c r="GE137" s="501"/>
      <c r="GF137" s="501"/>
      <c r="GG137" s="501"/>
      <c r="GH137" s="501"/>
      <c r="GI137" s="501"/>
      <c r="GJ137" s="501"/>
      <c r="GK137" s="501"/>
      <c r="GL137" s="501"/>
      <c r="GM137" s="501"/>
      <c r="GN137" s="501"/>
      <c r="GO137" s="501"/>
      <c r="GP137" s="501"/>
      <c r="GQ137" s="501"/>
      <c r="GR137" s="501"/>
      <c r="GS137" s="501"/>
      <c r="GT137" s="501"/>
      <c r="GU137" s="501"/>
      <c r="GV137" s="501"/>
      <c r="GW137" s="501"/>
      <c r="GX137" s="501"/>
      <c r="GY137" s="501"/>
      <c r="GZ137" s="501"/>
      <c r="HA137" s="501"/>
      <c r="HB137" s="501"/>
      <c r="HC137" s="501"/>
      <c r="HD137" s="501"/>
      <c r="HE137" s="501"/>
      <c r="HF137" s="501"/>
      <c r="HG137" s="501"/>
      <c r="HH137" s="501"/>
      <c r="HI137" s="501"/>
      <c r="HJ137" s="501"/>
      <c r="HK137" s="501"/>
      <c r="HL137" s="501"/>
      <c r="HM137" s="501"/>
      <c r="HN137" s="501"/>
      <c r="HO137" s="501"/>
      <c r="HP137" s="501"/>
      <c r="HQ137" s="501"/>
      <c r="HR137" s="501"/>
      <c r="HS137" s="501"/>
      <c r="HT137" s="501"/>
      <c r="HU137" s="501"/>
      <c r="HV137" s="501"/>
      <c r="HW137" s="501"/>
      <c r="HX137" s="501"/>
      <c r="HY137" s="501"/>
      <c r="HZ137" s="501"/>
      <c r="IA137" s="501"/>
      <c r="IB137" s="501"/>
      <c r="IC137" s="501"/>
      <c r="ID137" s="501"/>
      <c r="IE137" s="501"/>
      <c r="IF137" s="501"/>
      <c r="IG137" s="501"/>
      <c r="IH137" s="501"/>
      <c r="II137" s="501"/>
      <c r="IJ137" s="501"/>
      <c r="IK137" s="501"/>
      <c r="IL137" s="501"/>
      <c r="IM137" s="501"/>
      <c r="IN137" s="501"/>
      <c r="IO137" s="501"/>
      <c r="IP137" s="501"/>
      <c r="IQ137" s="501"/>
      <c r="IR137" s="501"/>
      <c r="IS137" s="501"/>
      <c r="IT137" s="501"/>
      <c r="IU137" s="501"/>
      <c r="IV137" s="501"/>
      <c r="IW137" s="501"/>
      <c r="IX137" s="501"/>
      <c r="IY137" s="501"/>
      <c r="IZ137" s="501"/>
      <c r="JA137" s="501"/>
      <c r="JB137" s="501"/>
      <c r="JC137" s="501"/>
      <c r="JD137" s="501"/>
      <c r="JE137" s="501"/>
      <c r="JF137" s="501"/>
      <c r="JG137" s="501"/>
      <c r="JH137" s="501"/>
      <c r="JI137" s="501"/>
      <c r="JJ137" s="501"/>
      <c r="JK137" s="501"/>
      <c r="JL137" s="501"/>
      <c r="JM137" s="501"/>
      <c r="JN137" s="501"/>
      <c r="JO137" s="501"/>
      <c r="JP137" s="501"/>
      <c r="JQ137" s="501"/>
      <c r="JR137" s="501"/>
      <c r="JS137" s="501"/>
      <c r="JT137" s="501"/>
      <c r="JU137" s="501"/>
      <c r="JV137" s="501"/>
      <c r="JW137" s="501"/>
      <c r="JX137" s="501"/>
      <c r="JY137" s="501"/>
      <c r="JZ137" s="501"/>
      <c r="KA137" s="501"/>
      <c r="KB137" s="501"/>
      <c r="KC137" s="501"/>
      <c r="KD137" s="501"/>
      <c r="KE137" s="501"/>
      <c r="KF137" s="501"/>
      <c r="KG137" s="501"/>
      <c r="KH137" s="501"/>
      <c r="KI137" s="501"/>
      <c r="KJ137" s="501"/>
      <c r="KK137" s="501"/>
      <c r="KL137" s="501"/>
      <c r="KM137" s="501"/>
      <c r="KN137" s="501"/>
      <c r="KO137" s="501"/>
      <c r="KP137" s="501"/>
      <c r="KQ137" s="501"/>
      <c r="KR137" s="501"/>
      <c r="KS137" s="501"/>
      <c r="KT137" s="501"/>
      <c r="KU137" s="501"/>
      <c r="KV137" s="501"/>
      <c r="KW137" s="501"/>
      <c r="KX137" s="501"/>
      <c r="KY137" s="501"/>
      <c r="KZ137" s="501"/>
      <c r="LA137" s="501"/>
      <c r="LB137" s="501"/>
      <c r="LC137" s="501"/>
      <c r="LD137" s="501"/>
      <c r="LE137" s="501"/>
      <c r="LF137" s="501"/>
      <c r="LG137" s="501"/>
      <c r="LH137" s="501"/>
      <c r="LI137" s="501"/>
      <c r="LJ137" s="501"/>
      <c r="LK137" s="501"/>
      <c r="LL137" s="501"/>
      <c r="LM137" s="501"/>
      <c r="LN137" s="501"/>
      <c r="LO137" s="501"/>
      <c r="LP137" s="501"/>
      <c r="LQ137" s="501"/>
      <c r="LR137" s="501"/>
      <c r="LS137" s="501"/>
      <c r="LT137" s="501"/>
      <c r="LU137" s="501"/>
      <c r="LV137" s="501"/>
      <c r="LW137" s="501"/>
      <c r="LX137" s="501"/>
      <c r="LY137" s="501"/>
      <c r="LZ137" s="501"/>
      <c r="MA137" s="501"/>
      <c r="MB137" s="501"/>
      <c r="MC137" s="501"/>
      <c r="MD137" s="501"/>
      <c r="ME137" s="501"/>
      <c r="MF137" s="501"/>
      <c r="MG137" s="501"/>
      <c r="MH137" s="501"/>
      <c r="MI137" s="501"/>
      <c r="MJ137" s="501"/>
      <c r="MK137" s="501"/>
      <c r="ML137" s="501"/>
      <c r="MM137" s="501"/>
      <c r="MN137" s="501"/>
      <c r="MO137" s="501"/>
      <c r="MP137" s="501"/>
      <c r="MQ137" s="501"/>
      <c r="MR137" s="501"/>
      <c r="MS137" s="501"/>
      <c r="MT137" s="501"/>
      <c r="MU137" s="501"/>
      <c r="MV137" s="501"/>
      <c r="MW137" s="501"/>
      <c r="MX137" s="501"/>
      <c r="MY137" s="501"/>
      <c r="MZ137" s="501"/>
      <c r="NA137" s="501"/>
      <c r="NB137" s="501"/>
      <c r="NC137" s="501"/>
      <c r="ND137" s="501"/>
      <c r="NE137" s="501"/>
      <c r="NF137" s="501"/>
      <c r="NG137" s="501"/>
      <c r="NH137" s="501"/>
      <c r="NI137" s="501"/>
      <c r="NJ137" s="501"/>
      <c r="NK137" s="501"/>
      <c r="NL137" s="501"/>
      <c r="NM137" s="501"/>
      <c r="NN137" s="501"/>
      <c r="NO137" s="501"/>
      <c r="NP137" s="501"/>
      <c r="NQ137" s="501"/>
      <c r="NR137" s="501"/>
      <c r="NS137" s="501"/>
      <c r="NT137" s="501"/>
      <c r="NU137" s="501"/>
      <c r="NV137" s="501"/>
      <c r="NW137" s="501"/>
      <c r="NX137" s="501"/>
      <c r="NY137" s="501"/>
      <c r="NZ137" s="501"/>
      <c r="OA137" s="501"/>
      <c r="OB137" s="501"/>
      <c r="OC137" s="501"/>
      <c r="OD137" s="501"/>
      <c r="OE137" s="501"/>
      <c r="OF137" s="501"/>
      <c r="OG137" s="501"/>
      <c r="OH137" s="501"/>
      <c r="OI137" s="501"/>
      <c r="OJ137" s="501"/>
      <c r="OK137" s="501"/>
      <c r="OL137" s="501"/>
      <c r="OM137" s="501"/>
      <c r="ON137" s="501"/>
      <c r="OO137" s="501"/>
      <c r="OP137" s="501"/>
      <c r="OQ137" s="501"/>
      <c r="OR137" s="501"/>
      <c r="OS137" s="501"/>
      <c r="OT137" s="501"/>
      <c r="OU137" s="501"/>
      <c r="OV137" s="501"/>
      <c r="OW137" s="501"/>
      <c r="OX137" s="501"/>
      <c r="OY137" s="501"/>
      <c r="OZ137" s="501"/>
      <c r="PA137" s="501"/>
      <c r="PB137" s="501"/>
      <c r="PC137" s="501"/>
      <c r="PD137" s="501"/>
      <c r="PE137" s="501"/>
      <c r="PF137" s="501"/>
      <c r="PG137" s="501"/>
      <c r="PH137" s="501"/>
      <c r="PI137" s="501"/>
      <c r="PJ137" s="501"/>
      <c r="PK137" s="501"/>
      <c r="PL137" s="501"/>
      <c r="PM137" s="501"/>
      <c r="PN137" s="501"/>
      <c r="PO137" s="501"/>
      <c r="PP137" s="501"/>
      <c r="PQ137" s="501"/>
      <c r="PR137" s="501"/>
      <c r="PS137" s="501"/>
      <c r="PT137" s="501"/>
      <c r="PU137" s="501"/>
      <c r="PV137" s="501"/>
      <c r="PW137" s="501"/>
      <c r="PX137" s="501"/>
      <c r="PY137" s="501"/>
      <c r="PZ137" s="501"/>
      <c r="QA137" s="501"/>
      <c r="QB137" s="501"/>
      <c r="QC137" s="501"/>
      <c r="QD137" s="501"/>
      <c r="QE137" s="501"/>
      <c r="QF137" s="501"/>
      <c r="QG137" s="501"/>
      <c r="QH137" s="501"/>
      <c r="QI137" s="501"/>
      <c r="QJ137" s="501"/>
      <c r="QK137" s="501"/>
      <c r="QL137" s="501"/>
      <c r="QM137" s="501"/>
      <c r="QN137" s="501"/>
      <c r="QO137" s="501"/>
      <c r="QP137" s="501"/>
      <c r="QQ137" s="501"/>
      <c r="QR137" s="501"/>
      <c r="QS137" s="501"/>
      <c r="QT137" s="501"/>
      <c r="QU137" s="501"/>
      <c r="QV137" s="501"/>
      <c r="QW137" s="501"/>
      <c r="QX137" s="501"/>
      <c r="QY137" s="501"/>
      <c r="QZ137" s="501"/>
      <c r="RA137" s="501"/>
      <c r="RB137" s="501"/>
      <c r="RC137" s="501"/>
      <c r="RD137" s="501"/>
      <c r="RE137" s="501"/>
      <c r="RF137" s="501"/>
      <c r="RG137" s="501"/>
      <c r="RH137" s="501"/>
      <c r="RI137" s="501"/>
      <c r="RJ137" s="501"/>
      <c r="RK137" s="501"/>
      <c r="RL137" s="501"/>
      <c r="RM137" s="501"/>
      <c r="RN137" s="501"/>
      <c r="RO137" s="501"/>
      <c r="RP137" s="501"/>
      <c r="RQ137" s="501"/>
      <c r="RR137" s="501"/>
      <c r="RS137" s="501"/>
      <c r="RT137" s="501"/>
      <c r="RU137" s="501"/>
      <c r="RV137" s="501"/>
      <c r="RW137" s="501"/>
      <c r="RX137" s="501"/>
      <c r="RY137" s="501"/>
      <c r="RZ137" s="501"/>
      <c r="SA137" s="501"/>
      <c r="SB137" s="501"/>
      <c r="SC137" s="501"/>
      <c r="SD137" s="501"/>
      <c r="SE137" s="501"/>
      <c r="SF137" s="501"/>
      <c r="SG137" s="501"/>
      <c r="SH137" s="501"/>
      <c r="SI137" s="501"/>
      <c r="SJ137" s="501"/>
      <c r="SK137" s="501"/>
      <c r="SL137" s="501"/>
      <c r="SM137" s="501"/>
      <c r="SN137" s="501"/>
      <c r="SO137" s="501"/>
      <c r="SP137" s="501"/>
      <c r="SQ137" s="501"/>
      <c r="SR137" s="501"/>
      <c r="SS137" s="501"/>
      <c r="ST137" s="501"/>
      <c r="SU137" s="501"/>
      <c r="SV137" s="501"/>
      <c r="SW137" s="501"/>
      <c r="SX137" s="501"/>
      <c r="SY137" s="501"/>
      <c r="SZ137" s="501"/>
      <c r="TA137" s="501"/>
      <c r="TB137" s="501"/>
      <c r="TC137" s="501"/>
      <c r="TD137" s="501"/>
      <c r="TE137" s="501"/>
      <c r="TF137" s="501"/>
      <c r="TG137" s="501"/>
      <c r="TH137" s="501"/>
      <c r="TI137" s="501"/>
      <c r="TJ137" s="501"/>
      <c r="TK137" s="501"/>
      <c r="TL137" s="501"/>
      <c r="TM137" s="501"/>
      <c r="TN137" s="501"/>
      <c r="TO137" s="501"/>
      <c r="TP137" s="501"/>
      <c r="TQ137" s="501"/>
      <c r="TR137" s="501"/>
      <c r="TS137" s="501"/>
      <c r="TT137" s="501"/>
      <c r="TU137" s="501"/>
      <c r="TV137" s="501"/>
      <c r="TW137" s="501"/>
      <c r="TX137" s="501"/>
      <c r="TY137" s="501"/>
      <c r="TZ137" s="501"/>
      <c r="UA137" s="501"/>
      <c r="UB137" s="501"/>
      <c r="UC137" s="501"/>
      <c r="UD137" s="501"/>
      <c r="UE137" s="501"/>
      <c r="UF137" s="501"/>
      <c r="UG137" s="501"/>
      <c r="UH137" s="501"/>
      <c r="UI137" s="501"/>
      <c r="UJ137" s="501"/>
      <c r="UK137" s="501"/>
      <c r="UL137" s="501"/>
      <c r="UM137" s="501"/>
      <c r="UN137" s="501"/>
      <c r="UO137" s="501"/>
      <c r="UP137" s="501"/>
      <c r="UQ137" s="501"/>
      <c r="UR137" s="501"/>
      <c r="US137" s="501"/>
      <c r="UT137" s="501"/>
      <c r="UU137" s="501"/>
      <c r="UV137" s="501"/>
      <c r="UW137" s="501"/>
      <c r="UX137" s="501"/>
      <c r="UY137" s="501"/>
      <c r="UZ137" s="501"/>
      <c r="VA137" s="501"/>
      <c r="VB137" s="501"/>
      <c r="VC137" s="501"/>
      <c r="VD137" s="501"/>
      <c r="VE137" s="501"/>
      <c r="VF137" s="501"/>
      <c r="VG137" s="501"/>
      <c r="VH137" s="501"/>
      <c r="VI137" s="501"/>
      <c r="VJ137" s="501"/>
      <c r="VK137" s="501"/>
      <c r="VL137" s="501"/>
      <c r="VM137" s="501"/>
      <c r="VN137" s="501"/>
      <c r="VO137" s="501"/>
      <c r="VP137" s="501"/>
      <c r="VQ137" s="501"/>
      <c r="VR137" s="501"/>
      <c r="VS137" s="501"/>
      <c r="VT137" s="501"/>
      <c r="VU137" s="501"/>
      <c r="VV137" s="501"/>
      <c r="VW137" s="501"/>
      <c r="VX137" s="501"/>
      <c r="VY137" s="501"/>
      <c r="VZ137" s="501"/>
      <c r="WA137" s="501"/>
      <c r="WB137" s="501"/>
      <c r="WC137" s="501"/>
      <c r="WD137" s="501"/>
      <c r="WE137" s="501"/>
      <c r="WF137" s="501"/>
      <c r="WG137" s="501"/>
      <c r="WH137" s="501"/>
      <c r="WI137" s="501"/>
      <c r="WJ137" s="501"/>
      <c r="WK137" s="501"/>
      <c r="WL137" s="501"/>
      <c r="WM137" s="501"/>
      <c r="WN137" s="501"/>
      <c r="WO137" s="501"/>
      <c r="WP137" s="501"/>
      <c r="WQ137" s="501"/>
      <c r="WR137" s="501"/>
      <c r="WS137" s="501"/>
      <c r="WT137" s="501"/>
      <c r="WU137" s="501"/>
      <c r="WV137" s="501"/>
      <c r="WW137" s="501"/>
      <c r="WX137" s="501"/>
      <c r="WY137" s="501"/>
      <c r="WZ137" s="501"/>
      <c r="XA137" s="501"/>
      <c r="XB137" s="501"/>
      <c r="XC137" s="501"/>
      <c r="XD137" s="501"/>
      <c r="XE137" s="501"/>
      <c r="XF137" s="501"/>
      <c r="XG137" s="501"/>
      <c r="XH137" s="501"/>
      <c r="XI137" s="501"/>
      <c r="XJ137" s="501"/>
      <c r="XK137" s="501"/>
      <c r="XL137" s="501"/>
      <c r="XM137" s="501"/>
      <c r="XN137" s="501"/>
      <c r="XO137" s="501"/>
      <c r="XP137" s="501"/>
      <c r="XQ137" s="501"/>
      <c r="XR137" s="501"/>
      <c r="XS137" s="501"/>
      <c r="XT137" s="501"/>
      <c r="XU137" s="501"/>
      <c r="XV137" s="501"/>
      <c r="XW137" s="501"/>
      <c r="XX137" s="501"/>
      <c r="XY137" s="501"/>
      <c r="XZ137" s="501"/>
      <c r="YA137" s="501"/>
      <c r="YB137" s="501"/>
      <c r="YC137" s="501"/>
      <c r="YD137" s="501"/>
      <c r="YE137" s="501"/>
      <c r="YF137" s="501"/>
      <c r="YG137" s="501"/>
      <c r="YH137" s="501"/>
      <c r="YI137" s="501"/>
      <c r="YJ137" s="501"/>
      <c r="YK137" s="501"/>
      <c r="YL137" s="501"/>
      <c r="YM137" s="501"/>
      <c r="YN137" s="501"/>
      <c r="YO137" s="501"/>
      <c r="YP137" s="501"/>
      <c r="YQ137" s="501"/>
      <c r="YR137" s="501"/>
      <c r="YS137" s="501"/>
      <c r="YT137" s="501"/>
      <c r="YU137" s="501"/>
      <c r="YV137" s="501"/>
      <c r="YW137" s="501"/>
      <c r="YX137" s="501"/>
      <c r="YY137" s="501"/>
      <c r="YZ137" s="501"/>
      <c r="ZA137" s="501"/>
      <c r="ZB137" s="501"/>
      <c r="ZC137" s="501"/>
      <c r="ZD137" s="501"/>
      <c r="ZE137" s="501"/>
      <c r="ZF137" s="501"/>
      <c r="ZG137" s="501"/>
      <c r="ZH137" s="501"/>
      <c r="ZI137" s="501"/>
      <c r="ZJ137" s="501"/>
      <c r="ZK137" s="501"/>
      <c r="ZL137" s="501"/>
      <c r="ZM137" s="501"/>
      <c r="ZN137" s="501"/>
      <c r="ZO137" s="501"/>
      <c r="ZP137" s="501"/>
      <c r="ZQ137" s="501"/>
      <c r="ZR137" s="501"/>
      <c r="ZS137" s="501"/>
      <c r="ZT137" s="501"/>
      <c r="ZU137" s="501"/>
      <c r="ZV137" s="501"/>
      <c r="ZW137" s="501"/>
      <c r="ZX137" s="501"/>
      <c r="ZY137" s="501"/>
      <c r="ZZ137" s="501"/>
      <c r="AAA137" s="501"/>
      <c r="AAB137" s="501"/>
      <c r="AAC137" s="501"/>
      <c r="AAD137" s="501"/>
      <c r="AAE137" s="501"/>
      <c r="AAF137" s="501"/>
      <c r="AAG137" s="501"/>
      <c r="AAH137" s="501"/>
      <c r="AAI137" s="501"/>
      <c r="AAJ137" s="501"/>
      <c r="AAK137" s="501"/>
      <c r="AAL137" s="501"/>
      <c r="AAM137" s="501"/>
      <c r="AAN137" s="501"/>
      <c r="AAO137" s="501"/>
      <c r="AAP137" s="501"/>
      <c r="AAQ137" s="501"/>
      <c r="AAR137" s="501"/>
      <c r="AAS137" s="501"/>
      <c r="AAT137" s="501"/>
      <c r="AAU137" s="501"/>
      <c r="AAV137" s="501"/>
      <c r="AAW137" s="501"/>
      <c r="AAX137" s="501"/>
      <c r="AAY137" s="501"/>
      <c r="AAZ137" s="501"/>
      <c r="ABA137" s="501"/>
      <c r="ABB137" s="501"/>
      <c r="ABC137" s="501"/>
      <c r="ABD137" s="501"/>
      <c r="ABE137" s="501"/>
      <c r="ABF137" s="501"/>
      <c r="ABG137" s="501"/>
      <c r="ABH137" s="501"/>
      <c r="ABI137" s="501"/>
      <c r="ABJ137" s="501"/>
      <c r="ABK137" s="501"/>
      <c r="ABL137" s="501"/>
      <c r="ABM137" s="501"/>
      <c r="ABN137" s="501"/>
      <c r="ABO137" s="501"/>
      <c r="ABP137" s="501"/>
      <c r="ABQ137" s="501"/>
      <c r="ABR137" s="501"/>
      <c r="ABS137" s="501"/>
      <c r="ABT137" s="501"/>
      <c r="ABU137" s="501"/>
      <c r="ABV137" s="501"/>
      <c r="ABW137" s="501"/>
      <c r="ABX137" s="501"/>
      <c r="ABY137" s="501"/>
      <c r="ABZ137" s="501"/>
      <c r="ACA137" s="501"/>
      <c r="ACB137" s="501"/>
      <c r="ACC137" s="501"/>
      <c r="ACD137" s="501"/>
      <c r="ACE137" s="501"/>
      <c r="ACF137" s="501"/>
      <c r="ACG137" s="501"/>
      <c r="ACH137" s="501"/>
      <c r="ACI137" s="501"/>
      <c r="ACJ137" s="501"/>
      <c r="ACK137" s="501"/>
      <c r="ACL137" s="501"/>
      <c r="ACM137" s="501"/>
      <c r="ACN137" s="501"/>
      <c r="ACO137" s="501"/>
      <c r="ACP137" s="501"/>
      <c r="ACQ137" s="501"/>
      <c r="ACR137" s="501"/>
      <c r="ACS137" s="501"/>
      <c r="ACT137" s="501"/>
      <c r="ACU137" s="501"/>
      <c r="ACV137" s="501"/>
      <c r="ACW137" s="501"/>
      <c r="ACX137" s="501"/>
      <c r="ACY137" s="501"/>
      <c r="ACZ137" s="501"/>
      <c r="ADA137" s="501"/>
      <c r="ADB137" s="501"/>
      <c r="ADC137" s="501"/>
      <c r="ADD137" s="501"/>
      <c r="ADE137" s="501"/>
      <c r="ADF137" s="501"/>
      <c r="ADG137" s="501"/>
      <c r="ADH137" s="501"/>
      <c r="ADI137" s="501"/>
      <c r="ADJ137" s="501"/>
      <c r="ADK137" s="501"/>
      <c r="ADL137" s="501"/>
      <c r="ADM137" s="501"/>
      <c r="ADN137" s="501"/>
      <c r="ADO137" s="501"/>
      <c r="ADP137" s="501"/>
      <c r="ADQ137" s="501"/>
      <c r="ADR137" s="501"/>
      <c r="ADS137" s="501"/>
      <c r="ADT137" s="501"/>
      <c r="ADU137" s="501"/>
      <c r="ADV137" s="501"/>
      <c r="ADW137" s="501"/>
      <c r="ADX137" s="501"/>
      <c r="ADY137" s="501"/>
      <c r="ADZ137" s="501"/>
      <c r="AEA137" s="501"/>
      <c r="AEB137" s="501"/>
      <c r="AEC137" s="501"/>
      <c r="AED137" s="501"/>
      <c r="AEE137" s="501"/>
      <c r="AEF137" s="501"/>
      <c r="AEG137" s="501"/>
      <c r="AEH137" s="501"/>
      <c r="AEI137" s="501"/>
      <c r="AEJ137" s="501"/>
      <c r="AEK137" s="501"/>
      <c r="AEL137" s="501"/>
      <c r="AEM137" s="501"/>
      <c r="AEN137" s="501"/>
      <c r="AEO137" s="501"/>
      <c r="AEP137" s="501"/>
      <c r="AEQ137" s="501"/>
      <c r="AER137" s="501"/>
      <c r="AES137" s="501"/>
      <c r="AET137" s="501"/>
      <c r="AEU137" s="501"/>
      <c r="AEV137" s="501"/>
      <c r="AEW137" s="501"/>
      <c r="AEX137" s="501"/>
      <c r="AEY137" s="501"/>
      <c r="AEZ137" s="501"/>
      <c r="AFA137" s="501"/>
      <c r="AFB137" s="501"/>
      <c r="AFC137" s="501"/>
      <c r="AFD137" s="501"/>
      <c r="AFE137" s="501"/>
      <c r="AFF137" s="501"/>
      <c r="AFG137" s="501"/>
      <c r="AFH137" s="501"/>
      <c r="AFI137" s="501"/>
      <c r="AFJ137" s="501"/>
      <c r="AFK137" s="501"/>
      <c r="AFL137" s="501"/>
      <c r="AFM137" s="501"/>
      <c r="AFN137" s="501"/>
      <c r="AFO137" s="501"/>
      <c r="AFP137" s="501"/>
      <c r="AFQ137" s="501"/>
      <c r="AFR137" s="501"/>
      <c r="AFS137" s="501"/>
      <c r="AFT137" s="501"/>
      <c r="AFU137" s="501"/>
      <c r="AFV137" s="501"/>
      <c r="AFW137" s="501"/>
      <c r="AFX137" s="501"/>
      <c r="AFY137" s="501"/>
      <c r="AFZ137" s="501"/>
      <c r="AGA137" s="501"/>
      <c r="AGB137" s="501"/>
      <c r="AGC137" s="501"/>
      <c r="AGD137" s="501"/>
      <c r="AGE137" s="501"/>
      <c r="AGF137" s="501"/>
      <c r="AGG137" s="501"/>
      <c r="AGH137" s="501"/>
      <c r="AGI137" s="501"/>
      <c r="AGJ137" s="501"/>
      <c r="AGK137" s="501"/>
      <c r="AGL137" s="501"/>
      <c r="AGM137" s="501"/>
      <c r="AGN137" s="501"/>
      <c r="AGO137" s="501"/>
      <c r="AGP137" s="501"/>
      <c r="AGQ137" s="501"/>
      <c r="AGR137" s="501"/>
      <c r="AGS137" s="501"/>
      <c r="AGT137" s="501"/>
      <c r="AGU137" s="501"/>
      <c r="AGV137" s="501"/>
      <c r="AGW137" s="501"/>
      <c r="AGX137" s="501"/>
      <c r="AGY137" s="501"/>
      <c r="AGZ137" s="501"/>
      <c r="AHA137" s="501"/>
      <c r="AHB137" s="501"/>
      <c r="AHC137" s="501"/>
      <c r="AHD137" s="501"/>
      <c r="AHE137" s="501"/>
      <c r="AHF137" s="501"/>
      <c r="AHG137" s="501"/>
      <c r="AHH137" s="501"/>
      <c r="AHI137" s="501"/>
      <c r="AHJ137" s="501"/>
      <c r="AHK137" s="501"/>
      <c r="AHL137" s="501"/>
      <c r="AHM137" s="501"/>
      <c r="AHN137" s="501"/>
      <c r="AHO137" s="501"/>
      <c r="AHP137" s="501"/>
      <c r="AHQ137" s="501"/>
      <c r="AHR137" s="501"/>
      <c r="AHS137" s="501"/>
      <c r="AHT137" s="501"/>
      <c r="AHU137" s="501"/>
      <c r="AHV137" s="501"/>
      <c r="AHW137" s="501"/>
      <c r="AHX137" s="501"/>
      <c r="AHY137" s="501"/>
      <c r="AHZ137" s="501"/>
      <c r="AIA137" s="501"/>
      <c r="AIB137" s="501"/>
      <c r="AIC137" s="501"/>
      <c r="AID137" s="501"/>
      <c r="AIE137" s="501"/>
      <c r="AIF137" s="501"/>
      <c r="AIG137" s="501"/>
      <c r="AIH137" s="501"/>
      <c r="AII137" s="501"/>
      <c r="AIJ137" s="501"/>
      <c r="AIK137" s="501"/>
      <c r="AIL137" s="501"/>
      <c r="AIM137" s="501"/>
      <c r="AIN137" s="501"/>
      <c r="AIO137" s="501"/>
      <c r="AIP137" s="501"/>
      <c r="AIQ137" s="501"/>
      <c r="AIR137" s="501"/>
      <c r="AIS137" s="501"/>
      <c r="AIT137" s="501"/>
      <c r="AIU137" s="501"/>
      <c r="AIV137" s="501"/>
      <c r="AIW137" s="501"/>
      <c r="AIX137" s="501"/>
      <c r="AIY137" s="501"/>
      <c r="AIZ137" s="501"/>
      <c r="AJA137" s="501"/>
      <c r="AJB137" s="501"/>
      <c r="AJC137" s="501"/>
      <c r="AJD137" s="501"/>
      <c r="AJE137" s="501"/>
      <c r="AJF137" s="501"/>
      <c r="AJG137" s="501"/>
      <c r="AJH137" s="501"/>
      <c r="AJI137" s="501"/>
      <c r="AJJ137" s="501"/>
      <c r="AJK137" s="501"/>
      <c r="AJL137" s="501"/>
      <c r="AJM137" s="501"/>
      <c r="AJN137" s="501"/>
      <c r="AJO137" s="501"/>
      <c r="AJP137" s="501"/>
      <c r="AJQ137" s="501"/>
      <c r="AJR137" s="501"/>
      <c r="AJS137" s="501"/>
      <c r="AJT137" s="501"/>
      <c r="AJU137" s="501"/>
      <c r="AJV137" s="501"/>
      <c r="AJW137" s="501"/>
      <c r="AJX137" s="501"/>
      <c r="AJY137" s="501"/>
      <c r="AJZ137" s="501"/>
      <c r="AKA137" s="501"/>
      <c r="AKB137" s="501"/>
      <c r="AKC137" s="501"/>
      <c r="AKD137" s="501"/>
      <c r="AKE137" s="501"/>
      <c r="AKF137" s="501"/>
      <c r="AKG137" s="501"/>
      <c r="AKH137" s="501"/>
      <c r="AKI137" s="501"/>
      <c r="AKJ137" s="501"/>
      <c r="AKK137" s="501"/>
      <c r="AKL137" s="501"/>
      <c r="AKM137" s="501"/>
      <c r="AKN137" s="501"/>
      <c r="AKO137" s="501"/>
      <c r="AKP137" s="501"/>
      <c r="AKQ137" s="501"/>
      <c r="AKR137" s="501"/>
      <c r="AKS137" s="501"/>
      <c r="AKT137" s="501"/>
      <c r="AKU137" s="501"/>
      <c r="AKV137" s="501"/>
      <c r="AKW137" s="501"/>
      <c r="AKX137" s="501"/>
      <c r="AKY137" s="501"/>
      <c r="AKZ137" s="501"/>
      <c r="ALA137" s="501"/>
      <c r="ALB137" s="501"/>
      <c r="ALC137" s="501"/>
      <c r="ALD137" s="501"/>
      <c r="ALE137" s="501"/>
      <c r="ALF137" s="501"/>
      <c r="ALG137" s="501"/>
      <c r="ALH137" s="501"/>
      <c r="ALI137" s="501"/>
      <c r="ALJ137" s="501"/>
      <c r="ALK137" s="501"/>
      <c r="ALL137" s="501"/>
      <c r="ALM137" s="501"/>
      <c r="ALN137" s="501"/>
      <c r="ALO137" s="501"/>
      <c r="ALP137" s="501"/>
      <c r="ALQ137" s="501"/>
      <c r="ALR137" s="501"/>
      <c r="ALS137" s="501"/>
      <c r="ALT137" s="501"/>
      <c r="ALU137" s="501"/>
      <c r="ALV137" s="501"/>
      <c r="ALW137" s="501"/>
      <c r="ALX137" s="501"/>
      <c r="ALY137" s="501"/>
      <c r="ALZ137" s="501"/>
      <c r="AMA137" s="501"/>
      <c r="AMB137" s="501"/>
      <c r="AMC137" s="501"/>
      <c r="AMD137" s="501"/>
      <c r="AME137" s="501"/>
      <c r="AMF137" s="501"/>
      <c r="AMG137" s="501"/>
      <c r="AMH137" s="501"/>
      <c r="AMI137" s="501"/>
      <c r="AMJ137" s="501"/>
      <c r="AMK137" s="501"/>
      <c r="AML137" s="501"/>
      <c r="AMM137" s="501"/>
      <c r="AMN137" s="501"/>
      <c r="AMO137" s="501"/>
      <c r="AMP137" s="501"/>
      <c r="AMQ137" s="501"/>
      <c r="AMR137" s="501"/>
      <c r="AMS137" s="501"/>
      <c r="AMT137" s="501"/>
      <c r="AMU137" s="501"/>
      <c r="AMV137" s="501"/>
      <c r="AMW137" s="501"/>
      <c r="AMX137" s="501"/>
      <c r="AMY137" s="501"/>
      <c r="AMZ137" s="501"/>
      <c r="ANA137" s="501"/>
      <c r="ANB137" s="501"/>
      <c r="ANC137" s="501"/>
      <c r="AND137" s="501"/>
      <c r="ANE137" s="501"/>
      <c r="ANF137" s="501"/>
      <c r="ANG137" s="501"/>
      <c r="ANH137" s="501"/>
      <c r="ANI137" s="501"/>
      <c r="ANJ137" s="501"/>
      <c r="ANK137" s="501"/>
      <c r="ANL137" s="501"/>
      <c r="ANM137" s="501"/>
      <c r="ANN137" s="501"/>
      <c r="ANO137" s="501"/>
      <c r="ANP137" s="501"/>
      <c r="ANQ137" s="501"/>
      <c r="ANR137" s="501"/>
      <c r="ANS137" s="501"/>
      <c r="ANT137" s="501"/>
      <c r="ANU137" s="501"/>
      <c r="ANV137" s="501"/>
      <c r="ANW137" s="501"/>
      <c r="ANX137" s="501"/>
      <c r="ANY137" s="501"/>
      <c r="ANZ137" s="501"/>
      <c r="AOA137" s="501"/>
      <c r="AOB137" s="501"/>
      <c r="AOC137" s="501"/>
      <c r="AOD137" s="501"/>
      <c r="AOE137" s="501"/>
      <c r="AOF137" s="501"/>
      <c r="AOG137" s="501"/>
      <c r="AOH137" s="501"/>
      <c r="AOI137" s="501"/>
      <c r="AOJ137" s="501"/>
      <c r="AOK137" s="501"/>
      <c r="AOL137" s="501"/>
      <c r="AOM137" s="501"/>
      <c r="AON137" s="501"/>
      <c r="AOO137" s="501"/>
      <c r="AOP137" s="501"/>
      <c r="AOQ137" s="501"/>
      <c r="AOR137" s="501"/>
      <c r="AOS137" s="501"/>
      <c r="AOT137" s="501"/>
      <c r="AOU137" s="501"/>
      <c r="AOV137" s="501"/>
      <c r="AOW137" s="501"/>
      <c r="AOX137" s="501"/>
      <c r="AOY137" s="501"/>
      <c r="AOZ137" s="501"/>
      <c r="APA137" s="501"/>
      <c r="APB137" s="501"/>
      <c r="APC137" s="501"/>
      <c r="APD137" s="501"/>
      <c r="APE137" s="501"/>
      <c r="APF137" s="501"/>
      <c r="APG137" s="501"/>
      <c r="APH137" s="501"/>
      <c r="API137" s="501"/>
      <c r="APJ137" s="501"/>
      <c r="APK137" s="501"/>
      <c r="APL137" s="501"/>
      <c r="APM137" s="501"/>
      <c r="APN137" s="501"/>
      <c r="APO137" s="501"/>
      <c r="APP137" s="501"/>
      <c r="APQ137" s="501"/>
      <c r="APR137" s="501"/>
      <c r="APS137" s="501"/>
      <c r="APT137" s="501"/>
      <c r="APU137" s="501"/>
      <c r="APV137" s="501"/>
      <c r="APW137" s="501"/>
      <c r="APX137" s="501"/>
      <c r="APY137" s="501"/>
      <c r="APZ137" s="501"/>
      <c r="AQA137" s="501"/>
      <c r="AQB137" s="501"/>
      <c r="AQC137" s="501"/>
      <c r="AQD137" s="501"/>
      <c r="AQE137" s="501"/>
      <c r="AQF137" s="501"/>
      <c r="AQG137" s="501"/>
      <c r="AQH137" s="501"/>
      <c r="AQI137" s="501"/>
      <c r="AQJ137" s="501"/>
      <c r="AQK137" s="501"/>
      <c r="AQL137" s="501"/>
      <c r="AQM137" s="501"/>
      <c r="AQN137" s="501"/>
      <c r="AQO137" s="501"/>
      <c r="AQP137" s="501"/>
      <c r="AQQ137" s="501"/>
      <c r="AQR137" s="501"/>
      <c r="AQS137" s="501"/>
      <c r="AQT137" s="501"/>
      <c r="AQU137" s="501"/>
      <c r="AQV137" s="501"/>
      <c r="AQW137" s="501"/>
      <c r="AQX137" s="501"/>
      <c r="AQY137" s="501"/>
      <c r="AQZ137" s="501"/>
      <c r="ARA137" s="501"/>
      <c r="ARB137" s="501"/>
      <c r="ARC137" s="501"/>
      <c r="ARD137" s="501"/>
      <c r="ARE137" s="501"/>
      <c r="ARF137" s="501"/>
      <c r="ARG137" s="501"/>
      <c r="ARH137" s="501"/>
      <c r="ARI137" s="501"/>
      <c r="ARJ137" s="501"/>
      <c r="ARK137" s="501"/>
      <c r="ARL137" s="501"/>
      <c r="ARM137" s="501"/>
      <c r="ARN137" s="501"/>
      <c r="ARO137" s="501"/>
      <c r="ARP137" s="501"/>
      <c r="ARQ137" s="501"/>
      <c r="ARR137" s="501"/>
      <c r="ARS137" s="501"/>
      <c r="ART137" s="501"/>
      <c r="ARU137" s="501"/>
      <c r="ARV137" s="501"/>
      <c r="ARW137" s="501"/>
      <c r="ARX137" s="501"/>
      <c r="ARY137" s="501"/>
      <c r="ARZ137" s="501"/>
      <c r="ASA137" s="501"/>
      <c r="ASB137" s="501"/>
      <c r="ASC137" s="501"/>
      <c r="ASD137" s="501"/>
      <c r="ASE137" s="501"/>
      <c r="ASF137" s="501"/>
      <c r="ASG137" s="501"/>
      <c r="ASH137" s="501"/>
      <c r="ASI137" s="501"/>
      <c r="ASJ137" s="501"/>
      <c r="ASK137" s="501"/>
      <c r="ASL137" s="501"/>
      <c r="ASM137" s="501"/>
      <c r="ASN137" s="501"/>
      <c r="ASO137" s="501"/>
      <c r="ASP137" s="501"/>
      <c r="ASQ137" s="501"/>
      <c r="ASR137" s="501"/>
      <c r="ASS137" s="501"/>
      <c r="AST137" s="501"/>
      <c r="ASU137" s="501"/>
      <c r="ASV137" s="501"/>
      <c r="ASW137" s="501"/>
      <c r="ASX137" s="501"/>
      <c r="ASY137" s="501"/>
      <c r="ASZ137" s="501"/>
      <c r="ATA137" s="501"/>
      <c r="ATB137" s="501"/>
      <c r="ATC137" s="501"/>
      <c r="ATD137" s="501"/>
      <c r="ATE137" s="501"/>
      <c r="ATF137" s="501"/>
      <c r="ATG137" s="501"/>
      <c r="ATH137" s="501"/>
      <c r="ATI137" s="501"/>
      <c r="ATJ137" s="501"/>
      <c r="ATK137" s="501"/>
      <c r="ATL137" s="501"/>
      <c r="ATM137" s="501"/>
      <c r="ATN137" s="501"/>
      <c r="ATO137" s="501"/>
      <c r="ATP137" s="501"/>
      <c r="ATQ137" s="501"/>
      <c r="ATR137" s="501"/>
      <c r="ATS137" s="501"/>
      <c r="ATT137" s="501"/>
      <c r="ATU137" s="501"/>
      <c r="ATV137" s="501"/>
      <c r="ATW137" s="501"/>
      <c r="ATX137" s="501"/>
      <c r="ATY137" s="501"/>
      <c r="ATZ137" s="501"/>
      <c r="AUA137" s="501"/>
      <c r="AUB137" s="501"/>
      <c r="AUC137" s="501"/>
      <c r="AUD137" s="501"/>
      <c r="AUE137" s="501"/>
      <c r="AUF137" s="501"/>
      <c r="AUG137" s="501"/>
      <c r="AUH137" s="501"/>
      <c r="AUI137" s="501"/>
      <c r="AUJ137" s="501"/>
      <c r="AUK137" s="501"/>
      <c r="AUL137" s="501"/>
      <c r="AUM137" s="501"/>
      <c r="AUN137" s="501"/>
      <c r="AUO137" s="501"/>
      <c r="AUP137" s="501"/>
      <c r="AUQ137" s="501"/>
      <c r="AUR137" s="501"/>
      <c r="AUS137" s="501"/>
      <c r="AUT137" s="501"/>
      <c r="AUU137" s="501"/>
      <c r="AUV137" s="501"/>
      <c r="AUW137" s="501"/>
      <c r="AUX137" s="501"/>
      <c r="AUY137" s="501"/>
      <c r="AUZ137" s="501"/>
      <c r="AVA137" s="501"/>
      <c r="AVB137" s="501"/>
      <c r="AVC137" s="501"/>
      <c r="AVD137" s="501"/>
      <c r="AVE137" s="501"/>
      <c r="AVF137" s="501"/>
      <c r="AVG137" s="501"/>
      <c r="AVH137" s="501"/>
      <c r="AVI137" s="501"/>
      <c r="AVJ137" s="501"/>
      <c r="AVK137" s="501"/>
      <c r="AVL137" s="501"/>
      <c r="AVM137" s="501"/>
      <c r="AVN137" s="501"/>
      <c r="AVO137" s="501"/>
      <c r="AVP137" s="501"/>
      <c r="AVQ137" s="501"/>
      <c r="AVR137" s="501"/>
      <c r="AVS137" s="501"/>
      <c r="AVT137" s="501"/>
      <c r="AVU137" s="501"/>
      <c r="AVV137" s="501"/>
      <c r="AVW137" s="501"/>
      <c r="AVX137" s="501"/>
      <c r="AVY137" s="501"/>
      <c r="AVZ137" s="501"/>
      <c r="AWA137" s="501"/>
      <c r="AWB137" s="501"/>
      <c r="AWC137" s="501"/>
      <c r="AWD137" s="501"/>
      <c r="AWE137" s="501"/>
      <c r="AWF137" s="501"/>
    </row>
    <row r="138" spans="1:1280" ht="25.2">
      <c r="A138" s="761" t="s">
        <v>765</v>
      </c>
      <c r="B138" s="759" t="s">
        <v>628</v>
      </c>
      <c r="C138" s="760"/>
      <c r="D138" s="761" t="s">
        <v>1947</v>
      </c>
      <c r="E138" s="762" t="s">
        <v>1948</v>
      </c>
      <c r="F138" s="761" t="s">
        <v>607</v>
      </c>
      <c r="G138" s="756">
        <v>639</v>
      </c>
      <c r="H138" s="756">
        <v>27.06</v>
      </c>
      <c r="I138" s="756">
        <f t="shared" si="23"/>
        <v>33.81</v>
      </c>
      <c r="J138" s="756">
        <f t="shared" si="24"/>
        <v>21604.59</v>
      </c>
      <c r="K138" s="873"/>
      <c r="N138" s="631"/>
      <c r="O138" s="408"/>
      <c r="P138" s="501"/>
      <c r="Q138" s="501"/>
      <c r="R138" s="501"/>
      <c r="S138" s="501"/>
      <c r="T138" s="501"/>
      <c r="U138" s="501"/>
      <c r="V138" s="501"/>
      <c r="W138" s="501"/>
      <c r="X138" s="501"/>
      <c r="Y138" s="501"/>
      <c r="Z138" s="501"/>
      <c r="AA138" s="501"/>
      <c r="AB138" s="501"/>
      <c r="AC138" s="501"/>
      <c r="AD138" s="501"/>
      <c r="AE138" s="501"/>
      <c r="AF138" s="501"/>
      <c r="AG138" s="501"/>
      <c r="AH138" s="501"/>
      <c r="AI138" s="501"/>
      <c r="AJ138" s="501"/>
      <c r="AK138" s="501"/>
      <c r="AL138" s="501"/>
      <c r="AM138" s="501"/>
      <c r="AN138" s="501"/>
      <c r="AO138" s="501"/>
      <c r="AP138" s="501"/>
      <c r="AQ138" s="501"/>
      <c r="AR138" s="501"/>
      <c r="AS138" s="501"/>
      <c r="AT138" s="501"/>
      <c r="AU138" s="501"/>
      <c r="AV138" s="501"/>
      <c r="AW138" s="501"/>
      <c r="AX138" s="501"/>
      <c r="AY138" s="501"/>
      <c r="AZ138" s="501"/>
      <c r="BA138" s="501"/>
      <c r="BB138" s="501"/>
      <c r="BC138" s="501"/>
      <c r="BD138" s="501"/>
      <c r="BE138" s="501"/>
      <c r="BF138" s="501"/>
      <c r="BG138" s="501"/>
      <c r="BH138" s="501"/>
      <c r="BI138" s="501"/>
      <c r="BJ138" s="501"/>
      <c r="BK138" s="501"/>
      <c r="BL138" s="501"/>
      <c r="BM138" s="501"/>
      <c r="BN138" s="501"/>
      <c r="BO138" s="501"/>
      <c r="BP138" s="501"/>
      <c r="BQ138" s="501"/>
      <c r="BR138" s="501"/>
      <c r="BS138" s="501"/>
      <c r="BT138" s="501"/>
      <c r="BU138" s="501"/>
      <c r="BV138" s="501"/>
      <c r="BW138" s="501"/>
      <c r="BX138" s="501"/>
      <c r="BY138" s="501"/>
      <c r="BZ138" s="501"/>
      <c r="CA138" s="501"/>
      <c r="CB138" s="501"/>
      <c r="CC138" s="501"/>
      <c r="CD138" s="501"/>
      <c r="CE138" s="501"/>
      <c r="CF138" s="501"/>
      <c r="CG138" s="501"/>
      <c r="CH138" s="501"/>
      <c r="CI138" s="501"/>
      <c r="CJ138" s="501"/>
      <c r="CK138" s="501"/>
      <c r="CL138" s="501"/>
      <c r="CM138" s="501"/>
      <c r="CN138" s="501"/>
      <c r="CO138" s="501"/>
      <c r="CP138" s="501"/>
      <c r="CQ138" s="501"/>
      <c r="CR138" s="501"/>
      <c r="CS138" s="501"/>
      <c r="CT138" s="501"/>
      <c r="CU138" s="501"/>
      <c r="CV138" s="501"/>
      <c r="CW138" s="501"/>
      <c r="CX138" s="501"/>
      <c r="CY138" s="501"/>
      <c r="CZ138" s="501"/>
      <c r="DA138" s="501"/>
      <c r="DB138" s="501"/>
      <c r="DC138" s="501"/>
      <c r="DD138" s="501"/>
      <c r="DE138" s="501"/>
      <c r="DF138" s="501"/>
      <c r="DG138" s="501"/>
      <c r="DH138" s="501"/>
      <c r="DI138" s="501"/>
      <c r="DJ138" s="501"/>
      <c r="DK138" s="501"/>
      <c r="DL138" s="501"/>
      <c r="DM138" s="501"/>
      <c r="DN138" s="501"/>
      <c r="DO138" s="501"/>
      <c r="DP138" s="501"/>
      <c r="DQ138" s="501"/>
      <c r="DR138" s="501"/>
      <c r="DS138" s="501"/>
      <c r="DT138" s="501"/>
      <c r="DU138" s="501"/>
      <c r="DV138" s="501"/>
      <c r="DW138" s="501"/>
      <c r="DX138" s="501"/>
      <c r="DY138" s="501"/>
      <c r="DZ138" s="501"/>
      <c r="EA138" s="501"/>
      <c r="EB138" s="501"/>
      <c r="EC138" s="501"/>
      <c r="ED138" s="501"/>
      <c r="EE138" s="501"/>
      <c r="EF138" s="501"/>
      <c r="EG138" s="501"/>
      <c r="EH138" s="501"/>
      <c r="EI138" s="501"/>
      <c r="EJ138" s="501"/>
      <c r="EK138" s="501"/>
      <c r="EL138" s="501"/>
      <c r="EM138" s="501"/>
      <c r="EN138" s="501"/>
      <c r="EO138" s="501"/>
      <c r="EP138" s="501"/>
      <c r="EQ138" s="501"/>
      <c r="ER138" s="501"/>
      <c r="ES138" s="501"/>
      <c r="ET138" s="501"/>
      <c r="EU138" s="501"/>
      <c r="EV138" s="501"/>
      <c r="EW138" s="501"/>
      <c r="EX138" s="501"/>
      <c r="EY138" s="501"/>
      <c r="EZ138" s="501"/>
      <c r="FA138" s="501"/>
      <c r="FB138" s="501"/>
      <c r="FC138" s="501"/>
      <c r="FD138" s="501"/>
      <c r="FE138" s="501"/>
      <c r="FF138" s="501"/>
      <c r="FG138" s="501"/>
      <c r="FH138" s="501"/>
      <c r="FI138" s="501"/>
      <c r="FJ138" s="501"/>
      <c r="FK138" s="501"/>
      <c r="FL138" s="501"/>
      <c r="FM138" s="501"/>
      <c r="FN138" s="501"/>
      <c r="FO138" s="501"/>
      <c r="FP138" s="501"/>
      <c r="FQ138" s="501"/>
      <c r="FR138" s="501"/>
      <c r="FS138" s="501"/>
      <c r="FT138" s="501"/>
      <c r="FU138" s="501"/>
      <c r="FV138" s="501"/>
      <c r="FW138" s="501"/>
      <c r="FX138" s="501"/>
      <c r="FY138" s="501"/>
      <c r="FZ138" s="501"/>
      <c r="GA138" s="501"/>
      <c r="GB138" s="501"/>
      <c r="GC138" s="501"/>
      <c r="GD138" s="501"/>
      <c r="GE138" s="501"/>
      <c r="GF138" s="501"/>
      <c r="GG138" s="501"/>
      <c r="GH138" s="501"/>
      <c r="GI138" s="501"/>
      <c r="GJ138" s="501"/>
      <c r="GK138" s="501"/>
      <c r="GL138" s="501"/>
      <c r="GM138" s="501"/>
      <c r="GN138" s="501"/>
      <c r="GO138" s="501"/>
      <c r="GP138" s="501"/>
      <c r="GQ138" s="501"/>
      <c r="GR138" s="501"/>
      <c r="GS138" s="501"/>
      <c r="GT138" s="501"/>
      <c r="GU138" s="501"/>
      <c r="GV138" s="501"/>
      <c r="GW138" s="501"/>
      <c r="GX138" s="501"/>
      <c r="GY138" s="501"/>
      <c r="GZ138" s="501"/>
      <c r="HA138" s="501"/>
      <c r="HB138" s="501"/>
      <c r="HC138" s="501"/>
      <c r="HD138" s="501"/>
      <c r="HE138" s="501"/>
      <c r="HF138" s="501"/>
      <c r="HG138" s="501"/>
      <c r="HH138" s="501"/>
      <c r="HI138" s="501"/>
      <c r="HJ138" s="501"/>
      <c r="HK138" s="501"/>
      <c r="HL138" s="501"/>
      <c r="HM138" s="501"/>
      <c r="HN138" s="501"/>
      <c r="HO138" s="501"/>
      <c r="HP138" s="501"/>
      <c r="HQ138" s="501"/>
      <c r="HR138" s="501"/>
      <c r="HS138" s="501"/>
      <c r="HT138" s="501"/>
      <c r="HU138" s="501"/>
      <c r="HV138" s="501"/>
      <c r="HW138" s="501"/>
      <c r="HX138" s="501"/>
      <c r="HY138" s="501"/>
      <c r="HZ138" s="501"/>
      <c r="IA138" s="501"/>
      <c r="IB138" s="501"/>
      <c r="IC138" s="501"/>
      <c r="ID138" s="501"/>
      <c r="IE138" s="501"/>
      <c r="IF138" s="501"/>
      <c r="IG138" s="501"/>
      <c r="IH138" s="501"/>
      <c r="II138" s="501"/>
      <c r="IJ138" s="501"/>
      <c r="IK138" s="501"/>
      <c r="IL138" s="501"/>
      <c r="IM138" s="501"/>
      <c r="IN138" s="501"/>
      <c r="IO138" s="501"/>
      <c r="IP138" s="501"/>
      <c r="IQ138" s="501"/>
      <c r="IR138" s="501"/>
      <c r="IS138" s="501"/>
      <c r="IT138" s="501"/>
      <c r="IU138" s="501"/>
      <c r="IV138" s="501"/>
      <c r="IW138" s="501"/>
      <c r="IX138" s="501"/>
      <c r="IY138" s="501"/>
      <c r="IZ138" s="501"/>
      <c r="JA138" s="501"/>
      <c r="JB138" s="501"/>
      <c r="JC138" s="501"/>
      <c r="JD138" s="501"/>
      <c r="JE138" s="501"/>
      <c r="JF138" s="501"/>
      <c r="JG138" s="501"/>
      <c r="JH138" s="501"/>
      <c r="JI138" s="501"/>
      <c r="JJ138" s="501"/>
      <c r="JK138" s="501"/>
      <c r="JL138" s="501"/>
      <c r="JM138" s="501"/>
      <c r="JN138" s="501"/>
      <c r="JO138" s="501"/>
      <c r="JP138" s="501"/>
      <c r="JQ138" s="501"/>
      <c r="JR138" s="501"/>
      <c r="JS138" s="501"/>
      <c r="JT138" s="501"/>
      <c r="JU138" s="501"/>
      <c r="JV138" s="501"/>
      <c r="JW138" s="501"/>
      <c r="JX138" s="501"/>
      <c r="JY138" s="501"/>
      <c r="JZ138" s="501"/>
      <c r="KA138" s="501"/>
      <c r="KB138" s="501"/>
      <c r="KC138" s="501"/>
      <c r="KD138" s="501"/>
      <c r="KE138" s="501"/>
      <c r="KF138" s="501"/>
      <c r="KG138" s="501"/>
      <c r="KH138" s="501"/>
      <c r="KI138" s="501"/>
      <c r="KJ138" s="501"/>
      <c r="KK138" s="501"/>
      <c r="KL138" s="501"/>
      <c r="KM138" s="501"/>
      <c r="KN138" s="501"/>
      <c r="KO138" s="501"/>
      <c r="KP138" s="501"/>
      <c r="KQ138" s="501"/>
      <c r="KR138" s="501"/>
      <c r="KS138" s="501"/>
      <c r="KT138" s="501"/>
      <c r="KU138" s="501"/>
      <c r="KV138" s="501"/>
      <c r="KW138" s="501"/>
      <c r="KX138" s="501"/>
      <c r="KY138" s="501"/>
      <c r="KZ138" s="501"/>
      <c r="LA138" s="501"/>
      <c r="LB138" s="501"/>
      <c r="LC138" s="501"/>
      <c r="LD138" s="501"/>
      <c r="LE138" s="501"/>
      <c r="LF138" s="501"/>
      <c r="LG138" s="501"/>
      <c r="LH138" s="501"/>
      <c r="LI138" s="501"/>
      <c r="LJ138" s="501"/>
      <c r="LK138" s="501"/>
      <c r="LL138" s="501"/>
      <c r="LM138" s="501"/>
      <c r="LN138" s="501"/>
      <c r="LO138" s="501"/>
      <c r="LP138" s="501"/>
      <c r="LQ138" s="501"/>
      <c r="LR138" s="501"/>
      <c r="LS138" s="501"/>
      <c r="LT138" s="501"/>
      <c r="LU138" s="501"/>
      <c r="LV138" s="501"/>
      <c r="LW138" s="501"/>
      <c r="LX138" s="501"/>
      <c r="LY138" s="501"/>
      <c r="LZ138" s="501"/>
      <c r="MA138" s="501"/>
      <c r="MB138" s="501"/>
      <c r="MC138" s="501"/>
      <c r="MD138" s="501"/>
      <c r="ME138" s="501"/>
      <c r="MF138" s="501"/>
      <c r="MG138" s="501"/>
      <c r="MH138" s="501"/>
      <c r="MI138" s="501"/>
      <c r="MJ138" s="501"/>
      <c r="MK138" s="501"/>
      <c r="ML138" s="501"/>
      <c r="MM138" s="501"/>
      <c r="MN138" s="501"/>
      <c r="MO138" s="501"/>
      <c r="MP138" s="501"/>
      <c r="MQ138" s="501"/>
      <c r="MR138" s="501"/>
      <c r="MS138" s="501"/>
      <c r="MT138" s="501"/>
      <c r="MU138" s="501"/>
      <c r="MV138" s="501"/>
      <c r="MW138" s="501"/>
      <c r="MX138" s="501"/>
      <c r="MY138" s="501"/>
      <c r="MZ138" s="501"/>
      <c r="NA138" s="501"/>
      <c r="NB138" s="501"/>
      <c r="NC138" s="501"/>
      <c r="ND138" s="501"/>
      <c r="NE138" s="501"/>
      <c r="NF138" s="501"/>
      <c r="NG138" s="501"/>
      <c r="NH138" s="501"/>
      <c r="NI138" s="501"/>
      <c r="NJ138" s="501"/>
      <c r="NK138" s="501"/>
      <c r="NL138" s="501"/>
      <c r="NM138" s="501"/>
      <c r="NN138" s="501"/>
      <c r="NO138" s="501"/>
      <c r="NP138" s="501"/>
      <c r="NQ138" s="501"/>
      <c r="NR138" s="501"/>
      <c r="NS138" s="501"/>
      <c r="NT138" s="501"/>
      <c r="NU138" s="501"/>
      <c r="NV138" s="501"/>
      <c r="NW138" s="501"/>
      <c r="NX138" s="501"/>
      <c r="NY138" s="501"/>
      <c r="NZ138" s="501"/>
      <c r="OA138" s="501"/>
      <c r="OB138" s="501"/>
      <c r="OC138" s="501"/>
      <c r="OD138" s="501"/>
      <c r="OE138" s="501"/>
      <c r="OF138" s="501"/>
      <c r="OG138" s="501"/>
      <c r="OH138" s="501"/>
      <c r="OI138" s="501"/>
      <c r="OJ138" s="501"/>
      <c r="OK138" s="501"/>
      <c r="OL138" s="501"/>
      <c r="OM138" s="501"/>
      <c r="ON138" s="501"/>
      <c r="OO138" s="501"/>
      <c r="OP138" s="501"/>
      <c r="OQ138" s="501"/>
      <c r="OR138" s="501"/>
      <c r="OS138" s="501"/>
      <c r="OT138" s="501"/>
      <c r="OU138" s="501"/>
      <c r="OV138" s="501"/>
      <c r="OW138" s="501"/>
      <c r="OX138" s="501"/>
      <c r="OY138" s="501"/>
      <c r="OZ138" s="501"/>
      <c r="PA138" s="501"/>
      <c r="PB138" s="501"/>
      <c r="PC138" s="501"/>
      <c r="PD138" s="501"/>
      <c r="PE138" s="501"/>
      <c r="PF138" s="501"/>
      <c r="PG138" s="501"/>
      <c r="PH138" s="501"/>
      <c r="PI138" s="501"/>
      <c r="PJ138" s="501"/>
      <c r="PK138" s="501"/>
      <c r="PL138" s="501"/>
      <c r="PM138" s="501"/>
      <c r="PN138" s="501"/>
      <c r="PO138" s="501"/>
      <c r="PP138" s="501"/>
      <c r="PQ138" s="501"/>
      <c r="PR138" s="501"/>
      <c r="PS138" s="501"/>
      <c r="PT138" s="501"/>
      <c r="PU138" s="501"/>
      <c r="PV138" s="501"/>
      <c r="PW138" s="501"/>
      <c r="PX138" s="501"/>
      <c r="PY138" s="501"/>
      <c r="PZ138" s="501"/>
      <c r="QA138" s="501"/>
      <c r="QB138" s="501"/>
      <c r="QC138" s="501"/>
      <c r="QD138" s="501"/>
      <c r="QE138" s="501"/>
      <c r="QF138" s="501"/>
      <c r="QG138" s="501"/>
      <c r="QH138" s="501"/>
      <c r="QI138" s="501"/>
      <c r="QJ138" s="501"/>
      <c r="QK138" s="501"/>
      <c r="QL138" s="501"/>
      <c r="QM138" s="501"/>
      <c r="QN138" s="501"/>
      <c r="QO138" s="501"/>
      <c r="QP138" s="501"/>
      <c r="QQ138" s="501"/>
      <c r="QR138" s="501"/>
      <c r="QS138" s="501"/>
      <c r="QT138" s="501"/>
      <c r="QU138" s="501"/>
      <c r="QV138" s="501"/>
      <c r="QW138" s="501"/>
      <c r="QX138" s="501"/>
      <c r="QY138" s="501"/>
      <c r="QZ138" s="501"/>
      <c r="RA138" s="501"/>
      <c r="RB138" s="501"/>
      <c r="RC138" s="501"/>
      <c r="RD138" s="501"/>
      <c r="RE138" s="501"/>
      <c r="RF138" s="501"/>
      <c r="RG138" s="501"/>
      <c r="RH138" s="501"/>
      <c r="RI138" s="501"/>
      <c r="RJ138" s="501"/>
      <c r="RK138" s="501"/>
      <c r="RL138" s="501"/>
      <c r="RM138" s="501"/>
      <c r="RN138" s="501"/>
      <c r="RO138" s="501"/>
      <c r="RP138" s="501"/>
      <c r="RQ138" s="501"/>
      <c r="RR138" s="501"/>
      <c r="RS138" s="501"/>
      <c r="RT138" s="501"/>
      <c r="RU138" s="501"/>
      <c r="RV138" s="501"/>
      <c r="RW138" s="501"/>
      <c r="RX138" s="501"/>
      <c r="RY138" s="501"/>
      <c r="RZ138" s="501"/>
      <c r="SA138" s="501"/>
      <c r="SB138" s="501"/>
      <c r="SC138" s="501"/>
      <c r="SD138" s="501"/>
      <c r="SE138" s="501"/>
      <c r="SF138" s="501"/>
      <c r="SG138" s="501"/>
      <c r="SH138" s="501"/>
      <c r="SI138" s="501"/>
      <c r="SJ138" s="501"/>
      <c r="SK138" s="501"/>
      <c r="SL138" s="501"/>
      <c r="SM138" s="501"/>
      <c r="SN138" s="501"/>
      <c r="SO138" s="501"/>
      <c r="SP138" s="501"/>
      <c r="SQ138" s="501"/>
      <c r="SR138" s="501"/>
      <c r="SS138" s="501"/>
      <c r="ST138" s="501"/>
      <c r="SU138" s="501"/>
      <c r="SV138" s="501"/>
      <c r="SW138" s="501"/>
      <c r="SX138" s="501"/>
      <c r="SY138" s="501"/>
      <c r="SZ138" s="501"/>
      <c r="TA138" s="501"/>
      <c r="TB138" s="501"/>
      <c r="TC138" s="501"/>
      <c r="TD138" s="501"/>
      <c r="TE138" s="501"/>
      <c r="TF138" s="501"/>
      <c r="TG138" s="501"/>
      <c r="TH138" s="501"/>
      <c r="TI138" s="501"/>
      <c r="TJ138" s="501"/>
      <c r="TK138" s="501"/>
      <c r="TL138" s="501"/>
      <c r="TM138" s="501"/>
      <c r="TN138" s="501"/>
      <c r="TO138" s="501"/>
      <c r="TP138" s="501"/>
      <c r="TQ138" s="501"/>
      <c r="TR138" s="501"/>
      <c r="TS138" s="501"/>
      <c r="TT138" s="501"/>
      <c r="TU138" s="501"/>
      <c r="TV138" s="501"/>
      <c r="TW138" s="501"/>
      <c r="TX138" s="501"/>
      <c r="TY138" s="501"/>
      <c r="TZ138" s="501"/>
      <c r="UA138" s="501"/>
      <c r="UB138" s="501"/>
      <c r="UC138" s="501"/>
      <c r="UD138" s="501"/>
      <c r="UE138" s="501"/>
      <c r="UF138" s="501"/>
      <c r="UG138" s="501"/>
      <c r="UH138" s="501"/>
      <c r="UI138" s="501"/>
      <c r="UJ138" s="501"/>
      <c r="UK138" s="501"/>
      <c r="UL138" s="501"/>
      <c r="UM138" s="501"/>
      <c r="UN138" s="501"/>
      <c r="UO138" s="501"/>
      <c r="UP138" s="501"/>
      <c r="UQ138" s="501"/>
      <c r="UR138" s="501"/>
      <c r="US138" s="501"/>
      <c r="UT138" s="501"/>
      <c r="UU138" s="501"/>
      <c r="UV138" s="501"/>
      <c r="UW138" s="501"/>
      <c r="UX138" s="501"/>
      <c r="UY138" s="501"/>
      <c r="UZ138" s="501"/>
      <c r="VA138" s="501"/>
      <c r="VB138" s="501"/>
      <c r="VC138" s="501"/>
      <c r="VD138" s="501"/>
      <c r="VE138" s="501"/>
      <c r="VF138" s="501"/>
      <c r="VG138" s="501"/>
      <c r="VH138" s="501"/>
      <c r="VI138" s="501"/>
      <c r="VJ138" s="501"/>
      <c r="VK138" s="501"/>
      <c r="VL138" s="501"/>
      <c r="VM138" s="501"/>
      <c r="VN138" s="501"/>
      <c r="VO138" s="501"/>
      <c r="VP138" s="501"/>
      <c r="VQ138" s="501"/>
      <c r="VR138" s="501"/>
      <c r="VS138" s="501"/>
      <c r="VT138" s="501"/>
      <c r="VU138" s="501"/>
      <c r="VV138" s="501"/>
      <c r="VW138" s="501"/>
      <c r="VX138" s="501"/>
      <c r="VY138" s="501"/>
      <c r="VZ138" s="501"/>
      <c r="WA138" s="501"/>
      <c r="WB138" s="501"/>
      <c r="WC138" s="501"/>
      <c r="WD138" s="501"/>
      <c r="WE138" s="501"/>
      <c r="WF138" s="501"/>
      <c r="WG138" s="501"/>
      <c r="WH138" s="501"/>
      <c r="WI138" s="501"/>
      <c r="WJ138" s="501"/>
      <c r="WK138" s="501"/>
      <c r="WL138" s="501"/>
      <c r="WM138" s="501"/>
      <c r="WN138" s="501"/>
      <c r="WO138" s="501"/>
      <c r="WP138" s="501"/>
      <c r="WQ138" s="501"/>
      <c r="WR138" s="501"/>
      <c r="WS138" s="501"/>
      <c r="WT138" s="501"/>
      <c r="WU138" s="501"/>
      <c r="WV138" s="501"/>
      <c r="WW138" s="501"/>
      <c r="WX138" s="501"/>
      <c r="WY138" s="501"/>
      <c r="WZ138" s="501"/>
      <c r="XA138" s="501"/>
      <c r="XB138" s="501"/>
      <c r="XC138" s="501"/>
      <c r="XD138" s="501"/>
      <c r="XE138" s="501"/>
      <c r="XF138" s="501"/>
      <c r="XG138" s="501"/>
      <c r="XH138" s="501"/>
      <c r="XI138" s="501"/>
      <c r="XJ138" s="501"/>
      <c r="XK138" s="501"/>
      <c r="XL138" s="501"/>
      <c r="XM138" s="501"/>
      <c r="XN138" s="501"/>
      <c r="XO138" s="501"/>
      <c r="XP138" s="501"/>
      <c r="XQ138" s="501"/>
      <c r="XR138" s="501"/>
      <c r="XS138" s="501"/>
      <c r="XT138" s="501"/>
      <c r="XU138" s="501"/>
      <c r="XV138" s="501"/>
      <c r="XW138" s="501"/>
      <c r="XX138" s="501"/>
      <c r="XY138" s="501"/>
      <c r="XZ138" s="501"/>
      <c r="YA138" s="501"/>
      <c r="YB138" s="501"/>
      <c r="YC138" s="501"/>
      <c r="YD138" s="501"/>
      <c r="YE138" s="501"/>
      <c r="YF138" s="501"/>
      <c r="YG138" s="501"/>
      <c r="YH138" s="501"/>
      <c r="YI138" s="501"/>
      <c r="YJ138" s="501"/>
      <c r="YK138" s="501"/>
      <c r="YL138" s="501"/>
      <c r="YM138" s="501"/>
      <c r="YN138" s="501"/>
      <c r="YO138" s="501"/>
      <c r="YP138" s="501"/>
      <c r="YQ138" s="501"/>
      <c r="YR138" s="501"/>
      <c r="YS138" s="501"/>
      <c r="YT138" s="501"/>
      <c r="YU138" s="501"/>
      <c r="YV138" s="501"/>
      <c r="YW138" s="501"/>
      <c r="YX138" s="501"/>
      <c r="YY138" s="501"/>
      <c r="YZ138" s="501"/>
      <c r="ZA138" s="501"/>
      <c r="ZB138" s="501"/>
      <c r="ZC138" s="501"/>
      <c r="ZD138" s="501"/>
      <c r="ZE138" s="501"/>
      <c r="ZF138" s="501"/>
      <c r="ZG138" s="501"/>
      <c r="ZH138" s="501"/>
      <c r="ZI138" s="501"/>
      <c r="ZJ138" s="501"/>
      <c r="ZK138" s="501"/>
      <c r="ZL138" s="501"/>
      <c r="ZM138" s="501"/>
      <c r="ZN138" s="501"/>
      <c r="ZO138" s="501"/>
      <c r="ZP138" s="501"/>
      <c r="ZQ138" s="501"/>
      <c r="ZR138" s="501"/>
      <c r="ZS138" s="501"/>
      <c r="ZT138" s="501"/>
      <c r="ZU138" s="501"/>
      <c r="ZV138" s="501"/>
      <c r="ZW138" s="501"/>
      <c r="ZX138" s="501"/>
      <c r="ZY138" s="501"/>
      <c r="ZZ138" s="501"/>
      <c r="AAA138" s="501"/>
      <c r="AAB138" s="501"/>
      <c r="AAC138" s="501"/>
      <c r="AAD138" s="501"/>
      <c r="AAE138" s="501"/>
      <c r="AAF138" s="501"/>
      <c r="AAG138" s="501"/>
      <c r="AAH138" s="501"/>
      <c r="AAI138" s="501"/>
      <c r="AAJ138" s="501"/>
      <c r="AAK138" s="501"/>
      <c r="AAL138" s="501"/>
      <c r="AAM138" s="501"/>
      <c r="AAN138" s="501"/>
      <c r="AAO138" s="501"/>
      <c r="AAP138" s="501"/>
      <c r="AAQ138" s="501"/>
      <c r="AAR138" s="501"/>
      <c r="AAS138" s="501"/>
      <c r="AAT138" s="501"/>
      <c r="AAU138" s="501"/>
      <c r="AAV138" s="501"/>
      <c r="AAW138" s="501"/>
      <c r="AAX138" s="501"/>
      <c r="AAY138" s="501"/>
      <c r="AAZ138" s="501"/>
      <c r="ABA138" s="501"/>
      <c r="ABB138" s="501"/>
      <c r="ABC138" s="501"/>
      <c r="ABD138" s="501"/>
      <c r="ABE138" s="501"/>
      <c r="ABF138" s="501"/>
      <c r="ABG138" s="501"/>
      <c r="ABH138" s="501"/>
      <c r="ABI138" s="501"/>
      <c r="ABJ138" s="501"/>
      <c r="ABK138" s="501"/>
      <c r="ABL138" s="501"/>
      <c r="ABM138" s="501"/>
      <c r="ABN138" s="501"/>
      <c r="ABO138" s="501"/>
      <c r="ABP138" s="501"/>
      <c r="ABQ138" s="501"/>
      <c r="ABR138" s="501"/>
      <c r="ABS138" s="501"/>
      <c r="ABT138" s="501"/>
      <c r="ABU138" s="501"/>
      <c r="ABV138" s="501"/>
      <c r="ABW138" s="501"/>
      <c r="ABX138" s="501"/>
      <c r="ABY138" s="501"/>
      <c r="ABZ138" s="501"/>
      <c r="ACA138" s="501"/>
      <c r="ACB138" s="501"/>
      <c r="ACC138" s="501"/>
      <c r="ACD138" s="501"/>
      <c r="ACE138" s="501"/>
      <c r="ACF138" s="501"/>
      <c r="ACG138" s="501"/>
      <c r="ACH138" s="501"/>
      <c r="ACI138" s="501"/>
      <c r="ACJ138" s="501"/>
      <c r="ACK138" s="501"/>
      <c r="ACL138" s="501"/>
      <c r="ACM138" s="501"/>
      <c r="ACN138" s="501"/>
      <c r="ACO138" s="501"/>
      <c r="ACP138" s="501"/>
      <c r="ACQ138" s="501"/>
      <c r="ACR138" s="501"/>
      <c r="ACS138" s="501"/>
      <c r="ACT138" s="501"/>
      <c r="ACU138" s="501"/>
      <c r="ACV138" s="501"/>
      <c r="ACW138" s="501"/>
      <c r="ACX138" s="501"/>
      <c r="ACY138" s="501"/>
      <c r="ACZ138" s="501"/>
      <c r="ADA138" s="501"/>
      <c r="ADB138" s="501"/>
      <c r="ADC138" s="501"/>
      <c r="ADD138" s="501"/>
      <c r="ADE138" s="501"/>
      <c r="ADF138" s="501"/>
      <c r="ADG138" s="501"/>
      <c r="ADH138" s="501"/>
      <c r="ADI138" s="501"/>
      <c r="ADJ138" s="501"/>
      <c r="ADK138" s="501"/>
      <c r="ADL138" s="501"/>
      <c r="ADM138" s="501"/>
      <c r="ADN138" s="501"/>
      <c r="ADO138" s="501"/>
      <c r="ADP138" s="501"/>
      <c r="ADQ138" s="501"/>
      <c r="ADR138" s="501"/>
      <c r="ADS138" s="501"/>
      <c r="ADT138" s="501"/>
      <c r="ADU138" s="501"/>
      <c r="ADV138" s="501"/>
      <c r="ADW138" s="501"/>
      <c r="ADX138" s="501"/>
      <c r="ADY138" s="501"/>
      <c r="ADZ138" s="501"/>
      <c r="AEA138" s="501"/>
      <c r="AEB138" s="501"/>
      <c r="AEC138" s="501"/>
      <c r="AED138" s="501"/>
      <c r="AEE138" s="501"/>
      <c r="AEF138" s="501"/>
      <c r="AEG138" s="501"/>
      <c r="AEH138" s="501"/>
      <c r="AEI138" s="501"/>
      <c r="AEJ138" s="501"/>
      <c r="AEK138" s="501"/>
      <c r="AEL138" s="501"/>
      <c r="AEM138" s="501"/>
      <c r="AEN138" s="501"/>
      <c r="AEO138" s="501"/>
      <c r="AEP138" s="501"/>
      <c r="AEQ138" s="501"/>
      <c r="AER138" s="501"/>
      <c r="AES138" s="501"/>
      <c r="AET138" s="501"/>
      <c r="AEU138" s="501"/>
      <c r="AEV138" s="501"/>
      <c r="AEW138" s="501"/>
      <c r="AEX138" s="501"/>
      <c r="AEY138" s="501"/>
      <c r="AEZ138" s="501"/>
      <c r="AFA138" s="501"/>
      <c r="AFB138" s="501"/>
      <c r="AFC138" s="501"/>
      <c r="AFD138" s="501"/>
      <c r="AFE138" s="501"/>
      <c r="AFF138" s="501"/>
      <c r="AFG138" s="501"/>
      <c r="AFH138" s="501"/>
      <c r="AFI138" s="501"/>
      <c r="AFJ138" s="501"/>
      <c r="AFK138" s="501"/>
      <c r="AFL138" s="501"/>
      <c r="AFM138" s="501"/>
      <c r="AFN138" s="501"/>
      <c r="AFO138" s="501"/>
      <c r="AFP138" s="501"/>
      <c r="AFQ138" s="501"/>
      <c r="AFR138" s="501"/>
      <c r="AFS138" s="501"/>
      <c r="AFT138" s="501"/>
      <c r="AFU138" s="501"/>
      <c r="AFV138" s="501"/>
      <c r="AFW138" s="501"/>
      <c r="AFX138" s="501"/>
      <c r="AFY138" s="501"/>
      <c r="AFZ138" s="501"/>
      <c r="AGA138" s="501"/>
      <c r="AGB138" s="501"/>
      <c r="AGC138" s="501"/>
      <c r="AGD138" s="501"/>
      <c r="AGE138" s="501"/>
      <c r="AGF138" s="501"/>
      <c r="AGG138" s="501"/>
      <c r="AGH138" s="501"/>
      <c r="AGI138" s="501"/>
      <c r="AGJ138" s="501"/>
      <c r="AGK138" s="501"/>
      <c r="AGL138" s="501"/>
      <c r="AGM138" s="501"/>
      <c r="AGN138" s="501"/>
      <c r="AGO138" s="501"/>
      <c r="AGP138" s="501"/>
      <c r="AGQ138" s="501"/>
      <c r="AGR138" s="501"/>
      <c r="AGS138" s="501"/>
      <c r="AGT138" s="501"/>
      <c r="AGU138" s="501"/>
      <c r="AGV138" s="501"/>
      <c r="AGW138" s="501"/>
      <c r="AGX138" s="501"/>
      <c r="AGY138" s="501"/>
      <c r="AGZ138" s="501"/>
      <c r="AHA138" s="501"/>
      <c r="AHB138" s="501"/>
      <c r="AHC138" s="501"/>
      <c r="AHD138" s="501"/>
      <c r="AHE138" s="501"/>
      <c r="AHF138" s="501"/>
      <c r="AHG138" s="501"/>
      <c r="AHH138" s="501"/>
      <c r="AHI138" s="501"/>
      <c r="AHJ138" s="501"/>
      <c r="AHK138" s="501"/>
      <c r="AHL138" s="501"/>
      <c r="AHM138" s="501"/>
      <c r="AHN138" s="501"/>
      <c r="AHO138" s="501"/>
      <c r="AHP138" s="501"/>
      <c r="AHQ138" s="501"/>
      <c r="AHR138" s="501"/>
      <c r="AHS138" s="501"/>
      <c r="AHT138" s="501"/>
      <c r="AHU138" s="501"/>
      <c r="AHV138" s="501"/>
      <c r="AHW138" s="501"/>
      <c r="AHX138" s="501"/>
      <c r="AHY138" s="501"/>
      <c r="AHZ138" s="501"/>
      <c r="AIA138" s="501"/>
      <c r="AIB138" s="501"/>
      <c r="AIC138" s="501"/>
      <c r="AID138" s="501"/>
      <c r="AIE138" s="501"/>
      <c r="AIF138" s="501"/>
      <c r="AIG138" s="501"/>
      <c r="AIH138" s="501"/>
      <c r="AII138" s="501"/>
      <c r="AIJ138" s="501"/>
      <c r="AIK138" s="501"/>
      <c r="AIL138" s="501"/>
      <c r="AIM138" s="501"/>
      <c r="AIN138" s="501"/>
      <c r="AIO138" s="501"/>
      <c r="AIP138" s="501"/>
      <c r="AIQ138" s="501"/>
      <c r="AIR138" s="501"/>
      <c r="AIS138" s="501"/>
      <c r="AIT138" s="501"/>
      <c r="AIU138" s="501"/>
      <c r="AIV138" s="501"/>
      <c r="AIW138" s="501"/>
      <c r="AIX138" s="501"/>
      <c r="AIY138" s="501"/>
      <c r="AIZ138" s="501"/>
      <c r="AJA138" s="501"/>
      <c r="AJB138" s="501"/>
      <c r="AJC138" s="501"/>
      <c r="AJD138" s="501"/>
      <c r="AJE138" s="501"/>
      <c r="AJF138" s="501"/>
      <c r="AJG138" s="501"/>
      <c r="AJH138" s="501"/>
      <c r="AJI138" s="501"/>
      <c r="AJJ138" s="501"/>
      <c r="AJK138" s="501"/>
      <c r="AJL138" s="501"/>
      <c r="AJM138" s="501"/>
      <c r="AJN138" s="501"/>
      <c r="AJO138" s="501"/>
      <c r="AJP138" s="501"/>
      <c r="AJQ138" s="501"/>
      <c r="AJR138" s="501"/>
      <c r="AJS138" s="501"/>
      <c r="AJT138" s="501"/>
      <c r="AJU138" s="501"/>
      <c r="AJV138" s="501"/>
      <c r="AJW138" s="501"/>
      <c r="AJX138" s="501"/>
      <c r="AJY138" s="501"/>
      <c r="AJZ138" s="501"/>
      <c r="AKA138" s="501"/>
      <c r="AKB138" s="501"/>
      <c r="AKC138" s="501"/>
      <c r="AKD138" s="501"/>
      <c r="AKE138" s="501"/>
      <c r="AKF138" s="501"/>
      <c r="AKG138" s="501"/>
      <c r="AKH138" s="501"/>
      <c r="AKI138" s="501"/>
      <c r="AKJ138" s="501"/>
      <c r="AKK138" s="501"/>
      <c r="AKL138" s="501"/>
      <c r="AKM138" s="501"/>
      <c r="AKN138" s="501"/>
      <c r="AKO138" s="501"/>
      <c r="AKP138" s="501"/>
      <c r="AKQ138" s="501"/>
      <c r="AKR138" s="501"/>
      <c r="AKS138" s="501"/>
      <c r="AKT138" s="501"/>
      <c r="AKU138" s="501"/>
      <c r="AKV138" s="501"/>
      <c r="AKW138" s="501"/>
      <c r="AKX138" s="501"/>
      <c r="AKY138" s="501"/>
      <c r="AKZ138" s="501"/>
      <c r="ALA138" s="501"/>
      <c r="ALB138" s="501"/>
      <c r="ALC138" s="501"/>
      <c r="ALD138" s="501"/>
      <c r="ALE138" s="501"/>
      <c r="ALF138" s="501"/>
      <c r="ALG138" s="501"/>
      <c r="ALH138" s="501"/>
      <c r="ALI138" s="501"/>
      <c r="ALJ138" s="501"/>
      <c r="ALK138" s="501"/>
      <c r="ALL138" s="501"/>
      <c r="ALM138" s="501"/>
      <c r="ALN138" s="501"/>
      <c r="ALO138" s="501"/>
      <c r="ALP138" s="501"/>
      <c r="ALQ138" s="501"/>
      <c r="ALR138" s="501"/>
      <c r="ALS138" s="501"/>
      <c r="ALT138" s="501"/>
      <c r="ALU138" s="501"/>
      <c r="ALV138" s="501"/>
      <c r="ALW138" s="501"/>
      <c r="ALX138" s="501"/>
      <c r="ALY138" s="501"/>
      <c r="ALZ138" s="501"/>
      <c r="AMA138" s="501"/>
      <c r="AMB138" s="501"/>
      <c r="AMC138" s="501"/>
      <c r="AMD138" s="501"/>
      <c r="AME138" s="501"/>
      <c r="AMF138" s="501"/>
      <c r="AMG138" s="501"/>
      <c r="AMH138" s="501"/>
      <c r="AMI138" s="501"/>
      <c r="AMJ138" s="501"/>
      <c r="AMK138" s="501"/>
      <c r="AML138" s="501"/>
      <c r="AMM138" s="501"/>
      <c r="AMN138" s="501"/>
      <c r="AMO138" s="501"/>
      <c r="AMP138" s="501"/>
      <c r="AMQ138" s="501"/>
      <c r="AMR138" s="501"/>
      <c r="AMS138" s="501"/>
      <c r="AMT138" s="501"/>
      <c r="AMU138" s="501"/>
      <c r="AMV138" s="501"/>
      <c r="AMW138" s="501"/>
      <c r="AMX138" s="501"/>
      <c r="AMY138" s="501"/>
      <c r="AMZ138" s="501"/>
      <c r="ANA138" s="501"/>
      <c r="ANB138" s="501"/>
      <c r="ANC138" s="501"/>
      <c r="AND138" s="501"/>
      <c r="ANE138" s="501"/>
      <c r="ANF138" s="501"/>
      <c r="ANG138" s="501"/>
      <c r="ANH138" s="501"/>
      <c r="ANI138" s="501"/>
      <c r="ANJ138" s="501"/>
      <c r="ANK138" s="501"/>
      <c r="ANL138" s="501"/>
      <c r="ANM138" s="501"/>
      <c r="ANN138" s="501"/>
      <c r="ANO138" s="501"/>
      <c r="ANP138" s="501"/>
      <c r="ANQ138" s="501"/>
      <c r="ANR138" s="501"/>
      <c r="ANS138" s="501"/>
      <c r="ANT138" s="501"/>
      <c r="ANU138" s="501"/>
      <c r="ANV138" s="501"/>
      <c r="ANW138" s="501"/>
      <c r="ANX138" s="501"/>
      <c r="ANY138" s="501"/>
      <c r="ANZ138" s="501"/>
      <c r="AOA138" s="501"/>
      <c r="AOB138" s="501"/>
      <c r="AOC138" s="501"/>
      <c r="AOD138" s="501"/>
      <c r="AOE138" s="501"/>
      <c r="AOF138" s="501"/>
      <c r="AOG138" s="501"/>
      <c r="AOH138" s="501"/>
      <c r="AOI138" s="501"/>
      <c r="AOJ138" s="501"/>
      <c r="AOK138" s="501"/>
      <c r="AOL138" s="501"/>
      <c r="AOM138" s="501"/>
      <c r="AON138" s="501"/>
      <c r="AOO138" s="501"/>
      <c r="AOP138" s="501"/>
      <c r="AOQ138" s="501"/>
      <c r="AOR138" s="501"/>
      <c r="AOS138" s="501"/>
      <c r="AOT138" s="501"/>
      <c r="AOU138" s="501"/>
      <c r="AOV138" s="501"/>
      <c r="AOW138" s="501"/>
      <c r="AOX138" s="501"/>
      <c r="AOY138" s="501"/>
      <c r="AOZ138" s="501"/>
      <c r="APA138" s="501"/>
      <c r="APB138" s="501"/>
      <c r="APC138" s="501"/>
      <c r="APD138" s="501"/>
      <c r="APE138" s="501"/>
      <c r="APF138" s="501"/>
      <c r="APG138" s="501"/>
      <c r="APH138" s="501"/>
      <c r="API138" s="501"/>
      <c r="APJ138" s="501"/>
      <c r="APK138" s="501"/>
      <c r="APL138" s="501"/>
      <c r="APM138" s="501"/>
      <c r="APN138" s="501"/>
      <c r="APO138" s="501"/>
      <c r="APP138" s="501"/>
      <c r="APQ138" s="501"/>
      <c r="APR138" s="501"/>
      <c r="APS138" s="501"/>
      <c r="APT138" s="501"/>
      <c r="APU138" s="501"/>
      <c r="APV138" s="501"/>
      <c r="APW138" s="501"/>
      <c r="APX138" s="501"/>
      <c r="APY138" s="501"/>
      <c r="APZ138" s="501"/>
      <c r="AQA138" s="501"/>
      <c r="AQB138" s="501"/>
      <c r="AQC138" s="501"/>
      <c r="AQD138" s="501"/>
      <c r="AQE138" s="501"/>
      <c r="AQF138" s="501"/>
      <c r="AQG138" s="501"/>
      <c r="AQH138" s="501"/>
      <c r="AQI138" s="501"/>
      <c r="AQJ138" s="501"/>
      <c r="AQK138" s="501"/>
      <c r="AQL138" s="501"/>
      <c r="AQM138" s="501"/>
      <c r="AQN138" s="501"/>
      <c r="AQO138" s="501"/>
      <c r="AQP138" s="501"/>
      <c r="AQQ138" s="501"/>
      <c r="AQR138" s="501"/>
      <c r="AQS138" s="501"/>
      <c r="AQT138" s="501"/>
      <c r="AQU138" s="501"/>
      <c r="AQV138" s="501"/>
      <c r="AQW138" s="501"/>
      <c r="AQX138" s="501"/>
      <c r="AQY138" s="501"/>
      <c r="AQZ138" s="501"/>
      <c r="ARA138" s="501"/>
      <c r="ARB138" s="501"/>
      <c r="ARC138" s="501"/>
      <c r="ARD138" s="501"/>
      <c r="ARE138" s="501"/>
      <c r="ARF138" s="501"/>
      <c r="ARG138" s="501"/>
      <c r="ARH138" s="501"/>
      <c r="ARI138" s="501"/>
      <c r="ARJ138" s="501"/>
      <c r="ARK138" s="501"/>
      <c r="ARL138" s="501"/>
      <c r="ARM138" s="501"/>
      <c r="ARN138" s="501"/>
      <c r="ARO138" s="501"/>
      <c r="ARP138" s="501"/>
      <c r="ARQ138" s="501"/>
      <c r="ARR138" s="501"/>
      <c r="ARS138" s="501"/>
      <c r="ART138" s="501"/>
      <c r="ARU138" s="501"/>
      <c r="ARV138" s="501"/>
      <c r="ARW138" s="501"/>
      <c r="ARX138" s="501"/>
      <c r="ARY138" s="501"/>
      <c r="ARZ138" s="501"/>
      <c r="ASA138" s="501"/>
      <c r="ASB138" s="501"/>
      <c r="ASC138" s="501"/>
      <c r="ASD138" s="501"/>
      <c r="ASE138" s="501"/>
      <c r="ASF138" s="501"/>
      <c r="ASG138" s="501"/>
      <c r="ASH138" s="501"/>
      <c r="ASI138" s="501"/>
      <c r="ASJ138" s="501"/>
      <c r="ASK138" s="501"/>
      <c r="ASL138" s="501"/>
      <c r="ASM138" s="501"/>
      <c r="ASN138" s="501"/>
      <c r="ASO138" s="501"/>
      <c r="ASP138" s="501"/>
      <c r="ASQ138" s="501"/>
      <c r="ASR138" s="501"/>
      <c r="ASS138" s="501"/>
      <c r="AST138" s="501"/>
      <c r="ASU138" s="501"/>
      <c r="ASV138" s="501"/>
      <c r="ASW138" s="501"/>
      <c r="ASX138" s="501"/>
      <c r="ASY138" s="501"/>
      <c r="ASZ138" s="501"/>
      <c r="ATA138" s="501"/>
      <c r="ATB138" s="501"/>
      <c r="ATC138" s="501"/>
      <c r="ATD138" s="501"/>
      <c r="ATE138" s="501"/>
      <c r="ATF138" s="501"/>
      <c r="ATG138" s="501"/>
      <c r="ATH138" s="501"/>
      <c r="ATI138" s="501"/>
      <c r="ATJ138" s="501"/>
      <c r="ATK138" s="501"/>
      <c r="ATL138" s="501"/>
      <c r="ATM138" s="501"/>
      <c r="ATN138" s="501"/>
      <c r="ATO138" s="501"/>
      <c r="ATP138" s="501"/>
      <c r="ATQ138" s="501"/>
      <c r="ATR138" s="501"/>
      <c r="ATS138" s="501"/>
      <c r="ATT138" s="501"/>
      <c r="ATU138" s="501"/>
      <c r="ATV138" s="501"/>
      <c r="ATW138" s="501"/>
      <c r="ATX138" s="501"/>
      <c r="ATY138" s="501"/>
      <c r="ATZ138" s="501"/>
      <c r="AUA138" s="501"/>
      <c r="AUB138" s="501"/>
      <c r="AUC138" s="501"/>
      <c r="AUD138" s="501"/>
      <c r="AUE138" s="501"/>
      <c r="AUF138" s="501"/>
      <c r="AUG138" s="501"/>
      <c r="AUH138" s="501"/>
      <c r="AUI138" s="501"/>
      <c r="AUJ138" s="501"/>
      <c r="AUK138" s="501"/>
      <c r="AUL138" s="501"/>
      <c r="AUM138" s="501"/>
      <c r="AUN138" s="501"/>
      <c r="AUO138" s="501"/>
      <c r="AUP138" s="501"/>
      <c r="AUQ138" s="501"/>
      <c r="AUR138" s="501"/>
      <c r="AUS138" s="501"/>
      <c r="AUT138" s="501"/>
      <c r="AUU138" s="501"/>
      <c r="AUV138" s="501"/>
      <c r="AUW138" s="501"/>
      <c r="AUX138" s="501"/>
      <c r="AUY138" s="501"/>
      <c r="AUZ138" s="501"/>
      <c r="AVA138" s="501"/>
      <c r="AVB138" s="501"/>
      <c r="AVC138" s="501"/>
      <c r="AVD138" s="501"/>
      <c r="AVE138" s="501"/>
      <c r="AVF138" s="501"/>
      <c r="AVG138" s="501"/>
      <c r="AVH138" s="501"/>
      <c r="AVI138" s="501"/>
      <c r="AVJ138" s="501"/>
      <c r="AVK138" s="501"/>
      <c r="AVL138" s="501"/>
      <c r="AVM138" s="501"/>
      <c r="AVN138" s="501"/>
      <c r="AVO138" s="501"/>
      <c r="AVP138" s="501"/>
      <c r="AVQ138" s="501"/>
      <c r="AVR138" s="501"/>
      <c r="AVS138" s="501"/>
      <c r="AVT138" s="501"/>
      <c r="AVU138" s="501"/>
      <c r="AVV138" s="501"/>
      <c r="AVW138" s="501"/>
      <c r="AVX138" s="501"/>
      <c r="AVY138" s="501"/>
      <c r="AVZ138" s="501"/>
      <c r="AWA138" s="501"/>
      <c r="AWB138" s="501"/>
      <c r="AWC138" s="501"/>
      <c r="AWD138" s="501"/>
      <c r="AWE138" s="501"/>
      <c r="AWF138" s="501"/>
    </row>
    <row r="139" spans="1:1280" ht="16.2">
      <c r="A139" s="761" t="s">
        <v>1774</v>
      </c>
      <c r="B139" s="759" t="s">
        <v>628</v>
      </c>
      <c r="C139" s="760"/>
      <c r="D139" s="761">
        <v>5651</v>
      </c>
      <c r="E139" s="762" t="s">
        <v>1529</v>
      </c>
      <c r="F139" s="761" t="s">
        <v>607</v>
      </c>
      <c r="G139" s="756">
        <v>1205.5999999999999</v>
      </c>
      <c r="H139" s="756">
        <v>29.66</v>
      </c>
      <c r="I139" s="756">
        <f t="shared" si="23"/>
        <v>37.049999999999997</v>
      </c>
      <c r="J139" s="756">
        <f t="shared" si="24"/>
        <v>44667.48</v>
      </c>
      <c r="K139" s="873"/>
      <c r="N139" s="631"/>
      <c r="O139" s="408"/>
      <c r="P139" s="501"/>
      <c r="Q139" s="501"/>
      <c r="R139" s="501"/>
      <c r="S139" s="501"/>
      <c r="T139" s="501"/>
      <c r="U139" s="501"/>
      <c r="V139" s="501"/>
      <c r="W139" s="501"/>
      <c r="X139" s="501"/>
      <c r="Y139" s="501"/>
      <c r="Z139" s="501"/>
      <c r="AA139" s="501"/>
      <c r="AB139" s="501"/>
      <c r="AC139" s="501"/>
      <c r="AD139" s="501"/>
      <c r="AE139" s="501"/>
      <c r="AF139" s="501"/>
      <c r="AG139" s="501"/>
      <c r="AH139" s="501"/>
      <c r="AI139" s="501"/>
      <c r="AJ139" s="501"/>
      <c r="AK139" s="501"/>
      <c r="AL139" s="501"/>
      <c r="AM139" s="501"/>
      <c r="AN139" s="501"/>
      <c r="AO139" s="501"/>
      <c r="AP139" s="501"/>
      <c r="AQ139" s="501"/>
      <c r="AR139" s="501"/>
      <c r="AS139" s="501"/>
      <c r="AT139" s="501"/>
      <c r="AU139" s="501"/>
      <c r="AV139" s="501"/>
      <c r="AW139" s="501"/>
      <c r="AX139" s="501"/>
      <c r="AY139" s="501"/>
      <c r="AZ139" s="501"/>
      <c r="BA139" s="501"/>
      <c r="BB139" s="501"/>
      <c r="BC139" s="501"/>
      <c r="BD139" s="501"/>
      <c r="BE139" s="501"/>
      <c r="BF139" s="501"/>
      <c r="BG139" s="501"/>
      <c r="BH139" s="501"/>
      <c r="BI139" s="501"/>
      <c r="BJ139" s="501"/>
      <c r="BK139" s="501"/>
      <c r="BL139" s="501"/>
      <c r="BM139" s="501"/>
      <c r="BN139" s="501"/>
      <c r="BO139" s="501"/>
      <c r="BP139" s="501"/>
      <c r="BQ139" s="501"/>
      <c r="BR139" s="501"/>
      <c r="BS139" s="501"/>
      <c r="BT139" s="501"/>
      <c r="BU139" s="501"/>
      <c r="BV139" s="501"/>
      <c r="BW139" s="501"/>
      <c r="BX139" s="501"/>
      <c r="BY139" s="501"/>
      <c r="BZ139" s="501"/>
      <c r="CA139" s="501"/>
      <c r="CB139" s="501"/>
      <c r="CC139" s="501"/>
      <c r="CD139" s="501"/>
      <c r="CE139" s="501"/>
      <c r="CF139" s="501"/>
      <c r="CG139" s="501"/>
      <c r="CH139" s="501"/>
      <c r="CI139" s="501"/>
      <c r="CJ139" s="501"/>
      <c r="CK139" s="501"/>
      <c r="CL139" s="501"/>
      <c r="CM139" s="501"/>
      <c r="CN139" s="501"/>
      <c r="CO139" s="501"/>
      <c r="CP139" s="501"/>
      <c r="CQ139" s="501"/>
      <c r="CR139" s="501"/>
      <c r="CS139" s="501"/>
      <c r="CT139" s="501"/>
      <c r="CU139" s="501"/>
      <c r="CV139" s="501"/>
      <c r="CW139" s="501"/>
      <c r="CX139" s="501"/>
      <c r="CY139" s="501"/>
      <c r="CZ139" s="501"/>
      <c r="DA139" s="501"/>
      <c r="DB139" s="501"/>
      <c r="DC139" s="501"/>
      <c r="DD139" s="501"/>
      <c r="DE139" s="501"/>
      <c r="DF139" s="501"/>
      <c r="DG139" s="501"/>
      <c r="DH139" s="501"/>
      <c r="DI139" s="501"/>
      <c r="DJ139" s="501"/>
      <c r="DK139" s="501"/>
      <c r="DL139" s="501"/>
      <c r="DM139" s="501"/>
      <c r="DN139" s="501"/>
      <c r="DO139" s="501"/>
      <c r="DP139" s="501"/>
      <c r="DQ139" s="501"/>
      <c r="DR139" s="501"/>
      <c r="DS139" s="501"/>
      <c r="DT139" s="501"/>
      <c r="DU139" s="501"/>
      <c r="DV139" s="501"/>
      <c r="DW139" s="501"/>
      <c r="DX139" s="501"/>
      <c r="DY139" s="501"/>
      <c r="DZ139" s="501"/>
      <c r="EA139" s="501"/>
      <c r="EB139" s="501"/>
      <c r="EC139" s="501"/>
      <c r="ED139" s="501"/>
      <c r="EE139" s="501"/>
      <c r="EF139" s="501"/>
      <c r="EG139" s="501"/>
      <c r="EH139" s="501"/>
      <c r="EI139" s="501"/>
      <c r="EJ139" s="501"/>
      <c r="EK139" s="501"/>
      <c r="EL139" s="501"/>
      <c r="EM139" s="501"/>
      <c r="EN139" s="501"/>
      <c r="EO139" s="501"/>
      <c r="EP139" s="501"/>
      <c r="EQ139" s="501"/>
      <c r="ER139" s="501"/>
      <c r="ES139" s="501"/>
      <c r="ET139" s="501"/>
      <c r="EU139" s="501"/>
      <c r="EV139" s="501"/>
      <c r="EW139" s="501"/>
      <c r="EX139" s="501"/>
      <c r="EY139" s="501"/>
      <c r="EZ139" s="501"/>
      <c r="FA139" s="501"/>
      <c r="FB139" s="501"/>
      <c r="FC139" s="501"/>
      <c r="FD139" s="501"/>
      <c r="FE139" s="501"/>
      <c r="FF139" s="501"/>
      <c r="FG139" s="501"/>
      <c r="FH139" s="501"/>
      <c r="FI139" s="501"/>
      <c r="FJ139" s="501"/>
      <c r="FK139" s="501"/>
      <c r="FL139" s="501"/>
      <c r="FM139" s="501"/>
      <c r="FN139" s="501"/>
      <c r="FO139" s="501"/>
      <c r="FP139" s="501"/>
      <c r="FQ139" s="501"/>
      <c r="FR139" s="501"/>
      <c r="FS139" s="501"/>
      <c r="FT139" s="501"/>
      <c r="FU139" s="501"/>
      <c r="FV139" s="501"/>
      <c r="FW139" s="501"/>
      <c r="FX139" s="501"/>
      <c r="FY139" s="501"/>
      <c r="FZ139" s="501"/>
      <c r="GA139" s="501"/>
      <c r="GB139" s="501"/>
      <c r="GC139" s="501"/>
      <c r="GD139" s="501"/>
      <c r="GE139" s="501"/>
      <c r="GF139" s="501"/>
      <c r="GG139" s="501"/>
      <c r="GH139" s="501"/>
      <c r="GI139" s="501"/>
      <c r="GJ139" s="501"/>
      <c r="GK139" s="501"/>
      <c r="GL139" s="501"/>
      <c r="GM139" s="501"/>
      <c r="GN139" s="501"/>
      <c r="GO139" s="501"/>
      <c r="GP139" s="501"/>
      <c r="GQ139" s="501"/>
      <c r="GR139" s="501"/>
      <c r="GS139" s="501"/>
      <c r="GT139" s="501"/>
      <c r="GU139" s="501"/>
      <c r="GV139" s="501"/>
      <c r="GW139" s="501"/>
      <c r="GX139" s="501"/>
      <c r="GY139" s="501"/>
      <c r="GZ139" s="501"/>
      <c r="HA139" s="501"/>
      <c r="HB139" s="501"/>
      <c r="HC139" s="501"/>
      <c r="HD139" s="501"/>
      <c r="HE139" s="501"/>
      <c r="HF139" s="501"/>
      <c r="HG139" s="501"/>
      <c r="HH139" s="501"/>
      <c r="HI139" s="501"/>
      <c r="HJ139" s="501"/>
      <c r="HK139" s="501"/>
      <c r="HL139" s="501"/>
      <c r="HM139" s="501"/>
      <c r="HN139" s="501"/>
      <c r="HO139" s="501"/>
      <c r="HP139" s="501"/>
      <c r="HQ139" s="501"/>
      <c r="HR139" s="501"/>
      <c r="HS139" s="501"/>
      <c r="HT139" s="501"/>
      <c r="HU139" s="501"/>
      <c r="HV139" s="501"/>
      <c r="HW139" s="501"/>
      <c r="HX139" s="501"/>
      <c r="HY139" s="501"/>
      <c r="HZ139" s="501"/>
      <c r="IA139" s="501"/>
      <c r="IB139" s="501"/>
      <c r="IC139" s="501"/>
      <c r="ID139" s="501"/>
      <c r="IE139" s="501"/>
      <c r="IF139" s="501"/>
      <c r="IG139" s="501"/>
      <c r="IH139" s="501"/>
      <c r="II139" s="501"/>
      <c r="IJ139" s="501"/>
      <c r="IK139" s="501"/>
      <c r="IL139" s="501"/>
      <c r="IM139" s="501"/>
      <c r="IN139" s="501"/>
      <c r="IO139" s="501"/>
      <c r="IP139" s="501"/>
      <c r="IQ139" s="501"/>
      <c r="IR139" s="501"/>
      <c r="IS139" s="501"/>
      <c r="IT139" s="501"/>
      <c r="IU139" s="501"/>
      <c r="IV139" s="501"/>
      <c r="IW139" s="501"/>
      <c r="IX139" s="501"/>
      <c r="IY139" s="501"/>
      <c r="IZ139" s="501"/>
      <c r="JA139" s="501"/>
      <c r="JB139" s="501"/>
      <c r="JC139" s="501"/>
      <c r="JD139" s="501"/>
      <c r="JE139" s="501"/>
      <c r="JF139" s="501"/>
      <c r="JG139" s="501"/>
      <c r="JH139" s="501"/>
      <c r="JI139" s="501"/>
      <c r="JJ139" s="501"/>
      <c r="JK139" s="501"/>
      <c r="JL139" s="501"/>
      <c r="JM139" s="501"/>
      <c r="JN139" s="501"/>
      <c r="JO139" s="501"/>
      <c r="JP139" s="501"/>
      <c r="JQ139" s="501"/>
      <c r="JR139" s="501"/>
      <c r="JS139" s="501"/>
      <c r="JT139" s="501"/>
      <c r="JU139" s="501"/>
      <c r="JV139" s="501"/>
      <c r="JW139" s="501"/>
      <c r="JX139" s="501"/>
      <c r="JY139" s="501"/>
      <c r="JZ139" s="501"/>
      <c r="KA139" s="501"/>
      <c r="KB139" s="501"/>
      <c r="KC139" s="501"/>
      <c r="KD139" s="501"/>
      <c r="KE139" s="501"/>
      <c r="KF139" s="501"/>
      <c r="KG139" s="501"/>
      <c r="KH139" s="501"/>
      <c r="KI139" s="501"/>
      <c r="KJ139" s="501"/>
      <c r="KK139" s="501"/>
      <c r="KL139" s="501"/>
      <c r="KM139" s="501"/>
      <c r="KN139" s="501"/>
      <c r="KO139" s="501"/>
      <c r="KP139" s="501"/>
      <c r="KQ139" s="501"/>
      <c r="KR139" s="501"/>
      <c r="KS139" s="501"/>
      <c r="KT139" s="501"/>
      <c r="KU139" s="501"/>
      <c r="KV139" s="501"/>
      <c r="KW139" s="501"/>
      <c r="KX139" s="501"/>
      <c r="KY139" s="501"/>
      <c r="KZ139" s="501"/>
      <c r="LA139" s="501"/>
      <c r="LB139" s="501"/>
      <c r="LC139" s="501"/>
      <c r="LD139" s="501"/>
      <c r="LE139" s="501"/>
      <c r="LF139" s="501"/>
      <c r="LG139" s="501"/>
      <c r="LH139" s="501"/>
      <c r="LI139" s="501"/>
      <c r="LJ139" s="501"/>
      <c r="LK139" s="501"/>
      <c r="LL139" s="501"/>
      <c r="LM139" s="501"/>
      <c r="LN139" s="501"/>
      <c r="LO139" s="501"/>
      <c r="LP139" s="501"/>
      <c r="LQ139" s="501"/>
      <c r="LR139" s="501"/>
      <c r="LS139" s="501"/>
      <c r="LT139" s="501"/>
      <c r="LU139" s="501"/>
      <c r="LV139" s="501"/>
      <c r="LW139" s="501"/>
      <c r="LX139" s="501"/>
      <c r="LY139" s="501"/>
      <c r="LZ139" s="501"/>
      <c r="MA139" s="501"/>
      <c r="MB139" s="501"/>
      <c r="MC139" s="501"/>
      <c r="MD139" s="501"/>
      <c r="ME139" s="501"/>
      <c r="MF139" s="501"/>
      <c r="MG139" s="501"/>
      <c r="MH139" s="501"/>
      <c r="MI139" s="501"/>
      <c r="MJ139" s="501"/>
      <c r="MK139" s="501"/>
      <c r="ML139" s="501"/>
      <c r="MM139" s="501"/>
      <c r="MN139" s="501"/>
      <c r="MO139" s="501"/>
      <c r="MP139" s="501"/>
      <c r="MQ139" s="501"/>
      <c r="MR139" s="501"/>
      <c r="MS139" s="501"/>
      <c r="MT139" s="501"/>
      <c r="MU139" s="501"/>
      <c r="MV139" s="501"/>
      <c r="MW139" s="501"/>
      <c r="MX139" s="501"/>
      <c r="MY139" s="501"/>
      <c r="MZ139" s="501"/>
      <c r="NA139" s="501"/>
      <c r="NB139" s="501"/>
      <c r="NC139" s="501"/>
      <c r="ND139" s="501"/>
      <c r="NE139" s="501"/>
      <c r="NF139" s="501"/>
      <c r="NG139" s="501"/>
      <c r="NH139" s="501"/>
      <c r="NI139" s="501"/>
      <c r="NJ139" s="501"/>
      <c r="NK139" s="501"/>
      <c r="NL139" s="501"/>
      <c r="NM139" s="501"/>
      <c r="NN139" s="501"/>
      <c r="NO139" s="501"/>
      <c r="NP139" s="501"/>
      <c r="NQ139" s="501"/>
      <c r="NR139" s="501"/>
      <c r="NS139" s="501"/>
      <c r="NT139" s="501"/>
      <c r="NU139" s="501"/>
      <c r="NV139" s="501"/>
      <c r="NW139" s="501"/>
      <c r="NX139" s="501"/>
      <c r="NY139" s="501"/>
      <c r="NZ139" s="501"/>
      <c r="OA139" s="501"/>
      <c r="OB139" s="501"/>
      <c r="OC139" s="501"/>
      <c r="OD139" s="501"/>
      <c r="OE139" s="501"/>
      <c r="OF139" s="501"/>
      <c r="OG139" s="501"/>
      <c r="OH139" s="501"/>
      <c r="OI139" s="501"/>
      <c r="OJ139" s="501"/>
      <c r="OK139" s="501"/>
      <c r="OL139" s="501"/>
      <c r="OM139" s="501"/>
      <c r="ON139" s="501"/>
      <c r="OO139" s="501"/>
      <c r="OP139" s="501"/>
      <c r="OQ139" s="501"/>
      <c r="OR139" s="501"/>
      <c r="OS139" s="501"/>
      <c r="OT139" s="501"/>
      <c r="OU139" s="501"/>
      <c r="OV139" s="501"/>
      <c r="OW139" s="501"/>
      <c r="OX139" s="501"/>
      <c r="OY139" s="501"/>
      <c r="OZ139" s="501"/>
      <c r="PA139" s="501"/>
      <c r="PB139" s="501"/>
      <c r="PC139" s="501"/>
      <c r="PD139" s="501"/>
      <c r="PE139" s="501"/>
      <c r="PF139" s="501"/>
      <c r="PG139" s="501"/>
      <c r="PH139" s="501"/>
      <c r="PI139" s="501"/>
      <c r="PJ139" s="501"/>
      <c r="PK139" s="501"/>
      <c r="PL139" s="501"/>
      <c r="PM139" s="501"/>
      <c r="PN139" s="501"/>
      <c r="PO139" s="501"/>
      <c r="PP139" s="501"/>
      <c r="PQ139" s="501"/>
      <c r="PR139" s="501"/>
      <c r="PS139" s="501"/>
      <c r="PT139" s="501"/>
      <c r="PU139" s="501"/>
      <c r="PV139" s="501"/>
      <c r="PW139" s="501"/>
      <c r="PX139" s="501"/>
      <c r="PY139" s="501"/>
      <c r="PZ139" s="501"/>
      <c r="QA139" s="501"/>
      <c r="QB139" s="501"/>
      <c r="QC139" s="501"/>
      <c r="QD139" s="501"/>
      <c r="QE139" s="501"/>
      <c r="QF139" s="501"/>
      <c r="QG139" s="501"/>
      <c r="QH139" s="501"/>
      <c r="QI139" s="501"/>
      <c r="QJ139" s="501"/>
      <c r="QK139" s="501"/>
      <c r="QL139" s="501"/>
      <c r="QM139" s="501"/>
      <c r="QN139" s="501"/>
      <c r="QO139" s="501"/>
      <c r="QP139" s="501"/>
      <c r="QQ139" s="501"/>
      <c r="QR139" s="501"/>
      <c r="QS139" s="501"/>
      <c r="QT139" s="501"/>
      <c r="QU139" s="501"/>
      <c r="QV139" s="501"/>
      <c r="QW139" s="501"/>
      <c r="QX139" s="501"/>
      <c r="QY139" s="501"/>
      <c r="QZ139" s="501"/>
      <c r="RA139" s="501"/>
      <c r="RB139" s="501"/>
      <c r="RC139" s="501"/>
      <c r="RD139" s="501"/>
      <c r="RE139" s="501"/>
      <c r="RF139" s="501"/>
      <c r="RG139" s="501"/>
      <c r="RH139" s="501"/>
      <c r="RI139" s="501"/>
      <c r="RJ139" s="501"/>
      <c r="RK139" s="501"/>
      <c r="RL139" s="501"/>
      <c r="RM139" s="501"/>
      <c r="RN139" s="501"/>
      <c r="RO139" s="501"/>
      <c r="RP139" s="501"/>
      <c r="RQ139" s="501"/>
      <c r="RR139" s="501"/>
      <c r="RS139" s="501"/>
      <c r="RT139" s="501"/>
      <c r="RU139" s="501"/>
      <c r="RV139" s="501"/>
      <c r="RW139" s="501"/>
      <c r="RX139" s="501"/>
      <c r="RY139" s="501"/>
      <c r="RZ139" s="501"/>
      <c r="SA139" s="501"/>
      <c r="SB139" s="501"/>
      <c r="SC139" s="501"/>
      <c r="SD139" s="501"/>
      <c r="SE139" s="501"/>
      <c r="SF139" s="501"/>
      <c r="SG139" s="501"/>
      <c r="SH139" s="501"/>
      <c r="SI139" s="501"/>
      <c r="SJ139" s="501"/>
      <c r="SK139" s="501"/>
      <c r="SL139" s="501"/>
      <c r="SM139" s="501"/>
      <c r="SN139" s="501"/>
      <c r="SO139" s="501"/>
      <c r="SP139" s="501"/>
      <c r="SQ139" s="501"/>
      <c r="SR139" s="501"/>
      <c r="SS139" s="501"/>
      <c r="ST139" s="501"/>
      <c r="SU139" s="501"/>
      <c r="SV139" s="501"/>
      <c r="SW139" s="501"/>
      <c r="SX139" s="501"/>
      <c r="SY139" s="501"/>
      <c r="SZ139" s="501"/>
      <c r="TA139" s="501"/>
      <c r="TB139" s="501"/>
      <c r="TC139" s="501"/>
      <c r="TD139" s="501"/>
      <c r="TE139" s="501"/>
      <c r="TF139" s="501"/>
      <c r="TG139" s="501"/>
      <c r="TH139" s="501"/>
      <c r="TI139" s="501"/>
      <c r="TJ139" s="501"/>
      <c r="TK139" s="501"/>
      <c r="TL139" s="501"/>
      <c r="TM139" s="501"/>
      <c r="TN139" s="501"/>
      <c r="TO139" s="501"/>
      <c r="TP139" s="501"/>
      <c r="TQ139" s="501"/>
      <c r="TR139" s="501"/>
      <c r="TS139" s="501"/>
      <c r="TT139" s="501"/>
      <c r="TU139" s="501"/>
      <c r="TV139" s="501"/>
      <c r="TW139" s="501"/>
      <c r="TX139" s="501"/>
      <c r="TY139" s="501"/>
      <c r="TZ139" s="501"/>
      <c r="UA139" s="501"/>
      <c r="UB139" s="501"/>
      <c r="UC139" s="501"/>
      <c r="UD139" s="501"/>
      <c r="UE139" s="501"/>
      <c r="UF139" s="501"/>
      <c r="UG139" s="501"/>
      <c r="UH139" s="501"/>
      <c r="UI139" s="501"/>
      <c r="UJ139" s="501"/>
      <c r="UK139" s="501"/>
      <c r="UL139" s="501"/>
      <c r="UM139" s="501"/>
      <c r="UN139" s="501"/>
      <c r="UO139" s="501"/>
      <c r="UP139" s="501"/>
      <c r="UQ139" s="501"/>
      <c r="UR139" s="501"/>
      <c r="US139" s="501"/>
      <c r="UT139" s="501"/>
      <c r="UU139" s="501"/>
      <c r="UV139" s="501"/>
      <c r="UW139" s="501"/>
      <c r="UX139" s="501"/>
      <c r="UY139" s="501"/>
      <c r="UZ139" s="501"/>
      <c r="VA139" s="501"/>
      <c r="VB139" s="501"/>
      <c r="VC139" s="501"/>
      <c r="VD139" s="501"/>
      <c r="VE139" s="501"/>
      <c r="VF139" s="501"/>
      <c r="VG139" s="501"/>
      <c r="VH139" s="501"/>
      <c r="VI139" s="501"/>
      <c r="VJ139" s="501"/>
      <c r="VK139" s="501"/>
      <c r="VL139" s="501"/>
      <c r="VM139" s="501"/>
      <c r="VN139" s="501"/>
      <c r="VO139" s="501"/>
      <c r="VP139" s="501"/>
      <c r="VQ139" s="501"/>
      <c r="VR139" s="501"/>
      <c r="VS139" s="501"/>
      <c r="VT139" s="501"/>
      <c r="VU139" s="501"/>
      <c r="VV139" s="501"/>
      <c r="VW139" s="501"/>
      <c r="VX139" s="501"/>
      <c r="VY139" s="501"/>
      <c r="VZ139" s="501"/>
      <c r="WA139" s="501"/>
      <c r="WB139" s="501"/>
      <c r="WC139" s="501"/>
      <c r="WD139" s="501"/>
      <c r="WE139" s="501"/>
      <c r="WF139" s="501"/>
      <c r="WG139" s="501"/>
      <c r="WH139" s="501"/>
      <c r="WI139" s="501"/>
      <c r="WJ139" s="501"/>
      <c r="WK139" s="501"/>
      <c r="WL139" s="501"/>
      <c r="WM139" s="501"/>
      <c r="WN139" s="501"/>
      <c r="WO139" s="501"/>
      <c r="WP139" s="501"/>
      <c r="WQ139" s="501"/>
      <c r="WR139" s="501"/>
      <c r="WS139" s="501"/>
      <c r="WT139" s="501"/>
      <c r="WU139" s="501"/>
      <c r="WV139" s="501"/>
      <c r="WW139" s="501"/>
      <c r="WX139" s="501"/>
      <c r="WY139" s="501"/>
      <c r="WZ139" s="501"/>
      <c r="XA139" s="501"/>
      <c r="XB139" s="501"/>
      <c r="XC139" s="501"/>
      <c r="XD139" s="501"/>
      <c r="XE139" s="501"/>
      <c r="XF139" s="501"/>
      <c r="XG139" s="501"/>
      <c r="XH139" s="501"/>
      <c r="XI139" s="501"/>
      <c r="XJ139" s="501"/>
      <c r="XK139" s="501"/>
      <c r="XL139" s="501"/>
      <c r="XM139" s="501"/>
      <c r="XN139" s="501"/>
      <c r="XO139" s="501"/>
      <c r="XP139" s="501"/>
      <c r="XQ139" s="501"/>
      <c r="XR139" s="501"/>
      <c r="XS139" s="501"/>
      <c r="XT139" s="501"/>
      <c r="XU139" s="501"/>
      <c r="XV139" s="501"/>
      <c r="XW139" s="501"/>
      <c r="XX139" s="501"/>
      <c r="XY139" s="501"/>
      <c r="XZ139" s="501"/>
      <c r="YA139" s="501"/>
      <c r="YB139" s="501"/>
      <c r="YC139" s="501"/>
      <c r="YD139" s="501"/>
      <c r="YE139" s="501"/>
      <c r="YF139" s="501"/>
      <c r="YG139" s="501"/>
      <c r="YH139" s="501"/>
      <c r="YI139" s="501"/>
      <c r="YJ139" s="501"/>
      <c r="YK139" s="501"/>
      <c r="YL139" s="501"/>
      <c r="YM139" s="501"/>
      <c r="YN139" s="501"/>
      <c r="YO139" s="501"/>
      <c r="YP139" s="501"/>
      <c r="YQ139" s="501"/>
      <c r="YR139" s="501"/>
      <c r="YS139" s="501"/>
      <c r="YT139" s="501"/>
      <c r="YU139" s="501"/>
      <c r="YV139" s="501"/>
      <c r="YW139" s="501"/>
      <c r="YX139" s="501"/>
      <c r="YY139" s="501"/>
      <c r="YZ139" s="501"/>
      <c r="ZA139" s="501"/>
      <c r="ZB139" s="501"/>
      <c r="ZC139" s="501"/>
      <c r="ZD139" s="501"/>
      <c r="ZE139" s="501"/>
      <c r="ZF139" s="501"/>
      <c r="ZG139" s="501"/>
      <c r="ZH139" s="501"/>
      <c r="ZI139" s="501"/>
      <c r="ZJ139" s="501"/>
      <c r="ZK139" s="501"/>
      <c r="ZL139" s="501"/>
      <c r="ZM139" s="501"/>
      <c r="ZN139" s="501"/>
      <c r="ZO139" s="501"/>
      <c r="ZP139" s="501"/>
      <c r="ZQ139" s="501"/>
      <c r="ZR139" s="501"/>
      <c r="ZS139" s="501"/>
      <c r="ZT139" s="501"/>
      <c r="ZU139" s="501"/>
      <c r="ZV139" s="501"/>
      <c r="ZW139" s="501"/>
      <c r="ZX139" s="501"/>
      <c r="ZY139" s="501"/>
      <c r="ZZ139" s="501"/>
      <c r="AAA139" s="501"/>
      <c r="AAB139" s="501"/>
      <c r="AAC139" s="501"/>
      <c r="AAD139" s="501"/>
      <c r="AAE139" s="501"/>
      <c r="AAF139" s="501"/>
      <c r="AAG139" s="501"/>
      <c r="AAH139" s="501"/>
      <c r="AAI139" s="501"/>
      <c r="AAJ139" s="501"/>
      <c r="AAK139" s="501"/>
      <c r="AAL139" s="501"/>
      <c r="AAM139" s="501"/>
      <c r="AAN139" s="501"/>
      <c r="AAO139" s="501"/>
      <c r="AAP139" s="501"/>
      <c r="AAQ139" s="501"/>
      <c r="AAR139" s="501"/>
      <c r="AAS139" s="501"/>
      <c r="AAT139" s="501"/>
      <c r="AAU139" s="501"/>
      <c r="AAV139" s="501"/>
      <c r="AAW139" s="501"/>
      <c r="AAX139" s="501"/>
      <c r="AAY139" s="501"/>
      <c r="AAZ139" s="501"/>
      <c r="ABA139" s="501"/>
      <c r="ABB139" s="501"/>
      <c r="ABC139" s="501"/>
      <c r="ABD139" s="501"/>
      <c r="ABE139" s="501"/>
      <c r="ABF139" s="501"/>
      <c r="ABG139" s="501"/>
      <c r="ABH139" s="501"/>
      <c r="ABI139" s="501"/>
      <c r="ABJ139" s="501"/>
      <c r="ABK139" s="501"/>
      <c r="ABL139" s="501"/>
      <c r="ABM139" s="501"/>
      <c r="ABN139" s="501"/>
      <c r="ABO139" s="501"/>
      <c r="ABP139" s="501"/>
      <c r="ABQ139" s="501"/>
      <c r="ABR139" s="501"/>
      <c r="ABS139" s="501"/>
      <c r="ABT139" s="501"/>
      <c r="ABU139" s="501"/>
      <c r="ABV139" s="501"/>
      <c r="ABW139" s="501"/>
      <c r="ABX139" s="501"/>
      <c r="ABY139" s="501"/>
      <c r="ABZ139" s="501"/>
      <c r="ACA139" s="501"/>
      <c r="ACB139" s="501"/>
      <c r="ACC139" s="501"/>
      <c r="ACD139" s="501"/>
      <c r="ACE139" s="501"/>
      <c r="ACF139" s="501"/>
      <c r="ACG139" s="501"/>
      <c r="ACH139" s="501"/>
      <c r="ACI139" s="501"/>
      <c r="ACJ139" s="501"/>
      <c r="ACK139" s="501"/>
      <c r="ACL139" s="501"/>
      <c r="ACM139" s="501"/>
      <c r="ACN139" s="501"/>
      <c r="ACO139" s="501"/>
      <c r="ACP139" s="501"/>
      <c r="ACQ139" s="501"/>
      <c r="ACR139" s="501"/>
      <c r="ACS139" s="501"/>
      <c r="ACT139" s="501"/>
      <c r="ACU139" s="501"/>
      <c r="ACV139" s="501"/>
      <c r="ACW139" s="501"/>
      <c r="ACX139" s="501"/>
      <c r="ACY139" s="501"/>
      <c r="ACZ139" s="501"/>
      <c r="ADA139" s="501"/>
      <c r="ADB139" s="501"/>
      <c r="ADC139" s="501"/>
      <c r="ADD139" s="501"/>
      <c r="ADE139" s="501"/>
      <c r="ADF139" s="501"/>
      <c r="ADG139" s="501"/>
      <c r="ADH139" s="501"/>
      <c r="ADI139" s="501"/>
      <c r="ADJ139" s="501"/>
      <c r="ADK139" s="501"/>
      <c r="ADL139" s="501"/>
      <c r="ADM139" s="501"/>
      <c r="ADN139" s="501"/>
      <c r="ADO139" s="501"/>
      <c r="ADP139" s="501"/>
      <c r="ADQ139" s="501"/>
      <c r="ADR139" s="501"/>
      <c r="ADS139" s="501"/>
      <c r="ADT139" s="501"/>
      <c r="ADU139" s="501"/>
      <c r="ADV139" s="501"/>
      <c r="ADW139" s="501"/>
      <c r="ADX139" s="501"/>
      <c r="ADY139" s="501"/>
      <c r="ADZ139" s="501"/>
      <c r="AEA139" s="501"/>
      <c r="AEB139" s="501"/>
      <c r="AEC139" s="501"/>
      <c r="AED139" s="501"/>
      <c r="AEE139" s="501"/>
      <c r="AEF139" s="501"/>
      <c r="AEG139" s="501"/>
      <c r="AEH139" s="501"/>
      <c r="AEI139" s="501"/>
      <c r="AEJ139" s="501"/>
      <c r="AEK139" s="501"/>
      <c r="AEL139" s="501"/>
      <c r="AEM139" s="501"/>
      <c r="AEN139" s="501"/>
      <c r="AEO139" s="501"/>
      <c r="AEP139" s="501"/>
      <c r="AEQ139" s="501"/>
      <c r="AER139" s="501"/>
      <c r="AES139" s="501"/>
      <c r="AET139" s="501"/>
      <c r="AEU139" s="501"/>
      <c r="AEV139" s="501"/>
      <c r="AEW139" s="501"/>
      <c r="AEX139" s="501"/>
      <c r="AEY139" s="501"/>
      <c r="AEZ139" s="501"/>
      <c r="AFA139" s="501"/>
      <c r="AFB139" s="501"/>
      <c r="AFC139" s="501"/>
      <c r="AFD139" s="501"/>
      <c r="AFE139" s="501"/>
      <c r="AFF139" s="501"/>
      <c r="AFG139" s="501"/>
      <c r="AFH139" s="501"/>
      <c r="AFI139" s="501"/>
      <c r="AFJ139" s="501"/>
      <c r="AFK139" s="501"/>
      <c r="AFL139" s="501"/>
      <c r="AFM139" s="501"/>
      <c r="AFN139" s="501"/>
      <c r="AFO139" s="501"/>
      <c r="AFP139" s="501"/>
      <c r="AFQ139" s="501"/>
      <c r="AFR139" s="501"/>
      <c r="AFS139" s="501"/>
      <c r="AFT139" s="501"/>
      <c r="AFU139" s="501"/>
      <c r="AFV139" s="501"/>
      <c r="AFW139" s="501"/>
      <c r="AFX139" s="501"/>
      <c r="AFY139" s="501"/>
      <c r="AFZ139" s="501"/>
      <c r="AGA139" s="501"/>
      <c r="AGB139" s="501"/>
      <c r="AGC139" s="501"/>
      <c r="AGD139" s="501"/>
      <c r="AGE139" s="501"/>
      <c r="AGF139" s="501"/>
      <c r="AGG139" s="501"/>
      <c r="AGH139" s="501"/>
      <c r="AGI139" s="501"/>
      <c r="AGJ139" s="501"/>
      <c r="AGK139" s="501"/>
      <c r="AGL139" s="501"/>
      <c r="AGM139" s="501"/>
      <c r="AGN139" s="501"/>
      <c r="AGO139" s="501"/>
      <c r="AGP139" s="501"/>
      <c r="AGQ139" s="501"/>
      <c r="AGR139" s="501"/>
      <c r="AGS139" s="501"/>
      <c r="AGT139" s="501"/>
      <c r="AGU139" s="501"/>
      <c r="AGV139" s="501"/>
      <c r="AGW139" s="501"/>
      <c r="AGX139" s="501"/>
      <c r="AGY139" s="501"/>
      <c r="AGZ139" s="501"/>
      <c r="AHA139" s="501"/>
      <c r="AHB139" s="501"/>
      <c r="AHC139" s="501"/>
      <c r="AHD139" s="501"/>
      <c r="AHE139" s="501"/>
      <c r="AHF139" s="501"/>
      <c r="AHG139" s="501"/>
      <c r="AHH139" s="501"/>
      <c r="AHI139" s="501"/>
      <c r="AHJ139" s="501"/>
      <c r="AHK139" s="501"/>
      <c r="AHL139" s="501"/>
      <c r="AHM139" s="501"/>
      <c r="AHN139" s="501"/>
      <c r="AHO139" s="501"/>
      <c r="AHP139" s="501"/>
      <c r="AHQ139" s="501"/>
      <c r="AHR139" s="501"/>
      <c r="AHS139" s="501"/>
      <c r="AHT139" s="501"/>
      <c r="AHU139" s="501"/>
      <c r="AHV139" s="501"/>
      <c r="AHW139" s="501"/>
      <c r="AHX139" s="501"/>
      <c r="AHY139" s="501"/>
      <c r="AHZ139" s="501"/>
      <c r="AIA139" s="501"/>
      <c r="AIB139" s="501"/>
      <c r="AIC139" s="501"/>
      <c r="AID139" s="501"/>
      <c r="AIE139" s="501"/>
      <c r="AIF139" s="501"/>
      <c r="AIG139" s="501"/>
      <c r="AIH139" s="501"/>
      <c r="AII139" s="501"/>
      <c r="AIJ139" s="501"/>
      <c r="AIK139" s="501"/>
      <c r="AIL139" s="501"/>
      <c r="AIM139" s="501"/>
      <c r="AIN139" s="501"/>
      <c r="AIO139" s="501"/>
      <c r="AIP139" s="501"/>
      <c r="AIQ139" s="501"/>
      <c r="AIR139" s="501"/>
      <c r="AIS139" s="501"/>
      <c r="AIT139" s="501"/>
      <c r="AIU139" s="501"/>
      <c r="AIV139" s="501"/>
      <c r="AIW139" s="501"/>
      <c r="AIX139" s="501"/>
      <c r="AIY139" s="501"/>
      <c r="AIZ139" s="501"/>
      <c r="AJA139" s="501"/>
      <c r="AJB139" s="501"/>
      <c r="AJC139" s="501"/>
      <c r="AJD139" s="501"/>
      <c r="AJE139" s="501"/>
      <c r="AJF139" s="501"/>
      <c r="AJG139" s="501"/>
      <c r="AJH139" s="501"/>
      <c r="AJI139" s="501"/>
      <c r="AJJ139" s="501"/>
      <c r="AJK139" s="501"/>
      <c r="AJL139" s="501"/>
      <c r="AJM139" s="501"/>
      <c r="AJN139" s="501"/>
      <c r="AJO139" s="501"/>
      <c r="AJP139" s="501"/>
      <c r="AJQ139" s="501"/>
      <c r="AJR139" s="501"/>
      <c r="AJS139" s="501"/>
      <c r="AJT139" s="501"/>
      <c r="AJU139" s="501"/>
      <c r="AJV139" s="501"/>
      <c r="AJW139" s="501"/>
      <c r="AJX139" s="501"/>
      <c r="AJY139" s="501"/>
      <c r="AJZ139" s="501"/>
      <c r="AKA139" s="501"/>
      <c r="AKB139" s="501"/>
      <c r="AKC139" s="501"/>
      <c r="AKD139" s="501"/>
      <c r="AKE139" s="501"/>
      <c r="AKF139" s="501"/>
      <c r="AKG139" s="501"/>
      <c r="AKH139" s="501"/>
      <c r="AKI139" s="501"/>
      <c r="AKJ139" s="501"/>
      <c r="AKK139" s="501"/>
      <c r="AKL139" s="501"/>
      <c r="AKM139" s="501"/>
      <c r="AKN139" s="501"/>
      <c r="AKO139" s="501"/>
      <c r="AKP139" s="501"/>
      <c r="AKQ139" s="501"/>
      <c r="AKR139" s="501"/>
      <c r="AKS139" s="501"/>
      <c r="AKT139" s="501"/>
      <c r="AKU139" s="501"/>
      <c r="AKV139" s="501"/>
      <c r="AKW139" s="501"/>
      <c r="AKX139" s="501"/>
      <c r="AKY139" s="501"/>
      <c r="AKZ139" s="501"/>
      <c r="ALA139" s="501"/>
      <c r="ALB139" s="501"/>
      <c r="ALC139" s="501"/>
      <c r="ALD139" s="501"/>
      <c r="ALE139" s="501"/>
      <c r="ALF139" s="501"/>
      <c r="ALG139" s="501"/>
      <c r="ALH139" s="501"/>
      <c r="ALI139" s="501"/>
      <c r="ALJ139" s="501"/>
      <c r="ALK139" s="501"/>
      <c r="ALL139" s="501"/>
      <c r="ALM139" s="501"/>
      <c r="ALN139" s="501"/>
      <c r="ALO139" s="501"/>
      <c r="ALP139" s="501"/>
      <c r="ALQ139" s="501"/>
      <c r="ALR139" s="501"/>
      <c r="ALS139" s="501"/>
      <c r="ALT139" s="501"/>
      <c r="ALU139" s="501"/>
      <c r="ALV139" s="501"/>
      <c r="ALW139" s="501"/>
      <c r="ALX139" s="501"/>
      <c r="ALY139" s="501"/>
      <c r="ALZ139" s="501"/>
      <c r="AMA139" s="501"/>
      <c r="AMB139" s="501"/>
      <c r="AMC139" s="501"/>
      <c r="AMD139" s="501"/>
      <c r="AME139" s="501"/>
      <c r="AMF139" s="501"/>
      <c r="AMG139" s="501"/>
      <c r="AMH139" s="501"/>
      <c r="AMI139" s="501"/>
      <c r="AMJ139" s="501"/>
      <c r="AMK139" s="501"/>
      <c r="AML139" s="501"/>
      <c r="AMM139" s="501"/>
      <c r="AMN139" s="501"/>
      <c r="AMO139" s="501"/>
      <c r="AMP139" s="501"/>
      <c r="AMQ139" s="501"/>
      <c r="AMR139" s="501"/>
      <c r="AMS139" s="501"/>
      <c r="AMT139" s="501"/>
      <c r="AMU139" s="501"/>
      <c r="AMV139" s="501"/>
      <c r="AMW139" s="501"/>
      <c r="AMX139" s="501"/>
      <c r="AMY139" s="501"/>
      <c r="AMZ139" s="501"/>
      <c r="ANA139" s="501"/>
      <c r="ANB139" s="501"/>
      <c r="ANC139" s="501"/>
      <c r="AND139" s="501"/>
      <c r="ANE139" s="501"/>
      <c r="ANF139" s="501"/>
      <c r="ANG139" s="501"/>
      <c r="ANH139" s="501"/>
      <c r="ANI139" s="501"/>
      <c r="ANJ139" s="501"/>
      <c r="ANK139" s="501"/>
      <c r="ANL139" s="501"/>
      <c r="ANM139" s="501"/>
      <c r="ANN139" s="501"/>
      <c r="ANO139" s="501"/>
      <c r="ANP139" s="501"/>
      <c r="ANQ139" s="501"/>
      <c r="ANR139" s="501"/>
      <c r="ANS139" s="501"/>
      <c r="ANT139" s="501"/>
      <c r="ANU139" s="501"/>
      <c r="ANV139" s="501"/>
      <c r="ANW139" s="501"/>
      <c r="ANX139" s="501"/>
      <c r="ANY139" s="501"/>
      <c r="ANZ139" s="501"/>
      <c r="AOA139" s="501"/>
      <c r="AOB139" s="501"/>
      <c r="AOC139" s="501"/>
      <c r="AOD139" s="501"/>
      <c r="AOE139" s="501"/>
      <c r="AOF139" s="501"/>
      <c r="AOG139" s="501"/>
      <c r="AOH139" s="501"/>
      <c r="AOI139" s="501"/>
      <c r="AOJ139" s="501"/>
      <c r="AOK139" s="501"/>
      <c r="AOL139" s="501"/>
      <c r="AOM139" s="501"/>
      <c r="AON139" s="501"/>
      <c r="AOO139" s="501"/>
      <c r="AOP139" s="501"/>
      <c r="AOQ139" s="501"/>
      <c r="AOR139" s="501"/>
      <c r="AOS139" s="501"/>
      <c r="AOT139" s="501"/>
      <c r="AOU139" s="501"/>
      <c r="AOV139" s="501"/>
      <c r="AOW139" s="501"/>
      <c r="AOX139" s="501"/>
      <c r="AOY139" s="501"/>
      <c r="AOZ139" s="501"/>
      <c r="APA139" s="501"/>
      <c r="APB139" s="501"/>
      <c r="APC139" s="501"/>
      <c r="APD139" s="501"/>
      <c r="APE139" s="501"/>
      <c r="APF139" s="501"/>
      <c r="APG139" s="501"/>
      <c r="APH139" s="501"/>
      <c r="API139" s="501"/>
      <c r="APJ139" s="501"/>
      <c r="APK139" s="501"/>
      <c r="APL139" s="501"/>
      <c r="APM139" s="501"/>
      <c r="APN139" s="501"/>
      <c r="APO139" s="501"/>
      <c r="APP139" s="501"/>
      <c r="APQ139" s="501"/>
      <c r="APR139" s="501"/>
      <c r="APS139" s="501"/>
      <c r="APT139" s="501"/>
      <c r="APU139" s="501"/>
      <c r="APV139" s="501"/>
      <c r="APW139" s="501"/>
      <c r="APX139" s="501"/>
      <c r="APY139" s="501"/>
      <c r="APZ139" s="501"/>
      <c r="AQA139" s="501"/>
      <c r="AQB139" s="501"/>
      <c r="AQC139" s="501"/>
      <c r="AQD139" s="501"/>
      <c r="AQE139" s="501"/>
      <c r="AQF139" s="501"/>
      <c r="AQG139" s="501"/>
      <c r="AQH139" s="501"/>
      <c r="AQI139" s="501"/>
      <c r="AQJ139" s="501"/>
      <c r="AQK139" s="501"/>
      <c r="AQL139" s="501"/>
      <c r="AQM139" s="501"/>
      <c r="AQN139" s="501"/>
      <c r="AQO139" s="501"/>
      <c r="AQP139" s="501"/>
      <c r="AQQ139" s="501"/>
      <c r="AQR139" s="501"/>
      <c r="AQS139" s="501"/>
      <c r="AQT139" s="501"/>
      <c r="AQU139" s="501"/>
      <c r="AQV139" s="501"/>
      <c r="AQW139" s="501"/>
      <c r="AQX139" s="501"/>
      <c r="AQY139" s="501"/>
      <c r="AQZ139" s="501"/>
      <c r="ARA139" s="501"/>
      <c r="ARB139" s="501"/>
      <c r="ARC139" s="501"/>
      <c r="ARD139" s="501"/>
      <c r="ARE139" s="501"/>
      <c r="ARF139" s="501"/>
      <c r="ARG139" s="501"/>
      <c r="ARH139" s="501"/>
      <c r="ARI139" s="501"/>
      <c r="ARJ139" s="501"/>
      <c r="ARK139" s="501"/>
      <c r="ARL139" s="501"/>
      <c r="ARM139" s="501"/>
      <c r="ARN139" s="501"/>
      <c r="ARO139" s="501"/>
      <c r="ARP139" s="501"/>
      <c r="ARQ139" s="501"/>
      <c r="ARR139" s="501"/>
      <c r="ARS139" s="501"/>
      <c r="ART139" s="501"/>
      <c r="ARU139" s="501"/>
      <c r="ARV139" s="501"/>
      <c r="ARW139" s="501"/>
      <c r="ARX139" s="501"/>
      <c r="ARY139" s="501"/>
      <c r="ARZ139" s="501"/>
      <c r="ASA139" s="501"/>
      <c r="ASB139" s="501"/>
      <c r="ASC139" s="501"/>
      <c r="ASD139" s="501"/>
      <c r="ASE139" s="501"/>
      <c r="ASF139" s="501"/>
      <c r="ASG139" s="501"/>
      <c r="ASH139" s="501"/>
      <c r="ASI139" s="501"/>
      <c r="ASJ139" s="501"/>
      <c r="ASK139" s="501"/>
      <c r="ASL139" s="501"/>
      <c r="ASM139" s="501"/>
      <c r="ASN139" s="501"/>
      <c r="ASO139" s="501"/>
      <c r="ASP139" s="501"/>
      <c r="ASQ139" s="501"/>
      <c r="ASR139" s="501"/>
      <c r="ASS139" s="501"/>
      <c r="AST139" s="501"/>
      <c r="ASU139" s="501"/>
      <c r="ASV139" s="501"/>
      <c r="ASW139" s="501"/>
      <c r="ASX139" s="501"/>
      <c r="ASY139" s="501"/>
      <c r="ASZ139" s="501"/>
      <c r="ATA139" s="501"/>
      <c r="ATB139" s="501"/>
      <c r="ATC139" s="501"/>
      <c r="ATD139" s="501"/>
      <c r="ATE139" s="501"/>
      <c r="ATF139" s="501"/>
      <c r="ATG139" s="501"/>
      <c r="ATH139" s="501"/>
      <c r="ATI139" s="501"/>
      <c r="ATJ139" s="501"/>
      <c r="ATK139" s="501"/>
      <c r="ATL139" s="501"/>
      <c r="ATM139" s="501"/>
      <c r="ATN139" s="501"/>
      <c r="ATO139" s="501"/>
      <c r="ATP139" s="501"/>
      <c r="ATQ139" s="501"/>
      <c r="ATR139" s="501"/>
      <c r="ATS139" s="501"/>
      <c r="ATT139" s="501"/>
      <c r="ATU139" s="501"/>
      <c r="ATV139" s="501"/>
      <c r="ATW139" s="501"/>
      <c r="ATX139" s="501"/>
      <c r="ATY139" s="501"/>
      <c r="ATZ139" s="501"/>
      <c r="AUA139" s="501"/>
      <c r="AUB139" s="501"/>
      <c r="AUC139" s="501"/>
      <c r="AUD139" s="501"/>
      <c r="AUE139" s="501"/>
      <c r="AUF139" s="501"/>
      <c r="AUG139" s="501"/>
      <c r="AUH139" s="501"/>
      <c r="AUI139" s="501"/>
      <c r="AUJ139" s="501"/>
      <c r="AUK139" s="501"/>
      <c r="AUL139" s="501"/>
      <c r="AUM139" s="501"/>
      <c r="AUN139" s="501"/>
      <c r="AUO139" s="501"/>
      <c r="AUP139" s="501"/>
      <c r="AUQ139" s="501"/>
      <c r="AUR139" s="501"/>
      <c r="AUS139" s="501"/>
      <c r="AUT139" s="501"/>
      <c r="AUU139" s="501"/>
      <c r="AUV139" s="501"/>
      <c r="AUW139" s="501"/>
      <c r="AUX139" s="501"/>
      <c r="AUY139" s="501"/>
      <c r="AUZ139" s="501"/>
      <c r="AVA139" s="501"/>
      <c r="AVB139" s="501"/>
      <c r="AVC139" s="501"/>
      <c r="AVD139" s="501"/>
      <c r="AVE139" s="501"/>
      <c r="AVF139" s="501"/>
      <c r="AVG139" s="501"/>
      <c r="AVH139" s="501"/>
      <c r="AVI139" s="501"/>
      <c r="AVJ139" s="501"/>
      <c r="AVK139" s="501"/>
      <c r="AVL139" s="501"/>
      <c r="AVM139" s="501"/>
      <c r="AVN139" s="501"/>
      <c r="AVO139" s="501"/>
      <c r="AVP139" s="501"/>
      <c r="AVQ139" s="501"/>
      <c r="AVR139" s="501"/>
      <c r="AVS139" s="501"/>
      <c r="AVT139" s="501"/>
      <c r="AVU139" s="501"/>
      <c r="AVV139" s="501"/>
      <c r="AVW139" s="501"/>
      <c r="AVX139" s="501"/>
      <c r="AVY139" s="501"/>
      <c r="AVZ139" s="501"/>
      <c r="AWA139" s="501"/>
      <c r="AWB139" s="501"/>
      <c r="AWC139" s="501"/>
      <c r="AWD139" s="501"/>
      <c r="AWE139" s="501"/>
      <c r="AWF139" s="501"/>
    </row>
    <row r="140" spans="1:1280" ht="37.799999999999997">
      <c r="A140" s="761" t="s">
        <v>1775</v>
      </c>
      <c r="B140" s="759" t="s">
        <v>628</v>
      </c>
      <c r="C140" s="760"/>
      <c r="D140" s="761">
        <v>92919</v>
      </c>
      <c r="E140" s="798" t="s">
        <v>1549</v>
      </c>
      <c r="F140" s="778" t="s">
        <v>757</v>
      </c>
      <c r="G140" s="756">
        <v>25438.5</v>
      </c>
      <c r="H140" s="756">
        <v>6.87</v>
      </c>
      <c r="I140" s="756">
        <f t="shared" si="23"/>
        <v>8.58</v>
      </c>
      <c r="J140" s="756">
        <f t="shared" si="24"/>
        <v>218262.33</v>
      </c>
      <c r="K140" s="757"/>
      <c r="N140" s="631"/>
      <c r="O140" s="408"/>
    </row>
    <row r="141" spans="1:1280" ht="37.799999999999997">
      <c r="A141" s="761" t="s">
        <v>1776</v>
      </c>
      <c r="B141" s="759" t="s">
        <v>628</v>
      </c>
      <c r="C141" s="760"/>
      <c r="D141" s="761">
        <v>90861</v>
      </c>
      <c r="E141" s="762" t="s">
        <v>1957</v>
      </c>
      <c r="F141" s="778" t="s">
        <v>646</v>
      </c>
      <c r="G141" s="756">
        <v>496.11</v>
      </c>
      <c r="H141" s="756">
        <v>400.32</v>
      </c>
      <c r="I141" s="756">
        <f t="shared" si="23"/>
        <v>500.12</v>
      </c>
      <c r="J141" s="756">
        <f t="shared" si="24"/>
        <v>248114.53</v>
      </c>
      <c r="K141" s="757"/>
      <c r="N141" s="631"/>
      <c r="O141" s="408"/>
    </row>
    <row r="142" spans="1:1280">
      <c r="A142" s="859" t="s">
        <v>1550</v>
      </c>
      <c r="B142" s="860"/>
      <c r="C142" s="861"/>
      <c r="D142" s="861"/>
      <c r="E142" s="861"/>
      <c r="F142" s="861"/>
      <c r="G142" s="756"/>
      <c r="H142" s="756"/>
      <c r="I142" s="756"/>
      <c r="J142" s="771">
        <f>SUBTOTAL(109,J135:J141)</f>
        <v>596573.21</v>
      </c>
      <c r="K142" s="757"/>
      <c r="M142" s="730">
        <f>'[22]Planilha Orç'!$J$142</f>
        <v>596573.21</v>
      </c>
      <c r="N142" s="631">
        <f>+J142-M142</f>
        <v>0</v>
      </c>
      <c r="O142" s="408"/>
    </row>
    <row r="143" spans="1:1280">
      <c r="A143" s="761"/>
      <c r="B143" s="878" t="s">
        <v>1530</v>
      </c>
      <c r="C143" s="760"/>
      <c r="D143" s="761"/>
      <c r="E143" s="879"/>
      <c r="F143" s="778"/>
      <c r="G143" s="756"/>
      <c r="H143" s="756"/>
      <c r="I143" s="756"/>
      <c r="J143" s="756"/>
      <c r="K143" s="757"/>
      <c r="N143" s="631"/>
      <c r="O143" s="408"/>
    </row>
    <row r="144" spans="1:1280" s="275" customFormat="1" ht="25.2">
      <c r="A144" s="761" t="s">
        <v>1777</v>
      </c>
      <c r="B144" s="853" t="s">
        <v>628</v>
      </c>
      <c r="C144" s="854"/>
      <c r="D144" s="855" t="s">
        <v>1546</v>
      </c>
      <c r="E144" s="790" t="s">
        <v>1527</v>
      </c>
      <c r="F144" s="791" t="s">
        <v>704</v>
      </c>
      <c r="G144" s="756">
        <v>371.16</v>
      </c>
      <c r="H144" s="756">
        <v>24.1</v>
      </c>
      <c r="I144" s="756">
        <f t="shared" ref="I144:I150" si="25">ROUND(H144*(1+$K$471),2)</f>
        <v>30.11</v>
      </c>
      <c r="J144" s="756">
        <f t="shared" ref="J144:J150" si="26">ROUND(I144*G144,2)</f>
        <v>11175.63</v>
      </c>
      <c r="K144" s="757"/>
      <c r="L144" s="501"/>
      <c r="M144" s="730"/>
      <c r="N144" s="631"/>
      <c r="O144" s="408"/>
    </row>
    <row r="145" spans="1:15" s="279" customFormat="1">
      <c r="A145" s="761" t="s">
        <v>2810</v>
      </c>
      <c r="B145" s="759" t="s">
        <v>628</v>
      </c>
      <c r="C145" s="760"/>
      <c r="D145" s="761">
        <v>93382</v>
      </c>
      <c r="E145" s="762" t="s">
        <v>1528</v>
      </c>
      <c r="F145" s="761" t="s">
        <v>704</v>
      </c>
      <c r="G145" s="756">
        <v>169.77</v>
      </c>
      <c r="H145" s="756">
        <v>17.29</v>
      </c>
      <c r="I145" s="756">
        <f t="shared" si="25"/>
        <v>21.6</v>
      </c>
      <c r="J145" s="756">
        <f t="shared" si="26"/>
        <v>3667.03</v>
      </c>
      <c r="K145" s="757"/>
      <c r="L145" s="501"/>
      <c r="M145" s="730"/>
      <c r="N145" s="631"/>
      <c r="O145" s="408"/>
    </row>
    <row r="146" spans="1:15">
      <c r="A146" s="761" t="s">
        <v>1778</v>
      </c>
      <c r="B146" s="759" t="s">
        <v>628</v>
      </c>
      <c r="C146" s="760"/>
      <c r="D146" s="761">
        <v>5622</v>
      </c>
      <c r="E146" s="762" t="s">
        <v>1946</v>
      </c>
      <c r="F146" s="761" t="s">
        <v>654</v>
      </c>
      <c r="G146" s="756">
        <v>690.73</v>
      </c>
      <c r="H146" s="756">
        <v>3.97</v>
      </c>
      <c r="I146" s="756">
        <f t="shared" si="25"/>
        <v>4.96</v>
      </c>
      <c r="J146" s="756">
        <f t="shared" si="26"/>
        <v>3426.02</v>
      </c>
      <c r="K146" s="757"/>
      <c r="N146" s="631"/>
      <c r="O146" s="408"/>
    </row>
    <row r="147" spans="1:15" ht="25.2">
      <c r="A147" s="761" t="s">
        <v>1779</v>
      </c>
      <c r="B147" s="759" t="s">
        <v>628</v>
      </c>
      <c r="C147" s="760"/>
      <c r="D147" s="761" t="s">
        <v>1947</v>
      </c>
      <c r="E147" s="762" t="s">
        <v>1948</v>
      </c>
      <c r="F147" s="761" t="s">
        <v>607</v>
      </c>
      <c r="G147" s="756">
        <v>690.8</v>
      </c>
      <c r="H147" s="756">
        <v>27.06</v>
      </c>
      <c r="I147" s="756">
        <f t="shared" si="25"/>
        <v>33.81</v>
      </c>
      <c r="J147" s="756">
        <f t="shared" si="26"/>
        <v>23355.95</v>
      </c>
      <c r="K147" s="757"/>
      <c r="N147" s="631"/>
      <c r="O147" s="408"/>
    </row>
    <row r="148" spans="1:15">
      <c r="A148" s="761" t="s">
        <v>1780</v>
      </c>
      <c r="B148" s="759" t="s">
        <v>628</v>
      </c>
      <c r="C148" s="760"/>
      <c r="D148" s="761">
        <v>5651</v>
      </c>
      <c r="E148" s="762" t="s">
        <v>1529</v>
      </c>
      <c r="F148" s="761" t="s">
        <v>607</v>
      </c>
      <c r="G148" s="756">
        <v>2013.91</v>
      </c>
      <c r="H148" s="756">
        <v>29.66</v>
      </c>
      <c r="I148" s="756">
        <f t="shared" si="25"/>
        <v>37.049999999999997</v>
      </c>
      <c r="J148" s="756">
        <f t="shared" si="26"/>
        <v>74615.37</v>
      </c>
      <c r="K148" s="757"/>
      <c r="N148" s="631"/>
      <c r="O148" s="408"/>
    </row>
    <row r="149" spans="1:15" ht="37.799999999999997">
      <c r="A149" s="761" t="s">
        <v>1781</v>
      </c>
      <c r="B149" s="759" t="s">
        <v>628</v>
      </c>
      <c r="C149" s="760"/>
      <c r="D149" s="761">
        <v>92919</v>
      </c>
      <c r="E149" s="798" t="s">
        <v>1549</v>
      </c>
      <c r="F149" s="778" t="s">
        <v>757</v>
      </c>
      <c r="G149" s="756">
        <v>9062.5499999999993</v>
      </c>
      <c r="H149" s="756">
        <v>6.87</v>
      </c>
      <c r="I149" s="756">
        <f t="shared" si="25"/>
        <v>8.58</v>
      </c>
      <c r="J149" s="756">
        <f t="shared" si="26"/>
        <v>77756.679999999993</v>
      </c>
      <c r="K149" s="757"/>
      <c r="N149" s="631"/>
      <c r="O149" s="408"/>
    </row>
    <row r="150" spans="1:15" ht="37.799999999999997">
      <c r="A150" s="761" t="s">
        <v>1782</v>
      </c>
      <c r="B150" s="759" t="s">
        <v>628</v>
      </c>
      <c r="C150" s="760"/>
      <c r="D150" s="761">
        <v>90861</v>
      </c>
      <c r="E150" s="762" t="s">
        <v>1957</v>
      </c>
      <c r="F150" s="778" t="s">
        <v>646</v>
      </c>
      <c r="G150" s="756">
        <v>201.39</v>
      </c>
      <c r="H150" s="756">
        <v>400.32</v>
      </c>
      <c r="I150" s="756">
        <f t="shared" si="25"/>
        <v>500.12</v>
      </c>
      <c r="J150" s="756">
        <f t="shared" si="26"/>
        <v>100719.17</v>
      </c>
      <c r="K150" s="757"/>
      <c r="N150" s="631"/>
      <c r="O150" s="408"/>
    </row>
    <row r="151" spans="1:15" ht="15.6" customHeight="1">
      <c r="A151" s="859" t="s">
        <v>1783</v>
      </c>
      <c r="B151" s="860"/>
      <c r="C151" s="861"/>
      <c r="D151" s="861"/>
      <c r="E151" s="861"/>
      <c r="F151" s="861"/>
      <c r="G151" s="861"/>
      <c r="H151" s="880"/>
      <c r="I151" s="880"/>
      <c r="J151" s="881">
        <f>SUBTOTAL(109,J144:J150)</f>
        <v>294715.84999999998</v>
      </c>
      <c r="K151" s="757"/>
      <c r="M151" s="730">
        <f>'[22]Planilha Orç'!$J$151</f>
        <v>294715.84999999998</v>
      </c>
      <c r="N151" s="631">
        <f>+J151-M151</f>
        <v>0</v>
      </c>
      <c r="O151" s="408"/>
    </row>
    <row r="152" spans="1:15" s="275" customFormat="1">
      <c r="A152" s="767" t="s">
        <v>1784</v>
      </c>
      <c r="B152" s="768"/>
      <c r="C152" s="769"/>
      <c r="D152" s="769"/>
      <c r="E152" s="769"/>
      <c r="F152" s="769"/>
      <c r="G152" s="769"/>
      <c r="H152" s="770"/>
      <c r="I152" s="770"/>
      <c r="J152" s="881">
        <f>SUBTOTAL(109,J126:J150)</f>
        <v>1128563.43</v>
      </c>
      <c r="K152" s="757"/>
      <c r="L152" s="501"/>
      <c r="M152" s="730"/>
      <c r="N152" s="631"/>
      <c r="O152" s="408"/>
    </row>
    <row r="153" spans="1:15" ht="15.6" customHeight="1">
      <c r="A153" s="836" t="s">
        <v>767</v>
      </c>
      <c r="B153" s="837"/>
      <c r="C153" s="838"/>
      <c r="D153" s="838"/>
      <c r="E153" s="838"/>
      <c r="F153" s="838"/>
      <c r="G153" s="838"/>
      <c r="H153" s="839"/>
      <c r="I153" s="839"/>
      <c r="J153" s="882">
        <f>SUBTOTAL(109,J112:J152)</f>
        <v>1960460.8499999999</v>
      </c>
      <c r="K153" s="757"/>
      <c r="N153" s="631"/>
      <c r="O153" s="408"/>
    </row>
    <row r="154" spans="1:15">
      <c r="A154" s="792">
        <v>3</v>
      </c>
      <c r="B154" s="793" t="s">
        <v>768</v>
      </c>
      <c r="C154" s="794"/>
      <c r="D154" s="794"/>
      <c r="E154" s="795"/>
      <c r="F154" s="883"/>
      <c r="G154" s="884"/>
      <c r="H154" s="884"/>
      <c r="I154" s="884"/>
      <c r="J154" s="884"/>
      <c r="K154" s="746">
        <f>SUBTOTAL(109,K155:K190)</f>
        <v>0.11983358951472761</v>
      </c>
      <c r="N154" s="631"/>
      <c r="O154" s="408"/>
    </row>
    <row r="155" spans="1:15" ht="15.6" customHeight="1">
      <c r="A155" s="792" t="s">
        <v>769</v>
      </c>
      <c r="B155" s="796" t="s">
        <v>1531</v>
      </c>
      <c r="C155" s="797"/>
      <c r="D155" s="794"/>
      <c r="E155" s="794"/>
      <c r="F155" s="794"/>
      <c r="G155" s="794"/>
      <c r="H155" s="794"/>
      <c r="I155" s="794"/>
      <c r="J155" s="795"/>
      <c r="K155" s="746">
        <f>+J159/$J$463</f>
        <v>4.70448721905453E-3</v>
      </c>
      <c r="N155" s="631"/>
      <c r="O155" s="408"/>
    </row>
    <row r="156" spans="1:15" ht="37.799999999999997">
      <c r="A156" s="761" t="s">
        <v>771</v>
      </c>
      <c r="B156" s="759" t="s">
        <v>628</v>
      </c>
      <c r="C156" s="760"/>
      <c r="D156" s="778">
        <v>92431</v>
      </c>
      <c r="E156" s="762" t="s">
        <v>1959</v>
      </c>
      <c r="F156" s="760" t="s">
        <v>654</v>
      </c>
      <c r="G156" s="756">
        <v>3294.23</v>
      </c>
      <c r="H156" s="756">
        <v>25.87</v>
      </c>
      <c r="I156" s="756">
        <f>ROUND(H156*(1+$K$471),2)</f>
        <v>32.32</v>
      </c>
      <c r="J156" s="756">
        <f t="shared" ref="J156:J158" si="27">ROUND(I156*G156,2)</f>
        <v>106469.51</v>
      </c>
      <c r="K156" s="757"/>
      <c r="N156" s="631"/>
      <c r="O156" s="408"/>
    </row>
    <row r="157" spans="1:15" ht="37.799999999999997">
      <c r="A157" s="761" t="s">
        <v>773</v>
      </c>
      <c r="B157" s="759" t="s">
        <v>628</v>
      </c>
      <c r="C157" s="760"/>
      <c r="D157" s="761">
        <v>92919</v>
      </c>
      <c r="E157" s="798" t="s">
        <v>1549</v>
      </c>
      <c r="F157" s="778" t="s">
        <v>757</v>
      </c>
      <c r="G157" s="756">
        <v>21412.3</v>
      </c>
      <c r="H157" s="756">
        <v>6.87</v>
      </c>
      <c r="I157" s="756">
        <f>ROUND(H157*(1+$K$471),2)</f>
        <v>8.58</v>
      </c>
      <c r="J157" s="756">
        <f t="shared" si="27"/>
        <v>183717.53</v>
      </c>
      <c r="K157" s="757"/>
      <c r="N157" s="631"/>
      <c r="O157" s="408"/>
    </row>
    <row r="158" spans="1:15" ht="37.799999999999997">
      <c r="A158" s="761" t="s">
        <v>775</v>
      </c>
      <c r="B158" s="759" t="s">
        <v>628</v>
      </c>
      <c r="C158" s="760"/>
      <c r="D158" s="761">
        <v>90861</v>
      </c>
      <c r="E158" s="762" t="s">
        <v>1957</v>
      </c>
      <c r="F158" s="778" t="s">
        <v>646</v>
      </c>
      <c r="G158" s="756">
        <v>329.42</v>
      </c>
      <c r="H158" s="756">
        <v>400.32</v>
      </c>
      <c r="I158" s="756">
        <f>ROUND(H158*(1+$K$471),2)</f>
        <v>500.12</v>
      </c>
      <c r="J158" s="756">
        <f t="shared" si="27"/>
        <v>164749.53</v>
      </c>
      <c r="K158" s="757"/>
      <c r="N158" s="631"/>
      <c r="O158" s="408"/>
    </row>
    <row r="159" spans="1:15" s="275" customFormat="1" ht="15.6" customHeight="1">
      <c r="A159" s="767" t="s">
        <v>1533</v>
      </c>
      <c r="B159" s="768"/>
      <c r="C159" s="769"/>
      <c r="D159" s="769"/>
      <c r="E159" s="769"/>
      <c r="F159" s="769"/>
      <c r="G159" s="756"/>
      <c r="H159" s="756"/>
      <c r="I159" s="756"/>
      <c r="J159" s="771">
        <f>SUBTOTAL(109,J156:J158)</f>
        <v>454936.56999999995</v>
      </c>
      <c r="K159" s="757"/>
      <c r="L159" s="501"/>
      <c r="M159" s="730">
        <f>'[22]Planilha Orç'!$J$159</f>
        <v>454936.56999999995</v>
      </c>
      <c r="N159" s="631">
        <f>+J159-M159</f>
        <v>0</v>
      </c>
      <c r="O159" s="408"/>
    </row>
    <row r="160" spans="1:15">
      <c r="A160" s="847" t="s">
        <v>779</v>
      </c>
      <c r="B160" s="793" t="s">
        <v>770</v>
      </c>
      <c r="C160" s="794"/>
      <c r="D160" s="794"/>
      <c r="E160" s="794"/>
      <c r="F160" s="794"/>
      <c r="G160" s="794"/>
      <c r="H160" s="794"/>
      <c r="I160" s="794"/>
      <c r="J160" s="795"/>
      <c r="K160" s="746">
        <f>+J165/$J$463</f>
        <v>2.3374833272916503E-2</v>
      </c>
      <c r="N160" s="631"/>
      <c r="O160" s="408"/>
    </row>
    <row r="161" spans="1:15" s="275" customFormat="1" ht="37.799999999999997">
      <c r="A161" s="761" t="s">
        <v>781</v>
      </c>
      <c r="B161" s="759" t="s">
        <v>628</v>
      </c>
      <c r="C161" s="760"/>
      <c r="D161" s="761">
        <v>92436</v>
      </c>
      <c r="E161" s="885" t="s">
        <v>2893</v>
      </c>
      <c r="F161" s="760" t="s">
        <v>654</v>
      </c>
      <c r="G161" s="756">
        <v>13338.43</v>
      </c>
      <c r="H161" s="756">
        <v>35</v>
      </c>
      <c r="I161" s="756">
        <f>ROUND(H161*(1+$K$471),2)</f>
        <v>43.73</v>
      </c>
      <c r="J161" s="756">
        <f t="shared" ref="J161:J164" si="28">ROUND(I161*G161,2)</f>
        <v>583289.54</v>
      </c>
      <c r="K161" s="757"/>
      <c r="L161" s="501"/>
      <c r="M161" s="730"/>
      <c r="N161" s="631"/>
      <c r="O161" s="408"/>
    </row>
    <row r="162" spans="1:15" s="275" customFormat="1" ht="25.2">
      <c r="A162" s="810" t="s">
        <v>782</v>
      </c>
      <c r="B162" s="808" t="s">
        <v>628</v>
      </c>
      <c r="C162" s="809"/>
      <c r="D162" s="810">
        <v>92764</v>
      </c>
      <c r="E162" s="886" t="s">
        <v>1960</v>
      </c>
      <c r="F162" s="809" t="s">
        <v>757</v>
      </c>
      <c r="G162" s="756">
        <v>84477.6</v>
      </c>
      <c r="H162" s="756">
        <v>4.1900000000000004</v>
      </c>
      <c r="I162" s="756">
        <f>ROUND(H162*(1+$K$471),2)</f>
        <v>5.23</v>
      </c>
      <c r="J162" s="756">
        <f t="shared" si="28"/>
        <v>441817.85</v>
      </c>
      <c r="K162" s="812"/>
      <c r="L162" s="501"/>
      <c r="M162" s="730"/>
      <c r="N162" s="631"/>
      <c r="O162" s="408"/>
    </row>
    <row r="163" spans="1:15" s="275" customFormat="1" ht="25.2">
      <c r="A163" s="810" t="s">
        <v>783</v>
      </c>
      <c r="B163" s="808" t="s">
        <v>628</v>
      </c>
      <c r="C163" s="809"/>
      <c r="D163" s="810">
        <v>92765</v>
      </c>
      <c r="E163" s="886" t="s">
        <v>2892</v>
      </c>
      <c r="F163" s="809" t="s">
        <v>757</v>
      </c>
      <c r="G163" s="756">
        <v>112636.8</v>
      </c>
      <c r="H163" s="756">
        <v>3.78</v>
      </c>
      <c r="I163" s="756">
        <f>ROUND(H163*(1+$K$471),2)</f>
        <v>4.72</v>
      </c>
      <c r="J163" s="756">
        <f t="shared" si="28"/>
        <v>531645.69999999995</v>
      </c>
      <c r="K163" s="812"/>
      <c r="L163" s="501"/>
      <c r="M163" s="730"/>
      <c r="N163" s="631"/>
      <c r="O163" s="408"/>
    </row>
    <row r="164" spans="1:15" s="275" customFormat="1" ht="25.2">
      <c r="A164" s="761" t="s">
        <v>784</v>
      </c>
      <c r="B164" s="759" t="s">
        <v>628</v>
      </c>
      <c r="C164" s="760"/>
      <c r="D164" s="761">
        <v>92720</v>
      </c>
      <c r="E164" s="762" t="s">
        <v>1949</v>
      </c>
      <c r="F164" s="760" t="s">
        <v>704</v>
      </c>
      <c r="G164" s="756">
        <v>1407.96</v>
      </c>
      <c r="H164" s="756">
        <v>400.04</v>
      </c>
      <c r="I164" s="756">
        <f>ROUND(H164*(1+$K$471),2)</f>
        <v>499.77</v>
      </c>
      <c r="J164" s="756">
        <f t="shared" si="28"/>
        <v>703656.17</v>
      </c>
      <c r="K164" s="757"/>
      <c r="L164" s="501"/>
      <c r="M164" s="730"/>
      <c r="N164" s="631"/>
      <c r="O164" s="408"/>
    </row>
    <row r="165" spans="1:15" s="275" customFormat="1" ht="15.6" customHeight="1">
      <c r="A165" s="767" t="s">
        <v>778</v>
      </c>
      <c r="B165" s="768"/>
      <c r="C165" s="769"/>
      <c r="D165" s="769"/>
      <c r="E165" s="769"/>
      <c r="F165" s="769"/>
      <c r="G165" s="756"/>
      <c r="H165" s="756"/>
      <c r="I165" s="756"/>
      <c r="J165" s="771">
        <f>SUBTOTAL(109,J161:J164)</f>
        <v>2260409.2599999998</v>
      </c>
      <c r="K165" s="757"/>
      <c r="L165" s="501"/>
      <c r="M165" s="730">
        <f>'[22]Planilha Orç'!$J$165</f>
        <v>2260409.2599999998</v>
      </c>
      <c r="N165" s="631">
        <f>+J165-M165</f>
        <v>0</v>
      </c>
      <c r="O165" s="408"/>
    </row>
    <row r="166" spans="1:15" ht="17.25" customHeight="1">
      <c r="A166" s="792" t="s">
        <v>788</v>
      </c>
      <c r="B166" s="793" t="s">
        <v>780</v>
      </c>
      <c r="C166" s="794"/>
      <c r="D166" s="794"/>
      <c r="E166" s="794"/>
      <c r="F166" s="794"/>
      <c r="G166" s="794"/>
      <c r="H166" s="794"/>
      <c r="I166" s="794"/>
      <c r="J166" s="795"/>
      <c r="K166" s="746">
        <f>+J172/$J$463</f>
        <v>3.1936935407395103E-2</v>
      </c>
      <c r="N166" s="631"/>
      <c r="O166" s="408"/>
    </row>
    <row r="167" spans="1:15" ht="25.2">
      <c r="A167" s="761" t="s">
        <v>789</v>
      </c>
      <c r="B167" s="759" t="s">
        <v>628</v>
      </c>
      <c r="C167" s="760"/>
      <c r="D167" s="761">
        <v>92466</v>
      </c>
      <c r="E167" s="885" t="s">
        <v>1557</v>
      </c>
      <c r="F167" s="760" t="s">
        <v>654</v>
      </c>
      <c r="G167" s="756">
        <v>19385.57</v>
      </c>
      <c r="H167" s="756">
        <v>60.11</v>
      </c>
      <c r="I167" s="756">
        <f>ROUND(H167*(1+$K$471),2)</f>
        <v>75.099999999999994</v>
      </c>
      <c r="J167" s="756">
        <f t="shared" ref="J167:J171" si="29">ROUND(I167*G167,2)</f>
        <v>1455856.31</v>
      </c>
      <c r="K167" s="757"/>
      <c r="N167" s="631"/>
      <c r="O167" s="408"/>
    </row>
    <row r="168" spans="1:15" ht="39" customHeight="1">
      <c r="A168" s="761" t="s">
        <v>790</v>
      </c>
      <c r="B168" s="759" t="s">
        <v>628</v>
      </c>
      <c r="C168" s="760"/>
      <c r="D168" s="761">
        <v>92764</v>
      </c>
      <c r="E168" s="885" t="s">
        <v>1960</v>
      </c>
      <c r="F168" s="760" t="s">
        <v>757</v>
      </c>
      <c r="G168" s="756">
        <v>13076</v>
      </c>
      <c r="H168" s="756">
        <v>4.1900000000000004</v>
      </c>
      <c r="I168" s="756">
        <f>ROUND(H168*(1+$K$471),2)</f>
        <v>5.23</v>
      </c>
      <c r="J168" s="756">
        <f t="shared" si="29"/>
        <v>68387.48</v>
      </c>
      <c r="K168" s="757"/>
      <c r="N168" s="631"/>
      <c r="O168" s="408"/>
    </row>
    <row r="169" spans="1:15" ht="36.6" customHeight="1">
      <c r="A169" s="761" t="s">
        <v>791</v>
      </c>
      <c r="B169" s="759"/>
      <c r="C169" s="760"/>
      <c r="D169" s="761">
        <v>92763</v>
      </c>
      <c r="E169" s="885" t="s">
        <v>1962</v>
      </c>
      <c r="F169" s="760" t="s">
        <v>757</v>
      </c>
      <c r="G169" s="756">
        <v>39227</v>
      </c>
      <c r="H169" s="756">
        <v>5.38</v>
      </c>
      <c r="I169" s="756">
        <f>ROUND(H169*(1+$K$471),2)</f>
        <v>6.72</v>
      </c>
      <c r="J169" s="756">
        <f t="shared" si="29"/>
        <v>263605.44</v>
      </c>
      <c r="K169" s="757"/>
      <c r="N169" s="631"/>
      <c r="O169" s="408"/>
    </row>
    <row r="170" spans="1:15" ht="25.2">
      <c r="A170" s="761" t="s">
        <v>792</v>
      </c>
      <c r="B170" s="759" t="s">
        <v>628</v>
      </c>
      <c r="C170" s="760"/>
      <c r="D170" s="761">
        <v>92762</v>
      </c>
      <c r="E170" s="885" t="s">
        <v>1961</v>
      </c>
      <c r="F170" s="760" t="s">
        <v>757</v>
      </c>
      <c r="G170" s="756">
        <v>78455</v>
      </c>
      <c r="H170" s="756">
        <v>6.5</v>
      </c>
      <c r="I170" s="756">
        <f>ROUND(H170*(1+$K$471),2)</f>
        <v>8.1199999999999992</v>
      </c>
      <c r="J170" s="756">
        <f t="shared" si="29"/>
        <v>637054.6</v>
      </c>
      <c r="K170" s="757"/>
      <c r="N170" s="631"/>
      <c r="O170" s="408"/>
    </row>
    <row r="171" spans="1:15" ht="37.799999999999997">
      <c r="A171" s="761" t="s">
        <v>793</v>
      </c>
      <c r="B171" s="759" t="s">
        <v>628</v>
      </c>
      <c r="C171" s="760"/>
      <c r="D171" s="761">
        <v>92726</v>
      </c>
      <c r="E171" s="762" t="s">
        <v>1963</v>
      </c>
      <c r="F171" s="760" t="s">
        <v>704</v>
      </c>
      <c r="G171" s="756">
        <v>1396.22</v>
      </c>
      <c r="H171" s="756">
        <v>380.37</v>
      </c>
      <c r="I171" s="756">
        <f>ROUND(H171*(1+$K$471),2)</f>
        <v>475.2</v>
      </c>
      <c r="J171" s="756">
        <f t="shared" si="29"/>
        <v>663483.74</v>
      </c>
      <c r="K171" s="757"/>
      <c r="N171" s="631"/>
      <c r="O171" s="408"/>
    </row>
    <row r="172" spans="1:15" ht="15.6" customHeight="1">
      <c r="A172" s="767" t="s">
        <v>787</v>
      </c>
      <c r="B172" s="768"/>
      <c r="C172" s="769"/>
      <c r="D172" s="769"/>
      <c r="E172" s="769"/>
      <c r="F172" s="769"/>
      <c r="G172" s="769"/>
      <c r="H172" s="770"/>
      <c r="I172" s="770"/>
      <c r="J172" s="771">
        <f>SUBTOTAL(109,J167:J171)</f>
        <v>3088387.5700000003</v>
      </c>
      <c r="K172" s="757"/>
      <c r="M172" s="730">
        <f>'[22]Planilha Orç'!$J$172</f>
        <v>3088387.5700000003</v>
      </c>
      <c r="N172" s="631">
        <f>+J172-M172</f>
        <v>0</v>
      </c>
      <c r="O172" s="408"/>
    </row>
    <row r="173" spans="1:15" ht="15.6" customHeight="1">
      <c r="A173" s="792" t="s">
        <v>794</v>
      </c>
      <c r="B173" s="796" t="s">
        <v>2294</v>
      </c>
      <c r="C173" s="797"/>
      <c r="D173" s="797"/>
      <c r="E173" s="797"/>
      <c r="F173" s="797"/>
      <c r="G173" s="797"/>
      <c r="H173" s="797"/>
      <c r="I173" s="797"/>
      <c r="J173" s="852"/>
      <c r="K173" s="746">
        <f>+J178/$J$463</f>
        <v>5.0388917732588363E-2</v>
      </c>
      <c r="N173" s="631"/>
      <c r="O173" s="408"/>
    </row>
    <row r="174" spans="1:15" s="275" customFormat="1" ht="25.2">
      <c r="A174" s="761" t="s">
        <v>795</v>
      </c>
      <c r="B174" s="759" t="s">
        <v>628</v>
      </c>
      <c r="C174" s="760"/>
      <c r="D174" s="761">
        <v>92524</v>
      </c>
      <c r="E174" s="885" t="s">
        <v>2293</v>
      </c>
      <c r="F174" s="761" t="s">
        <v>654</v>
      </c>
      <c r="G174" s="876">
        <v>26980.35</v>
      </c>
      <c r="H174" s="887">
        <v>20.66</v>
      </c>
      <c r="I174" s="756">
        <f>ROUND(H174*(1+$K$471),2)</f>
        <v>25.81</v>
      </c>
      <c r="J174" s="756">
        <f t="shared" ref="J174:J177" si="30">ROUND(I174*G174,2)</f>
        <v>696362.83</v>
      </c>
      <c r="K174" s="757"/>
      <c r="L174" s="501"/>
      <c r="M174" s="730"/>
      <c r="N174" s="631"/>
      <c r="O174" s="408"/>
    </row>
    <row r="175" spans="1:15" s="275" customFormat="1" ht="25.2">
      <c r="A175" s="761" t="s">
        <v>796</v>
      </c>
      <c r="B175" s="759" t="s">
        <v>628</v>
      </c>
      <c r="C175" s="760"/>
      <c r="D175" s="761">
        <v>92770</v>
      </c>
      <c r="E175" s="762" t="s">
        <v>1559</v>
      </c>
      <c r="F175" s="761" t="s">
        <v>757</v>
      </c>
      <c r="G175" s="876">
        <v>83188</v>
      </c>
      <c r="H175" s="876">
        <v>5.86</v>
      </c>
      <c r="I175" s="756">
        <f>ROUND(H175*(1+$K$471),2)</f>
        <v>7.32</v>
      </c>
      <c r="J175" s="756">
        <f t="shared" si="30"/>
        <v>608936.16</v>
      </c>
      <c r="K175" s="815"/>
      <c r="L175" s="501"/>
      <c r="M175" s="730"/>
      <c r="N175" s="631"/>
      <c r="O175" s="408"/>
    </row>
    <row r="176" spans="1:15" s="275" customFormat="1" ht="25.2">
      <c r="A176" s="761" t="s">
        <v>797</v>
      </c>
      <c r="B176" s="759" t="s">
        <v>628</v>
      </c>
      <c r="C176" s="760"/>
      <c r="D176" s="761">
        <v>92771</v>
      </c>
      <c r="E176" s="762" t="s">
        <v>1558</v>
      </c>
      <c r="F176" s="761" t="s">
        <v>757</v>
      </c>
      <c r="G176" s="876">
        <v>249564</v>
      </c>
      <c r="H176" s="876">
        <v>4.71</v>
      </c>
      <c r="I176" s="756">
        <f>ROUND(H176*(1+$K$471),2)</f>
        <v>5.88</v>
      </c>
      <c r="J176" s="756">
        <f t="shared" si="30"/>
        <v>1467436.32</v>
      </c>
      <c r="K176" s="815"/>
      <c r="L176" s="501"/>
      <c r="M176" s="730"/>
      <c r="N176" s="631"/>
      <c r="O176" s="408"/>
    </row>
    <row r="177" spans="1:15" s="275" customFormat="1" ht="37.799999999999997">
      <c r="A177" s="761" t="s">
        <v>798</v>
      </c>
      <c r="B177" s="759" t="s">
        <v>628</v>
      </c>
      <c r="C177" s="760"/>
      <c r="D177" s="761">
        <v>92726</v>
      </c>
      <c r="E177" s="762" t="s">
        <v>1963</v>
      </c>
      <c r="F177" s="760" t="s">
        <v>704</v>
      </c>
      <c r="G177" s="876">
        <v>4419.21</v>
      </c>
      <c r="H177" s="887">
        <v>380.37</v>
      </c>
      <c r="I177" s="756">
        <f>ROUND(H177*(1+$K$471),2)</f>
        <v>475.2</v>
      </c>
      <c r="J177" s="756">
        <f t="shared" si="30"/>
        <v>2100008.59</v>
      </c>
      <c r="K177" s="815"/>
      <c r="L177" s="501"/>
      <c r="M177" s="730"/>
      <c r="N177" s="631"/>
      <c r="O177" s="408"/>
    </row>
    <row r="178" spans="1:15" s="275" customFormat="1" ht="15.6" customHeight="1">
      <c r="A178" s="767" t="s">
        <v>2840</v>
      </c>
      <c r="B178" s="768"/>
      <c r="C178" s="769"/>
      <c r="D178" s="769"/>
      <c r="E178" s="769"/>
      <c r="F178" s="769"/>
      <c r="G178" s="769"/>
      <c r="H178" s="770"/>
      <c r="I178" s="770"/>
      <c r="J178" s="771">
        <f>SUBTOTAL(109,J174:J177)</f>
        <v>4872743.9000000004</v>
      </c>
      <c r="K178" s="757"/>
      <c r="L178" s="501"/>
      <c r="M178" s="730">
        <f>'[22]Planilha Orç'!$J$178</f>
        <v>4872743.9000000004</v>
      </c>
      <c r="N178" s="631">
        <f>+J178-M178</f>
        <v>0</v>
      </c>
      <c r="O178" s="408"/>
    </row>
    <row r="179" spans="1:15" s="275" customFormat="1" ht="15.6" customHeight="1">
      <c r="A179" s="792" t="s">
        <v>799</v>
      </c>
      <c r="B179" s="796" t="s">
        <v>1560</v>
      </c>
      <c r="C179" s="797"/>
      <c r="D179" s="797"/>
      <c r="E179" s="797"/>
      <c r="F179" s="797"/>
      <c r="G179" s="797"/>
      <c r="H179" s="797"/>
      <c r="I179" s="797"/>
      <c r="J179" s="852"/>
      <c r="K179" s="746">
        <f>+J181/$J$463</f>
        <v>4.8885187073913526E-3</v>
      </c>
      <c r="L179" s="501"/>
      <c r="M179" s="730"/>
      <c r="N179" s="631"/>
      <c r="O179" s="408"/>
    </row>
    <row r="180" spans="1:15" s="275" customFormat="1" ht="25.2" customHeight="1">
      <c r="A180" s="751" t="s">
        <v>800</v>
      </c>
      <c r="B180" s="759" t="s">
        <v>628</v>
      </c>
      <c r="C180" s="760"/>
      <c r="D180" s="761">
        <v>93187</v>
      </c>
      <c r="E180" s="885" t="s">
        <v>1964</v>
      </c>
      <c r="F180" s="753" t="s">
        <v>217</v>
      </c>
      <c r="G180" s="832">
        <v>8386.25</v>
      </c>
      <c r="H180" s="887">
        <v>45.12</v>
      </c>
      <c r="I180" s="756">
        <f>ROUND(H180*(1+$K$471),2)</f>
        <v>56.37</v>
      </c>
      <c r="J180" s="756">
        <f t="shared" ref="J180" si="31">ROUND(I180*G180,2)</f>
        <v>472732.91</v>
      </c>
      <c r="K180" s="757"/>
      <c r="L180" s="501"/>
      <c r="M180" s="730"/>
      <c r="N180" s="631"/>
      <c r="O180" s="408"/>
    </row>
    <row r="181" spans="1:15" s="275" customFormat="1" ht="15.6" customHeight="1">
      <c r="A181" s="767" t="s">
        <v>2841</v>
      </c>
      <c r="B181" s="768"/>
      <c r="C181" s="769"/>
      <c r="D181" s="769"/>
      <c r="E181" s="769"/>
      <c r="F181" s="769"/>
      <c r="G181" s="769"/>
      <c r="H181" s="770"/>
      <c r="I181" s="770"/>
      <c r="J181" s="771">
        <f>SUBTOTAL(109,J180:J180)</f>
        <v>472732.91</v>
      </c>
      <c r="K181" s="757"/>
      <c r="L181" s="501"/>
      <c r="M181" s="730">
        <f>'[22]Planilha Orç'!$J$181</f>
        <v>336520.44</v>
      </c>
      <c r="N181" s="631">
        <f>+J181-M181</f>
        <v>136212.46999999997</v>
      </c>
      <c r="O181" s="408"/>
    </row>
    <row r="182" spans="1:15" s="275" customFormat="1" ht="15.6" customHeight="1">
      <c r="A182" s="792" t="s">
        <v>1716</v>
      </c>
      <c r="B182" s="796" t="s">
        <v>1721</v>
      </c>
      <c r="C182" s="797"/>
      <c r="D182" s="797"/>
      <c r="E182" s="797"/>
      <c r="F182" s="797"/>
      <c r="G182" s="797"/>
      <c r="H182" s="797"/>
      <c r="I182" s="797"/>
      <c r="J182" s="852"/>
      <c r="K182" s="746">
        <f>+J187/$J$463</f>
        <v>3.6415452284163127E-3</v>
      </c>
      <c r="L182" s="501"/>
      <c r="M182" s="730"/>
      <c r="N182" s="631"/>
      <c r="O182" s="408"/>
    </row>
    <row r="183" spans="1:15" s="275" customFormat="1" ht="25.2">
      <c r="A183" s="761" t="s">
        <v>1717</v>
      </c>
      <c r="B183" s="759" t="s">
        <v>628</v>
      </c>
      <c r="C183" s="760"/>
      <c r="D183" s="761">
        <v>92524</v>
      </c>
      <c r="E183" s="885" t="s">
        <v>2293</v>
      </c>
      <c r="F183" s="761" t="s">
        <v>654</v>
      </c>
      <c r="G183" s="832">
        <v>1648.67</v>
      </c>
      <c r="H183" s="832">
        <v>20.66</v>
      </c>
      <c r="I183" s="756">
        <f>ROUND(H183*(1+$K$471),2)</f>
        <v>25.81</v>
      </c>
      <c r="J183" s="756">
        <f t="shared" ref="J183:J186" si="32">ROUND(I183*G183,2)</f>
        <v>42552.17</v>
      </c>
      <c r="K183" s="757"/>
      <c r="L183" s="501"/>
      <c r="M183" s="730"/>
      <c r="N183" s="631"/>
      <c r="O183" s="408"/>
    </row>
    <row r="184" spans="1:15" s="275" customFormat="1" ht="25.2">
      <c r="A184" s="761" t="s">
        <v>1718</v>
      </c>
      <c r="B184" s="759" t="s">
        <v>628</v>
      </c>
      <c r="C184" s="760"/>
      <c r="D184" s="761">
        <v>92770</v>
      </c>
      <c r="E184" s="762" t="s">
        <v>1559</v>
      </c>
      <c r="F184" s="761" t="s">
        <v>757</v>
      </c>
      <c r="G184" s="832">
        <v>9639.2800000000007</v>
      </c>
      <c r="H184" s="832">
        <v>5.86</v>
      </c>
      <c r="I184" s="756">
        <f>ROUND(H184*(1+$K$471),2)</f>
        <v>7.32</v>
      </c>
      <c r="J184" s="756">
        <f t="shared" si="32"/>
        <v>70559.53</v>
      </c>
      <c r="K184" s="757"/>
      <c r="L184" s="501"/>
      <c r="M184" s="730"/>
      <c r="N184" s="631"/>
      <c r="O184" s="408"/>
    </row>
    <row r="185" spans="1:15" s="275" customFormat="1" ht="25.2">
      <c r="A185" s="761" t="s">
        <v>1719</v>
      </c>
      <c r="B185" s="759" t="s">
        <v>628</v>
      </c>
      <c r="C185" s="760"/>
      <c r="D185" s="761">
        <v>92771</v>
      </c>
      <c r="E185" s="762" t="s">
        <v>1558</v>
      </c>
      <c r="F185" s="761" t="s">
        <v>757</v>
      </c>
      <c r="G185" s="832">
        <v>14458.92</v>
      </c>
      <c r="H185" s="832">
        <v>4.71</v>
      </c>
      <c r="I185" s="756">
        <f>ROUND(H185*(1+$K$471),2)</f>
        <v>5.88</v>
      </c>
      <c r="J185" s="756">
        <f t="shared" si="32"/>
        <v>85018.45</v>
      </c>
      <c r="K185" s="757"/>
      <c r="L185" s="501"/>
      <c r="M185" s="730"/>
      <c r="N185" s="631"/>
      <c r="O185" s="408"/>
    </row>
    <row r="186" spans="1:15" s="275" customFormat="1" ht="37.799999999999997">
      <c r="A186" s="761" t="s">
        <v>1720</v>
      </c>
      <c r="B186" s="759" t="s">
        <v>628</v>
      </c>
      <c r="C186" s="760"/>
      <c r="D186" s="761">
        <v>92726</v>
      </c>
      <c r="E186" s="762" t="s">
        <v>1963</v>
      </c>
      <c r="F186" s="760" t="s">
        <v>704</v>
      </c>
      <c r="G186" s="832">
        <v>324.11</v>
      </c>
      <c r="H186" s="832">
        <v>380.37</v>
      </c>
      <c r="I186" s="756">
        <f>ROUND(H186*(1+$K$471),2)</f>
        <v>475.2</v>
      </c>
      <c r="J186" s="756">
        <f t="shared" si="32"/>
        <v>154017.07</v>
      </c>
      <c r="K186" s="757"/>
      <c r="L186" s="501"/>
      <c r="M186" s="730"/>
      <c r="N186" s="631"/>
      <c r="O186" s="408"/>
    </row>
    <row r="187" spans="1:15" s="275" customFormat="1" ht="15.6" customHeight="1">
      <c r="A187" s="767" t="s">
        <v>2842</v>
      </c>
      <c r="B187" s="768"/>
      <c r="C187" s="769"/>
      <c r="D187" s="769"/>
      <c r="E187" s="769"/>
      <c r="F187" s="769"/>
      <c r="G187" s="769"/>
      <c r="H187" s="770"/>
      <c r="I187" s="770"/>
      <c r="J187" s="888">
        <f>SUBTOTAL(109,J183:J186)</f>
        <v>352147.22</v>
      </c>
      <c r="K187" s="757"/>
      <c r="L187" s="501"/>
      <c r="M187" s="730">
        <f>'[22]Planilha Orç'!$J$187</f>
        <v>352147.22</v>
      </c>
      <c r="N187" s="631">
        <f>+J187-M187</f>
        <v>0</v>
      </c>
      <c r="O187" s="408"/>
    </row>
    <row r="188" spans="1:15" s="275" customFormat="1" ht="15.6" customHeight="1">
      <c r="A188" s="792" t="s">
        <v>2295</v>
      </c>
      <c r="B188" s="796" t="s">
        <v>2296</v>
      </c>
      <c r="C188" s="797"/>
      <c r="D188" s="797"/>
      <c r="E188" s="797"/>
      <c r="F188" s="797"/>
      <c r="G188" s="797"/>
      <c r="H188" s="797"/>
      <c r="I188" s="797"/>
      <c r="J188" s="852"/>
      <c r="K188" s="746">
        <f>+J190/$J$463</f>
        <v>8.9835194696545313E-4</v>
      </c>
      <c r="L188" s="501"/>
      <c r="M188" s="730"/>
      <c r="N188" s="631"/>
      <c r="O188" s="408"/>
    </row>
    <row r="189" spans="1:15" s="275" customFormat="1">
      <c r="A189" s="806" t="s">
        <v>2304</v>
      </c>
      <c r="B189" s="806" t="s">
        <v>605</v>
      </c>
      <c r="C189" s="835"/>
      <c r="D189" s="835" t="s">
        <v>2299</v>
      </c>
      <c r="E189" s="758" t="s">
        <v>2867</v>
      </c>
      <c r="F189" s="835" t="s">
        <v>1535</v>
      </c>
      <c r="G189" s="832">
        <v>209.96</v>
      </c>
      <c r="H189" s="832">
        <v>331.19</v>
      </c>
      <c r="I189" s="756">
        <f>ROUND(H189*(1+$K$471),2)</f>
        <v>413.76</v>
      </c>
      <c r="J189" s="756">
        <f t="shared" ref="J189" si="33">ROUND(I189*G189,2)</f>
        <v>86873.05</v>
      </c>
      <c r="K189" s="757"/>
      <c r="L189" s="501"/>
      <c r="M189" s="730"/>
      <c r="N189" s="631"/>
      <c r="O189" s="408"/>
    </row>
    <row r="190" spans="1:15" s="275" customFormat="1" ht="15.6" customHeight="1">
      <c r="A190" s="767" t="s">
        <v>2297</v>
      </c>
      <c r="B190" s="768"/>
      <c r="C190" s="769"/>
      <c r="D190" s="769"/>
      <c r="E190" s="769"/>
      <c r="F190" s="769"/>
      <c r="G190" s="832"/>
      <c r="H190" s="832"/>
      <c r="I190" s="832"/>
      <c r="J190" s="888">
        <f>SUBTOTAL(109,J189:J189)</f>
        <v>86873.05</v>
      </c>
      <c r="K190" s="757"/>
      <c r="L190" s="501"/>
      <c r="M190" s="730">
        <f>'[22]Planilha Orç'!$J$190</f>
        <v>86873.05</v>
      </c>
      <c r="N190" s="631">
        <f>+J190-M190</f>
        <v>0</v>
      </c>
      <c r="O190" s="408"/>
    </row>
    <row r="191" spans="1:15" s="275" customFormat="1" ht="16.2" customHeight="1" thickBot="1">
      <c r="A191" s="889" t="s">
        <v>801</v>
      </c>
      <c r="B191" s="890"/>
      <c r="C191" s="891"/>
      <c r="D191" s="891"/>
      <c r="E191" s="891"/>
      <c r="F191" s="891"/>
      <c r="G191" s="891"/>
      <c r="H191" s="892"/>
      <c r="I191" s="893"/>
      <c r="J191" s="894">
        <f>SUBTOTAL(109,J156:J190)</f>
        <v>11588230.48</v>
      </c>
      <c r="K191" s="757"/>
      <c r="L191" s="501"/>
      <c r="M191" s="730"/>
      <c r="N191" s="631"/>
      <c r="O191" s="408"/>
    </row>
    <row r="192" spans="1:15" s="275" customFormat="1" ht="16.2" thickBot="1">
      <c r="A192" s="895">
        <v>4</v>
      </c>
      <c r="B192" s="896" t="s">
        <v>802</v>
      </c>
      <c r="C192" s="843"/>
      <c r="D192" s="843"/>
      <c r="E192" s="843"/>
      <c r="F192" s="897"/>
      <c r="G192" s="898"/>
      <c r="H192" s="898"/>
      <c r="I192" s="898"/>
      <c r="J192" s="899"/>
      <c r="K192" s="746">
        <f>SUBTOTAL(109,K193:K246)</f>
        <v>7.0993577916200229E-2</v>
      </c>
      <c r="L192" s="501"/>
      <c r="M192" s="730"/>
      <c r="N192" s="631"/>
      <c r="O192" s="408"/>
    </row>
    <row r="193" spans="1:15" s="275" customFormat="1" ht="15.6" customHeight="1">
      <c r="A193" s="847" t="s">
        <v>803</v>
      </c>
      <c r="B193" s="900" t="s">
        <v>804</v>
      </c>
      <c r="C193" s="901"/>
      <c r="D193" s="901"/>
      <c r="E193" s="901"/>
      <c r="F193" s="901"/>
      <c r="G193" s="901"/>
      <c r="H193" s="901"/>
      <c r="I193" s="901"/>
      <c r="J193" s="902"/>
      <c r="K193" s="746">
        <f>+J199/$J$463</f>
        <v>2.5329521086132005E-2</v>
      </c>
      <c r="L193" s="501"/>
      <c r="M193" s="730"/>
      <c r="N193" s="631"/>
      <c r="O193" s="408"/>
    </row>
    <row r="194" spans="1:15" s="275" customFormat="1" ht="25.2">
      <c r="A194" s="751" t="s">
        <v>805</v>
      </c>
      <c r="B194" s="752" t="s">
        <v>628</v>
      </c>
      <c r="C194" s="753"/>
      <c r="D194" s="751">
        <v>89043</v>
      </c>
      <c r="E194" s="758" t="s">
        <v>2918</v>
      </c>
      <c r="F194" s="751" t="s">
        <v>654</v>
      </c>
      <c r="G194" s="832">
        <v>29880.86</v>
      </c>
      <c r="H194" s="832">
        <v>49.94</v>
      </c>
      <c r="I194" s="756">
        <f>ROUND(H194*(1+$K$471),2)</f>
        <v>62.39</v>
      </c>
      <c r="J194" s="756">
        <f t="shared" ref="J194:J198" si="34">ROUND(I194*G194,2)</f>
        <v>1864266.86</v>
      </c>
      <c r="K194" s="757"/>
      <c r="L194" s="501"/>
      <c r="M194" s="730"/>
      <c r="N194" s="631"/>
      <c r="O194" s="408"/>
    </row>
    <row r="195" spans="1:15" s="275" customFormat="1" ht="25.2">
      <c r="A195" s="751" t="s">
        <v>2665</v>
      </c>
      <c r="B195" s="752" t="s">
        <v>628</v>
      </c>
      <c r="C195" s="753"/>
      <c r="D195" s="751" t="s">
        <v>1973</v>
      </c>
      <c r="E195" s="758" t="s">
        <v>2894</v>
      </c>
      <c r="F195" s="751" t="s">
        <v>654</v>
      </c>
      <c r="G195" s="832">
        <v>4575.3999999999996</v>
      </c>
      <c r="H195" s="832">
        <v>57.55</v>
      </c>
      <c r="I195" s="756">
        <f>ROUND(H195*(1+$K$471),2)</f>
        <v>71.900000000000006</v>
      </c>
      <c r="J195" s="756">
        <f t="shared" si="34"/>
        <v>328971.26</v>
      </c>
      <c r="K195" s="757"/>
      <c r="L195" s="501"/>
      <c r="M195" s="730"/>
      <c r="N195" s="631"/>
      <c r="O195" s="408"/>
    </row>
    <row r="196" spans="1:15" s="275" customFormat="1" ht="25.2">
      <c r="A196" s="751" t="s">
        <v>806</v>
      </c>
      <c r="B196" s="752" t="s">
        <v>605</v>
      </c>
      <c r="C196" s="753"/>
      <c r="D196" s="751" t="s">
        <v>1969</v>
      </c>
      <c r="E196" s="758" t="s">
        <v>1489</v>
      </c>
      <c r="F196" s="751" t="s">
        <v>654</v>
      </c>
      <c r="G196" s="832">
        <v>334.91</v>
      </c>
      <c r="H196" s="832">
        <v>415.49</v>
      </c>
      <c r="I196" s="756">
        <f>ROUND(H196*(1+$K$471),2)</f>
        <v>519.07000000000005</v>
      </c>
      <c r="J196" s="756">
        <f t="shared" si="34"/>
        <v>173841.73</v>
      </c>
      <c r="K196" s="757"/>
      <c r="L196" s="501"/>
      <c r="M196" s="730"/>
      <c r="N196" s="631"/>
      <c r="O196" s="408"/>
    </row>
    <row r="197" spans="1:15" s="275" customFormat="1">
      <c r="A197" s="751" t="s">
        <v>807</v>
      </c>
      <c r="B197" s="752" t="s">
        <v>628</v>
      </c>
      <c r="C197" s="753"/>
      <c r="D197" s="751">
        <v>68051</v>
      </c>
      <c r="E197" s="758" t="s">
        <v>809</v>
      </c>
      <c r="F197" s="903" t="s">
        <v>810</v>
      </c>
      <c r="G197" s="832">
        <v>8386.25</v>
      </c>
      <c r="H197" s="832">
        <v>4.3499999999999996</v>
      </c>
      <c r="I197" s="756">
        <f>ROUND(H197*(1+$K$471),2)</f>
        <v>5.43</v>
      </c>
      <c r="J197" s="756">
        <f t="shared" si="34"/>
        <v>45537.34</v>
      </c>
      <c r="K197" s="757"/>
      <c r="L197" s="501"/>
      <c r="M197" s="730"/>
      <c r="N197" s="631"/>
      <c r="O197" s="408"/>
    </row>
    <row r="198" spans="1:15" s="275" customFormat="1">
      <c r="A198" s="751" t="s">
        <v>808</v>
      </c>
      <c r="B198" s="752" t="s">
        <v>628</v>
      </c>
      <c r="C198" s="753"/>
      <c r="D198" s="751">
        <v>93201</v>
      </c>
      <c r="E198" s="904" t="s">
        <v>1983</v>
      </c>
      <c r="F198" s="903" t="s">
        <v>810</v>
      </c>
      <c r="G198" s="832">
        <v>8386.25</v>
      </c>
      <c r="H198" s="832">
        <v>3.51</v>
      </c>
      <c r="I198" s="756">
        <f>ROUND(H198*(1+$K$471),2)</f>
        <v>4.3899999999999997</v>
      </c>
      <c r="J198" s="756">
        <f t="shared" si="34"/>
        <v>36815.64</v>
      </c>
      <c r="K198" s="757"/>
      <c r="L198" s="501"/>
      <c r="M198" s="730"/>
      <c r="N198" s="631"/>
      <c r="O198" s="408"/>
    </row>
    <row r="199" spans="1:15" s="275" customFormat="1" ht="15.6" customHeight="1">
      <c r="A199" s="767" t="s">
        <v>811</v>
      </c>
      <c r="B199" s="768"/>
      <c r="C199" s="769"/>
      <c r="D199" s="769"/>
      <c r="E199" s="769"/>
      <c r="F199" s="769"/>
      <c r="G199" s="832"/>
      <c r="H199" s="832"/>
      <c r="I199" s="832"/>
      <c r="J199" s="888">
        <f>SUBTOTAL(109,J194:J198)</f>
        <v>2449432.83</v>
      </c>
      <c r="K199" s="757"/>
      <c r="L199" s="501"/>
      <c r="M199" s="730">
        <f>'[22]Planilha Orç'!$J$199</f>
        <v>1741059.44</v>
      </c>
      <c r="N199" s="631">
        <f>+J199-M199</f>
        <v>708373.39000000013</v>
      </c>
      <c r="O199" s="408"/>
    </row>
    <row r="200" spans="1:15" s="275" customFormat="1" ht="15.6" customHeight="1">
      <c r="A200" s="792" t="s">
        <v>812</v>
      </c>
      <c r="B200" s="796" t="s">
        <v>813</v>
      </c>
      <c r="C200" s="797"/>
      <c r="D200" s="794"/>
      <c r="E200" s="794"/>
      <c r="F200" s="794"/>
      <c r="G200" s="794"/>
      <c r="H200" s="794"/>
      <c r="I200" s="794"/>
      <c r="J200" s="795"/>
      <c r="K200" s="746">
        <f>+J237/$J$463</f>
        <v>2.9724936034866378E-2</v>
      </c>
      <c r="L200" s="501"/>
      <c r="M200" s="730"/>
      <c r="N200" s="631"/>
      <c r="O200" s="408"/>
    </row>
    <row r="201" spans="1:15" s="275" customFormat="1">
      <c r="A201" s="751"/>
      <c r="B201" s="752"/>
      <c r="C201" s="753"/>
      <c r="D201" s="905"/>
      <c r="E201" s="906" t="s">
        <v>1408</v>
      </c>
      <c r="F201" s="755"/>
      <c r="G201" s="756"/>
      <c r="H201" s="756"/>
      <c r="I201" s="756"/>
      <c r="J201" s="756"/>
      <c r="K201" s="757"/>
      <c r="L201" s="501"/>
      <c r="M201" s="730"/>
      <c r="N201" s="631"/>
      <c r="O201" s="408"/>
    </row>
    <row r="202" spans="1:15" s="275" customFormat="1" ht="37.799999999999997">
      <c r="A202" s="751" t="s">
        <v>814</v>
      </c>
      <c r="B202" s="752" t="s">
        <v>628</v>
      </c>
      <c r="C202" s="753"/>
      <c r="D202" s="751">
        <v>90841</v>
      </c>
      <c r="E202" s="758" t="s">
        <v>2935</v>
      </c>
      <c r="F202" s="753" t="s">
        <v>1403</v>
      </c>
      <c r="G202" s="832">
        <v>2</v>
      </c>
      <c r="H202" s="832">
        <v>461.14</v>
      </c>
      <c r="I202" s="756">
        <f t="shared" ref="I202:I210" si="35">ROUND(H202*(1+$K$471),2)</f>
        <v>576.1</v>
      </c>
      <c r="J202" s="756">
        <f t="shared" ref="J202:J210" si="36">ROUND(I202*G202,2)</f>
        <v>1152.2</v>
      </c>
      <c r="K202" s="757"/>
      <c r="L202" s="501"/>
      <c r="M202" s="730"/>
      <c r="N202" s="631"/>
      <c r="O202" s="408"/>
    </row>
    <row r="203" spans="1:15" s="275" customFormat="1" ht="37.799999999999997">
      <c r="A203" s="751" t="s">
        <v>815</v>
      </c>
      <c r="B203" s="752" t="s">
        <v>628</v>
      </c>
      <c r="C203" s="753"/>
      <c r="D203" s="751">
        <v>90842</v>
      </c>
      <c r="E203" s="758" t="s">
        <v>2936</v>
      </c>
      <c r="F203" s="753" t="s">
        <v>1403</v>
      </c>
      <c r="G203" s="832">
        <v>2</v>
      </c>
      <c r="H203" s="832">
        <v>483.14</v>
      </c>
      <c r="I203" s="756">
        <f t="shared" si="35"/>
        <v>603.59</v>
      </c>
      <c r="J203" s="756">
        <f t="shared" si="36"/>
        <v>1207.18</v>
      </c>
      <c r="K203" s="757"/>
      <c r="L203" s="501"/>
      <c r="M203" s="730"/>
      <c r="N203" s="631"/>
      <c r="O203" s="408"/>
    </row>
    <row r="204" spans="1:15" s="275" customFormat="1" ht="37.799999999999997">
      <c r="A204" s="751" t="s">
        <v>816</v>
      </c>
      <c r="B204" s="752" t="s">
        <v>628</v>
      </c>
      <c r="C204" s="753"/>
      <c r="D204" s="751">
        <v>90843</v>
      </c>
      <c r="E204" s="758" t="s">
        <v>2937</v>
      </c>
      <c r="F204" s="753" t="s">
        <v>1403</v>
      </c>
      <c r="G204" s="832">
        <v>14</v>
      </c>
      <c r="H204" s="832">
        <v>510.89</v>
      </c>
      <c r="I204" s="756">
        <f t="shared" si="35"/>
        <v>638.25</v>
      </c>
      <c r="J204" s="756">
        <f t="shared" si="36"/>
        <v>8935.5</v>
      </c>
      <c r="K204" s="757"/>
      <c r="L204" s="501"/>
      <c r="M204" s="730"/>
      <c r="N204" s="631"/>
      <c r="O204" s="408"/>
    </row>
    <row r="205" spans="1:15" s="275" customFormat="1" ht="37.799999999999997">
      <c r="A205" s="751" t="s">
        <v>817</v>
      </c>
      <c r="B205" s="752" t="s">
        <v>628</v>
      </c>
      <c r="C205" s="753"/>
      <c r="D205" s="751">
        <v>90844</v>
      </c>
      <c r="E205" s="758" t="s">
        <v>2938</v>
      </c>
      <c r="F205" s="753" t="s">
        <v>1403</v>
      </c>
      <c r="G205" s="832">
        <v>361</v>
      </c>
      <c r="H205" s="832">
        <v>537.20000000000005</v>
      </c>
      <c r="I205" s="756">
        <f t="shared" si="35"/>
        <v>671.12</v>
      </c>
      <c r="J205" s="756">
        <f t="shared" si="36"/>
        <v>242274.32</v>
      </c>
      <c r="K205" s="757"/>
      <c r="L205" s="501"/>
      <c r="M205" s="730"/>
      <c r="N205" s="631"/>
      <c r="O205" s="408"/>
    </row>
    <row r="206" spans="1:15" s="275" customFormat="1" ht="28.5" customHeight="1">
      <c r="A206" s="751" t="s">
        <v>818</v>
      </c>
      <c r="B206" s="752" t="s">
        <v>628</v>
      </c>
      <c r="C206" s="753"/>
      <c r="D206" s="751" t="s">
        <v>1404</v>
      </c>
      <c r="E206" s="758" t="s">
        <v>2939</v>
      </c>
      <c r="F206" s="753" t="s">
        <v>1403</v>
      </c>
      <c r="G206" s="832">
        <v>59</v>
      </c>
      <c r="H206" s="832">
        <v>602.22</v>
      </c>
      <c r="I206" s="756">
        <f t="shared" si="35"/>
        <v>752.35</v>
      </c>
      <c r="J206" s="756">
        <f t="shared" si="36"/>
        <v>44388.65</v>
      </c>
      <c r="K206" s="757"/>
      <c r="L206" s="501"/>
      <c r="M206" s="730"/>
      <c r="N206" s="631"/>
      <c r="O206" s="408"/>
    </row>
    <row r="207" spans="1:15" s="275" customFormat="1" ht="25.2">
      <c r="A207" s="751" t="s">
        <v>819</v>
      </c>
      <c r="B207" s="752" t="s">
        <v>605</v>
      </c>
      <c r="C207" s="753"/>
      <c r="D207" s="751" t="s">
        <v>1970</v>
      </c>
      <c r="E207" s="758" t="s">
        <v>2864</v>
      </c>
      <c r="F207" s="753" t="s">
        <v>1403</v>
      </c>
      <c r="G207" s="832">
        <v>46</v>
      </c>
      <c r="H207" s="832">
        <v>624.44000000000005</v>
      </c>
      <c r="I207" s="756">
        <f t="shared" si="35"/>
        <v>780.11</v>
      </c>
      <c r="J207" s="756">
        <f t="shared" si="36"/>
        <v>35885.06</v>
      </c>
      <c r="K207" s="757"/>
      <c r="L207" s="501"/>
      <c r="M207" s="730"/>
      <c r="N207" s="631"/>
      <c r="O207" s="408"/>
    </row>
    <row r="208" spans="1:15" ht="25.2">
      <c r="A208" s="751" t="s">
        <v>2385</v>
      </c>
      <c r="B208" s="752" t="s">
        <v>605</v>
      </c>
      <c r="C208" s="907"/>
      <c r="D208" s="908" t="s">
        <v>2003</v>
      </c>
      <c r="E208" s="758" t="s">
        <v>2017</v>
      </c>
      <c r="F208" s="753" t="s">
        <v>1535</v>
      </c>
      <c r="G208" s="832">
        <v>32.549999999999997</v>
      </c>
      <c r="H208" s="832">
        <v>210.19999999999996</v>
      </c>
      <c r="I208" s="756">
        <f t="shared" si="35"/>
        <v>262.60000000000002</v>
      </c>
      <c r="J208" s="756">
        <f t="shared" si="36"/>
        <v>8547.6299999999992</v>
      </c>
      <c r="K208" s="757"/>
      <c r="N208" s="631"/>
      <c r="O208" s="408"/>
    </row>
    <row r="209" spans="1:15" ht="25.2">
      <c r="A209" s="751" t="s">
        <v>820</v>
      </c>
      <c r="B209" s="752" t="s">
        <v>628</v>
      </c>
      <c r="C209" s="907"/>
      <c r="D209" s="908" t="s">
        <v>1588</v>
      </c>
      <c r="E209" s="758" t="s">
        <v>2940</v>
      </c>
      <c r="F209" s="753" t="s">
        <v>1536</v>
      </c>
      <c r="G209" s="832">
        <v>84</v>
      </c>
      <c r="H209" s="832">
        <v>229.81</v>
      </c>
      <c r="I209" s="756">
        <f t="shared" si="35"/>
        <v>287.10000000000002</v>
      </c>
      <c r="J209" s="756">
        <f t="shared" si="36"/>
        <v>24116.400000000001</v>
      </c>
      <c r="K209" s="757"/>
      <c r="N209" s="631"/>
      <c r="O209" s="408"/>
    </row>
    <row r="210" spans="1:15">
      <c r="A210" s="751" t="s">
        <v>821</v>
      </c>
      <c r="B210" s="752" t="s">
        <v>1060</v>
      </c>
      <c r="C210" s="907" t="s">
        <v>1401</v>
      </c>
      <c r="D210" s="908">
        <v>3423</v>
      </c>
      <c r="E210" s="758" t="s">
        <v>2865</v>
      </c>
      <c r="F210" s="753" t="s">
        <v>212</v>
      </c>
      <c r="G210" s="832">
        <v>2.52</v>
      </c>
      <c r="H210" s="832">
        <v>2005.1</v>
      </c>
      <c r="I210" s="756">
        <f t="shared" si="35"/>
        <v>2504.9699999999998</v>
      </c>
      <c r="J210" s="756">
        <f t="shared" si="36"/>
        <v>6312.52</v>
      </c>
      <c r="K210" s="757"/>
      <c r="N210" s="631"/>
      <c r="O210" s="408"/>
    </row>
    <row r="211" spans="1:15">
      <c r="A211" s="751"/>
      <c r="B211" s="752"/>
      <c r="C211" s="753"/>
      <c r="D211" s="905"/>
      <c r="E211" s="906" t="s">
        <v>1409</v>
      </c>
      <c r="F211" s="755"/>
      <c r="G211" s="832"/>
      <c r="H211" s="832"/>
      <c r="I211" s="832"/>
      <c r="J211" s="832"/>
      <c r="K211" s="757"/>
      <c r="N211" s="631"/>
      <c r="O211" s="408"/>
    </row>
    <row r="212" spans="1:15" ht="31.5" customHeight="1">
      <c r="A212" s="751" t="s">
        <v>822</v>
      </c>
      <c r="B212" s="752" t="s">
        <v>605</v>
      </c>
      <c r="C212" s="907"/>
      <c r="D212" s="908" t="s">
        <v>2391</v>
      </c>
      <c r="E212" s="758" t="s">
        <v>2394</v>
      </c>
      <c r="F212" s="753" t="s">
        <v>212</v>
      </c>
      <c r="G212" s="832">
        <v>1.68</v>
      </c>
      <c r="H212" s="832">
        <v>726.49</v>
      </c>
      <c r="I212" s="756">
        <f>ROUND(H212*(1+$K$471),2)</f>
        <v>907.6</v>
      </c>
      <c r="J212" s="756">
        <f t="shared" ref="J212:J215" si="37">ROUND(I212*G212,2)</f>
        <v>1524.77</v>
      </c>
      <c r="K212" s="757"/>
      <c r="N212" s="631"/>
      <c r="O212" s="408"/>
    </row>
    <row r="213" spans="1:15" ht="25.2">
      <c r="A213" s="751" t="s">
        <v>823</v>
      </c>
      <c r="B213" s="752" t="s">
        <v>628</v>
      </c>
      <c r="C213" s="907"/>
      <c r="D213" s="908">
        <v>91341</v>
      </c>
      <c r="E213" s="758" t="s">
        <v>1407</v>
      </c>
      <c r="F213" s="753" t="s">
        <v>212</v>
      </c>
      <c r="G213" s="832">
        <v>1.89</v>
      </c>
      <c r="H213" s="832">
        <v>585.01</v>
      </c>
      <c r="I213" s="756">
        <f>ROUND(H213*(1+$K$471),2)</f>
        <v>730.85</v>
      </c>
      <c r="J213" s="756">
        <f t="shared" si="37"/>
        <v>1381.31</v>
      </c>
      <c r="K213" s="757"/>
      <c r="N213" s="631"/>
      <c r="O213" s="408"/>
    </row>
    <row r="214" spans="1:15" ht="25.2">
      <c r="A214" s="751" t="s">
        <v>825</v>
      </c>
      <c r="B214" s="752" t="s">
        <v>605</v>
      </c>
      <c r="C214" s="907"/>
      <c r="D214" s="908" t="s">
        <v>2401</v>
      </c>
      <c r="E214" s="758" t="s">
        <v>2399</v>
      </c>
      <c r="F214" s="753" t="s">
        <v>1535</v>
      </c>
      <c r="G214" s="832">
        <v>51.11</v>
      </c>
      <c r="H214" s="832">
        <v>748.22</v>
      </c>
      <c r="I214" s="756">
        <f>ROUND(H214*(1+$K$471),2)</f>
        <v>934.75</v>
      </c>
      <c r="J214" s="756">
        <f t="shared" si="37"/>
        <v>47775.07</v>
      </c>
      <c r="K214" s="757"/>
      <c r="N214" s="631"/>
      <c r="O214" s="408"/>
    </row>
    <row r="215" spans="1:15" s="275" customFormat="1">
      <c r="A215" s="751" t="s">
        <v>826</v>
      </c>
      <c r="B215" s="752" t="s">
        <v>628</v>
      </c>
      <c r="C215" s="907"/>
      <c r="D215" s="908" t="s">
        <v>1405</v>
      </c>
      <c r="E215" s="758" t="s">
        <v>1406</v>
      </c>
      <c r="F215" s="753" t="s">
        <v>1403</v>
      </c>
      <c r="G215" s="832">
        <v>80</v>
      </c>
      <c r="H215" s="832">
        <v>58.68</v>
      </c>
      <c r="I215" s="756">
        <f>ROUND(H215*(1+$K$471),2)</f>
        <v>73.31</v>
      </c>
      <c r="J215" s="756">
        <f t="shared" si="37"/>
        <v>5864.8</v>
      </c>
      <c r="K215" s="757"/>
      <c r="L215" s="501"/>
      <c r="M215" s="730"/>
      <c r="N215" s="631"/>
      <c r="O215" s="408"/>
    </row>
    <row r="216" spans="1:15">
      <c r="A216" s="751"/>
      <c r="B216" s="752"/>
      <c r="C216" s="753"/>
      <c r="D216" s="905"/>
      <c r="E216" s="906" t="s">
        <v>1410</v>
      </c>
      <c r="F216" s="755"/>
      <c r="G216" s="832"/>
      <c r="H216" s="832"/>
      <c r="I216" s="832"/>
      <c r="J216" s="832"/>
      <c r="K216" s="757"/>
      <c r="N216" s="631"/>
      <c r="O216" s="408"/>
    </row>
    <row r="217" spans="1:15">
      <c r="A217" s="751" t="s">
        <v>827</v>
      </c>
      <c r="B217" s="752" t="s">
        <v>605</v>
      </c>
      <c r="C217" s="907"/>
      <c r="D217" s="908" t="s">
        <v>2031</v>
      </c>
      <c r="E217" s="758" t="s">
        <v>2032</v>
      </c>
      <c r="F217" s="753" t="s">
        <v>1535</v>
      </c>
      <c r="G217" s="832">
        <v>15.6</v>
      </c>
      <c r="H217" s="832">
        <v>954.2</v>
      </c>
      <c r="I217" s="756">
        <f>ROUND(H217*(1+$K$471),2)</f>
        <v>1192.08</v>
      </c>
      <c r="J217" s="756">
        <f t="shared" ref="J217:J219" si="38">ROUND(I217*G217,2)</f>
        <v>18596.45</v>
      </c>
      <c r="K217" s="757"/>
      <c r="N217" s="631"/>
      <c r="O217" s="408"/>
    </row>
    <row r="218" spans="1:15" ht="25.2">
      <c r="A218" s="751" t="s">
        <v>828</v>
      </c>
      <c r="B218" s="752" t="s">
        <v>605</v>
      </c>
      <c r="C218" s="907"/>
      <c r="D218" s="908" t="s">
        <v>2403</v>
      </c>
      <c r="E218" s="758" t="s">
        <v>2404</v>
      </c>
      <c r="F218" s="753" t="s">
        <v>1536</v>
      </c>
      <c r="G218" s="832">
        <v>2</v>
      </c>
      <c r="H218" s="832">
        <v>4868.7300000000005</v>
      </c>
      <c r="I218" s="756">
        <f>ROUND(H218*(1+$K$471),2)</f>
        <v>6082.5</v>
      </c>
      <c r="J218" s="756">
        <f t="shared" si="38"/>
        <v>12165</v>
      </c>
      <c r="K218" s="757"/>
      <c r="N218" s="631"/>
      <c r="O218" s="408"/>
    </row>
    <row r="219" spans="1:15" ht="25.2">
      <c r="A219" s="751" t="s">
        <v>2409</v>
      </c>
      <c r="B219" s="752" t="s">
        <v>605</v>
      </c>
      <c r="C219" s="907"/>
      <c r="D219" s="908" t="s">
        <v>2405</v>
      </c>
      <c r="E219" s="758" t="s">
        <v>2406</v>
      </c>
      <c r="F219" s="753" t="s">
        <v>1536</v>
      </c>
      <c r="G219" s="832">
        <v>1</v>
      </c>
      <c r="H219" s="832">
        <v>2210.9899999999998</v>
      </c>
      <c r="I219" s="756">
        <f>ROUND(H219*(1+$K$471),2)</f>
        <v>2762.19</v>
      </c>
      <c r="J219" s="756">
        <f t="shared" si="38"/>
        <v>2762.19</v>
      </c>
      <c r="K219" s="757"/>
      <c r="N219" s="631"/>
      <c r="O219" s="408"/>
    </row>
    <row r="220" spans="1:15">
      <c r="A220" s="751"/>
      <c r="B220" s="752"/>
      <c r="C220" s="753"/>
      <c r="D220" s="905"/>
      <c r="E220" s="906" t="s">
        <v>1411</v>
      </c>
      <c r="F220" s="755"/>
      <c r="G220" s="832"/>
      <c r="H220" s="832"/>
      <c r="I220" s="832"/>
      <c r="J220" s="832"/>
      <c r="K220" s="757"/>
      <c r="N220" s="631"/>
      <c r="O220" s="408"/>
    </row>
    <row r="221" spans="1:15" ht="25.2">
      <c r="A221" s="751" t="s">
        <v>829</v>
      </c>
      <c r="B221" s="752" t="s">
        <v>628</v>
      </c>
      <c r="C221" s="907"/>
      <c r="D221" s="908" t="s">
        <v>2408</v>
      </c>
      <c r="E221" s="758" t="s">
        <v>2407</v>
      </c>
      <c r="F221" s="753" t="s">
        <v>212</v>
      </c>
      <c r="G221" s="832">
        <v>114</v>
      </c>
      <c r="H221" s="832">
        <v>729.72</v>
      </c>
      <c r="I221" s="756">
        <f>ROUND(H221*(1+$K$471),2)</f>
        <v>911.64</v>
      </c>
      <c r="J221" s="756">
        <f t="shared" ref="J221:J224" si="39">ROUND(I221*G221,2)</f>
        <v>103926.96</v>
      </c>
      <c r="K221" s="757"/>
      <c r="N221" s="631"/>
      <c r="O221" s="408"/>
    </row>
    <row r="222" spans="1:15">
      <c r="A222" s="751" t="s">
        <v>830</v>
      </c>
      <c r="B222" s="752" t="s">
        <v>628</v>
      </c>
      <c r="C222" s="907"/>
      <c r="D222" s="908">
        <v>90838</v>
      </c>
      <c r="E222" s="758" t="s">
        <v>1412</v>
      </c>
      <c r="F222" s="753" t="s">
        <v>1403</v>
      </c>
      <c r="G222" s="832">
        <v>50</v>
      </c>
      <c r="H222" s="832">
        <v>1181.06</v>
      </c>
      <c r="I222" s="756">
        <f>ROUND(H222*(1+$K$471),2)</f>
        <v>1475.5</v>
      </c>
      <c r="J222" s="756">
        <f t="shared" si="39"/>
        <v>73775</v>
      </c>
      <c r="K222" s="757"/>
      <c r="N222" s="631"/>
      <c r="O222" s="408"/>
    </row>
    <row r="223" spans="1:15">
      <c r="A223" s="751" t="s">
        <v>831</v>
      </c>
      <c r="B223" s="752" t="s">
        <v>605</v>
      </c>
      <c r="C223" s="907"/>
      <c r="D223" s="908" t="s">
        <v>2035</v>
      </c>
      <c r="E223" s="758" t="s">
        <v>1587</v>
      </c>
      <c r="F223" s="753" t="s">
        <v>1403</v>
      </c>
      <c r="G223" s="832">
        <v>18</v>
      </c>
      <c r="H223" s="832">
        <v>2230</v>
      </c>
      <c r="I223" s="756">
        <f>ROUND(H223*(1+$K$471),2)</f>
        <v>2785.94</v>
      </c>
      <c r="J223" s="756">
        <f t="shared" si="39"/>
        <v>50146.92</v>
      </c>
      <c r="K223" s="757"/>
      <c r="N223" s="631"/>
      <c r="O223" s="408"/>
    </row>
    <row r="224" spans="1:15" ht="25.2">
      <c r="A224" s="751" t="s">
        <v>1591</v>
      </c>
      <c r="B224" s="752" t="s">
        <v>605</v>
      </c>
      <c r="C224" s="907"/>
      <c r="D224" s="908" t="s">
        <v>2396</v>
      </c>
      <c r="E224" s="758" t="s">
        <v>2866</v>
      </c>
      <c r="F224" s="753" t="s">
        <v>1536</v>
      </c>
      <c r="G224" s="832">
        <v>4</v>
      </c>
      <c r="H224" s="832">
        <v>10120.14</v>
      </c>
      <c r="I224" s="756">
        <f>ROUND(H224*(1+$K$471),2)</f>
        <v>12643.09</v>
      </c>
      <c r="J224" s="756">
        <f t="shared" si="39"/>
        <v>50572.36</v>
      </c>
      <c r="K224" s="757"/>
      <c r="N224" s="631"/>
      <c r="O224" s="408"/>
    </row>
    <row r="225" spans="1:15">
      <c r="A225" s="751"/>
      <c r="B225" s="752"/>
      <c r="C225" s="753"/>
      <c r="D225" s="905"/>
      <c r="E225" s="906" t="s">
        <v>223</v>
      </c>
      <c r="F225" s="755"/>
      <c r="G225" s="832"/>
      <c r="H225" s="832"/>
      <c r="I225" s="832"/>
      <c r="J225" s="832"/>
      <c r="K225" s="757"/>
      <c r="N225" s="631"/>
      <c r="O225" s="408"/>
    </row>
    <row r="226" spans="1:15" ht="25.2">
      <c r="A226" s="751" t="s">
        <v>1602</v>
      </c>
      <c r="B226" s="752" t="s">
        <v>605</v>
      </c>
      <c r="C226" s="907"/>
      <c r="D226" s="908" t="s">
        <v>2049</v>
      </c>
      <c r="E226" s="758" t="s">
        <v>2410</v>
      </c>
      <c r="F226" s="753" t="s">
        <v>212</v>
      </c>
      <c r="G226" s="832">
        <v>1748.03</v>
      </c>
      <c r="H226" s="832">
        <v>771.96</v>
      </c>
      <c r="I226" s="756">
        <f>ROUND(H226*(1+$K$471),2)</f>
        <v>964.41</v>
      </c>
      <c r="J226" s="756">
        <f t="shared" ref="J226:J229" si="40">ROUND(I226*G226,2)</f>
        <v>1685817.61</v>
      </c>
      <c r="K226" s="757"/>
      <c r="N226" s="631"/>
      <c r="O226" s="408"/>
    </row>
    <row r="227" spans="1:15" ht="25.2">
      <c r="A227" s="751" t="s">
        <v>1603</v>
      </c>
      <c r="B227" s="752" t="s">
        <v>605</v>
      </c>
      <c r="C227" s="907"/>
      <c r="D227" s="908" t="s">
        <v>2380</v>
      </c>
      <c r="E227" s="758" t="s">
        <v>2382</v>
      </c>
      <c r="F227" s="753" t="s">
        <v>1535</v>
      </c>
      <c r="G227" s="832">
        <v>28.8</v>
      </c>
      <c r="H227" s="832">
        <v>475.14</v>
      </c>
      <c r="I227" s="756">
        <f>ROUND(H227*(1+$K$471),2)</f>
        <v>593.59</v>
      </c>
      <c r="J227" s="756">
        <f t="shared" si="40"/>
        <v>17095.39</v>
      </c>
      <c r="K227" s="757"/>
      <c r="N227" s="631"/>
      <c r="O227" s="408"/>
    </row>
    <row r="228" spans="1:15" s="274" customFormat="1">
      <c r="A228" s="751" t="s">
        <v>2418</v>
      </c>
      <c r="B228" s="752" t="s">
        <v>628</v>
      </c>
      <c r="C228" s="907"/>
      <c r="D228" s="908">
        <v>85096</v>
      </c>
      <c r="E228" s="758" t="s">
        <v>2386</v>
      </c>
      <c r="F228" s="753" t="s">
        <v>1535</v>
      </c>
      <c r="G228" s="832">
        <v>470.21</v>
      </c>
      <c r="H228" s="832">
        <v>294.26</v>
      </c>
      <c r="I228" s="756">
        <f>ROUND(H228*(1+$K$471),2)</f>
        <v>367.62</v>
      </c>
      <c r="J228" s="756">
        <f t="shared" si="40"/>
        <v>172858.6</v>
      </c>
      <c r="K228" s="757"/>
      <c r="L228" s="501"/>
      <c r="M228" s="730"/>
      <c r="N228" s="631"/>
      <c r="O228" s="408"/>
    </row>
    <row r="229" spans="1:15" s="274" customFormat="1" ht="25.2">
      <c r="A229" s="751" t="s">
        <v>2419</v>
      </c>
      <c r="B229" s="752" t="s">
        <v>605</v>
      </c>
      <c r="C229" s="907"/>
      <c r="D229" s="908" t="s">
        <v>2416</v>
      </c>
      <c r="E229" s="758" t="s">
        <v>2417</v>
      </c>
      <c r="F229" s="753" t="s">
        <v>1535</v>
      </c>
      <c r="G229" s="832">
        <v>49.81</v>
      </c>
      <c r="H229" s="832">
        <v>560.63</v>
      </c>
      <c r="I229" s="756">
        <f>ROUND(H229*(1+$K$471),2)</f>
        <v>700.4</v>
      </c>
      <c r="J229" s="756">
        <f t="shared" si="40"/>
        <v>34886.92</v>
      </c>
      <c r="K229" s="757"/>
      <c r="L229" s="501"/>
      <c r="M229" s="730"/>
      <c r="N229" s="631"/>
      <c r="O229" s="408"/>
    </row>
    <row r="230" spans="1:15">
      <c r="A230" s="751"/>
      <c r="B230" s="752"/>
      <c r="C230" s="753"/>
      <c r="D230" s="905"/>
      <c r="E230" s="906" t="s">
        <v>1431</v>
      </c>
      <c r="F230" s="755"/>
      <c r="G230" s="832"/>
      <c r="H230" s="832"/>
      <c r="I230" s="832"/>
      <c r="J230" s="832"/>
      <c r="K230" s="757"/>
      <c r="N230" s="631"/>
      <c r="O230" s="408"/>
    </row>
    <row r="231" spans="1:15" ht="25.2">
      <c r="A231" s="751" t="s">
        <v>2420</v>
      </c>
      <c r="B231" s="752" t="s">
        <v>628</v>
      </c>
      <c r="C231" s="907"/>
      <c r="D231" s="908">
        <v>90830</v>
      </c>
      <c r="E231" s="758" t="s">
        <v>1432</v>
      </c>
      <c r="F231" s="753" t="s">
        <v>1403</v>
      </c>
      <c r="G231" s="832">
        <v>59</v>
      </c>
      <c r="H231" s="832">
        <v>74.03</v>
      </c>
      <c r="I231" s="756">
        <f t="shared" ref="I231:I236" si="41">ROUND(H231*(1+$K$471),2)</f>
        <v>92.49</v>
      </c>
      <c r="J231" s="756">
        <f t="shared" ref="J231:J236" si="42">ROUND(I231*G231,2)</f>
        <v>5456.91</v>
      </c>
      <c r="K231" s="757"/>
      <c r="N231" s="631"/>
      <c r="O231" s="408"/>
    </row>
    <row r="232" spans="1:15">
      <c r="A232" s="751" t="s">
        <v>2421</v>
      </c>
      <c r="B232" s="752" t="s">
        <v>628</v>
      </c>
      <c r="C232" s="907"/>
      <c r="D232" s="908">
        <v>84880</v>
      </c>
      <c r="E232" s="758" t="s">
        <v>2018</v>
      </c>
      <c r="F232" s="753" t="s">
        <v>1536</v>
      </c>
      <c r="G232" s="832">
        <v>16</v>
      </c>
      <c r="H232" s="832">
        <v>58.75</v>
      </c>
      <c r="I232" s="756">
        <f t="shared" si="41"/>
        <v>73.400000000000006</v>
      </c>
      <c r="J232" s="756">
        <f t="shared" si="42"/>
        <v>1174.4000000000001</v>
      </c>
      <c r="K232" s="757"/>
      <c r="N232" s="631"/>
      <c r="O232" s="408"/>
    </row>
    <row r="233" spans="1:15">
      <c r="A233" s="751" t="s">
        <v>2666</v>
      </c>
      <c r="B233" s="752" t="s">
        <v>628</v>
      </c>
      <c r="C233" s="907"/>
      <c r="D233" s="908" t="s">
        <v>1590</v>
      </c>
      <c r="E233" s="758" t="s">
        <v>1589</v>
      </c>
      <c r="F233" s="753" t="s">
        <v>1536</v>
      </c>
      <c r="G233" s="832">
        <v>84</v>
      </c>
      <c r="H233" s="832">
        <v>24.58</v>
      </c>
      <c r="I233" s="756">
        <f t="shared" si="41"/>
        <v>30.71</v>
      </c>
      <c r="J233" s="756">
        <f t="shared" si="42"/>
        <v>2579.64</v>
      </c>
      <c r="K233" s="757"/>
      <c r="N233" s="631"/>
      <c r="O233" s="408"/>
    </row>
    <row r="234" spans="1:15">
      <c r="A234" s="751" t="s">
        <v>2667</v>
      </c>
      <c r="B234" s="752" t="s">
        <v>628</v>
      </c>
      <c r="C234" s="907"/>
      <c r="D234" s="908">
        <v>72200</v>
      </c>
      <c r="E234" s="758" t="s">
        <v>1433</v>
      </c>
      <c r="F234" s="753" t="s">
        <v>212</v>
      </c>
      <c r="G234" s="832">
        <v>2251.17</v>
      </c>
      <c r="H234" s="832">
        <v>69.680000000000007</v>
      </c>
      <c r="I234" s="756">
        <f t="shared" si="41"/>
        <v>87.05</v>
      </c>
      <c r="J234" s="756">
        <f t="shared" si="42"/>
        <v>195964.35</v>
      </c>
      <c r="K234" s="757"/>
      <c r="N234" s="631"/>
      <c r="O234" s="408"/>
    </row>
    <row r="235" spans="1:15">
      <c r="A235" s="751" t="s">
        <v>2668</v>
      </c>
      <c r="B235" s="752" t="s">
        <v>605</v>
      </c>
      <c r="C235" s="908"/>
      <c r="D235" s="908" t="s">
        <v>2082</v>
      </c>
      <c r="E235" s="758" t="s">
        <v>1601</v>
      </c>
      <c r="F235" s="753" t="s">
        <v>630</v>
      </c>
      <c r="G235" s="832">
        <v>59</v>
      </c>
      <c r="H235" s="832">
        <v>100.34</v>
      </c>
      <c r="I235" s="756">
        <f t="shared" si="41"/>
        <v>125.35</v>
      </c>
      <c r="J235" s="756">
        <f t="shared" si="42"/>
        <v>7395.65</v>
      </c>
      <c r="K235" s="757"/>
      <c r="N235" s="631"/>
      <c r="O235" s="408"/>
    </row>
    <row r="236" spans="1:15">
      <c r="A236" s="751" t="s">
        <v>2669</v>
      </c>
      <c r="B236" s="752" t="s">
        <v>2422</v>
      </c>
      <c r="C236" s="908"/>
      <c r="D236" s="908" t="s">
        <v>1791</v>
      </c>
      <c r="E236" s="758" t="s">
        <v>2050</v>
      </c>
      <c r="F236" s="753" t="s">
        <v>630</v>
      </c>
      <c r="G236" s="832">
        <v>92</v>
      </c>
      <c r="H236" s="832">
        <v>86.5</v>
      </c>
      <c r="I236" s="756">
        <f t="shared" si="41"/>
        <v>108.06</v>
      </c>
      <c r="J236" s="756">
        <f t="shared" si="42"/>
        <v>9941.52</v>
      </c>
      <c r="K236" s="757"/>
      <c r="N236" s="631"/>
      <c r="O236" s="408"/>
    </row>
    <row r="237" spans="1:15" s="275" customFormat="1" ht="15.6" customHeight="1">
      <c r="A237" s="767" t="s">
        <v>832</v>
      </c>
      <c r="B237" s="768"/>
      <c r="C237" s="769"/>
      <c r="D237" s="769"/>
      <c r="E237" s="769"/>
      <c r="F237" s="769"/>
      <c r="G237" s="832"/>
      <c r="H237" s="832"/>
      <c r="I237" s="832"/>
      <c r="J237" s="888">
        <f>SUBTOTAL(109,J202:J236)</f>
        <v>2874481.2800000007</v>
      </c>
      <c r="K237" s="757"/>
      <c r="L237" s="501"/>
      <c r="M237" s="730">
        <f>'[22]Planilha Orç'!$J$237</f>
        <v>2619113.64</v>
      </c>
      <c r="N237" s="631">
        <f>+J237-M237</f>
        <v>255367.6400000006</v>
      </c>
      <c r="O237" s="408"/>
    </row>
    <row r="238" spans="1:15" ht="17.25" customHeight="1">
      <c r="A238" s="792" t="s">
        <v>833</v>
      </c>
      <c r="B238" s="793" t="s">
        <v>834</v>
      </c>
      <c r="C238" s="794"/>
      <c r="D238" s="794"/>
      <c r="E238" s="794"/>
      <c r="F238" s="794"/>
      <c r="G238" s="794"/>
      <c r="H238" s="794"/>
      <c r="I238" s="794"/>
      <c r="J238" s="795"/>
      <c r="K238" s="746">
        <f>+J243/$J$463</f>
        <v>1.1505959326766685E-2</v>
      </c>
      <c r="N238" s="631"/>
      <c r="O238" s="408"/>
    </row>
    <row r="239" spans="1:15">
      <c r="A239" s="751" t="s">
        <v>1710</v>
      </c>
      <c r="B239" s="909" t="s">
        <v>628</v>
      </c>
      <c r="C239" s="910"/>
      <c r="D239" s="751">
        <v>72120</v>
      </c>
      <c r="E239" s="758" t="s">
        <v>836</v>
      </c>
      <c r="F239" s="751" t="s">
        <v>654</v>
      </c>
      <c r="G239" s="832">
        <v>29.07</v>
      </c>
      <c r="H239" s="832">
        <v>345.36</v>
      </c>
      <c r="I239" s="756">
        <f>ROUND(H239*(1+$K$471),2)</f>
        <v>431.46</v>
      </c>
      <c r="J239" s="756">
        <f t="shared" ref="J239:J242" si="43">ROUND(I239*G239,2)</f>
        <v>12542.54</v>
      </c>
      <c r="K239" s="757"/>
      <c r="N239" s="631"/>
      <c r="O239" s="408"/>
    </row>
    <row r="240" spans="1:15">
      <c r="A240" s="911" t="s">
        <v>835</v>
      </c>
      <c r="B240" s="912" t="s">
        <v>605</v>
      </c>
      <c r="C240" s="913"/>
      <c r="D240" s="914" t="s">
        <v>2051</v>
      </c>
      <c r="E240" s="915" t="s">
        <v>1434</v>
      </c>
      <c r="F240" s="911" t="s">
        <v>654</v>
      </c>
      <c r="G240" s="832">
        <v>0.6</v>
      </c>
      <c r="H240" s="832">
        <v>4314.82</v>
      </c>
      <c r="I240" s="756">
        <f>ROUND(H240*(1+$K$471),2)</f>
        <v>5390.5</v>
      </c>
      <c r="J240" s="756">
        <f t="shared" si="43"/>
        <v>3234.3</v>
      </c>
      <c r="K240" s="916"/>
      <c r="N240" s="631"/>
      <c r="O240" s="408"/>
    </row>
    <row r="241" spans="1:15" ht="25.2">
      <c r="A241" s="751" t="s">
        <v>837</v>
      </c>
      <c r="B241" s="752" t="s">
        <v>628</v>
      </c>
      <c r="C241" s="907"/>
      <c r="D241" s="908">
        <v>72139</v>
      </c>
      <c r="E241" s="758" t="s">
        <v>2383</v>
      </c>
      <c r="F241" s="751" t="s">
        <v>1535</v>
      </c>
      <c r="G241" s="832">
        <v>3.84</v>
      </c>
      <c r="H241" s="832">
        <v>527.87</v>
      </c>
      <c r="I241" s="756">
        <f>ROUND(H241*(1+$K$471),2)</f>
        <v>659.47</v>
      </c>
      <c r="J241" s="756">
        <f t="shared" si="43"/>
        <v>2532.36</v>
      </c>
      <c r="K241" s="815"/>
      <c r="N241" s="631"/>
      <c r="O241" s="408"/>
    </row>
    <row r="242" spans="1:15" ht="25.2">
      <c r="A242" s="751" t="s">
        <v>2384</v>
      </c>
      <c r="B242" s="917" t="s">
        <v>1060</v>
      </c>
      <c r="C242" s="753"/>
      <c r="D242" s="904">
        <v>10036</v>
      </c>
      <c r="E242" s="758" t="s">
        <v>2862</v>
      </c>
      <c r="F242" s="753" t="s">
        <v>654</v>
      </c>
      <c r="G242" s="832">
        <v>637.29</v>
      </c>
      <c r="H242" s="832">
        <v>1374.52</v>
      </c>
      <c r="I242" s="756">
        <f>ROUND(H242*(1+$K$471),2)</f>
        <v>1717.19</v>
      </c>
      <c r="J242" s="756">
        <f t="shared" si="43"/>
        <v>1094348.02</v>
      </c>
      <c r="K242" s="757"/>
      <c r="N242" s="631"/>
      <c r="O242" s="408"/>
    </row>
    <row r="243" spans="1:15" ht="15.6" customHeight="1">
      <c r="A243" s="767" t="s">
        <v>2843</v>
      </c>
      <c r="B243" s="768"/>
      <c r="C243" s="769"/>
      <c r="D243" s="769"/>
      <c r="E243" s="769"/>
      <c r="F243" s="769"/>
      <c r="G243" s="832"/>
      <c r="H243" s="832"/>
      <c r="I243" s="832"/>
      <c r="J243" s="888">
        <f>SUBTOTAL(109,J239:J242)</f>
        <v>1112657.22</v>
      </c>
      <c r="K243" s="757"/>
      <c r="M243" s="730">
        <f>'[22]Planilha Orç'!$J$243</f>
        <v>1112657.22</v>
      </c>
      <c r="N243" s="631">
        <f>+J243-M243</f>
        <v>0</v>
      </c>
      <c r="O243" s="408"/>
    </row>
    <row r="244" spans="1:15" ht="15.6" customHeight="1">
      <c r="A244" s="792" t="s">
        <v>838</v>
      </c>
      <c r="B244" s="793" t="s">
        <v>839</v>
      </c>
      <c r="C244" s="794"/>
      <c r="D244" s="794"/>
      <c r="E244" s="794"/>
      <c r="F244" s="794"/>
      <c r="G244" s="794"/>
      <c r="H244" s="794"/>
      <c r="I244" s="794"/>
      <c r="J244" s="795"/>
      <c r="K244" s="746">
        <f>+J246/$J$463</f>
        <v>4.4331614684351697E-3</v>
      </c>
      <c r="N244" s="631"/>
      <c r="O244" s="408"/>
    </row>
    <row r="245" spans="1:15">
      <c r="A245" s="918" t="s">
        <v>1711</v>
      </c>
      <c r="B245" s="919" t="s">
        <v>1053</v>
      </c>
      <c r="C245" s="920"/>
      <c r="D245" s="921" t="s">
        <v>1439</v>
      </c>
      <c r="E245" s="922" t="s">
        <v>1440</v>
      </c>
      <c r="F245" s="918" t="s">
        <v>654</v>
      </c>
      <c r="G245" s="832">
        <v>788.02</v>
      </c>
      <c r="H245" s="832">
        <v>435.46</v>
      </c>
      <c r="I245" s="756">
        <f>ROUND(H245*(1+$K$471),2)</f>
        <v>544.02</v>
      </c>
      <c r="J245" s="756">
        <f t="shared" ref="J245" si="44">ROUND(I245*G245,2)</f>
        <v>428698.64</v>
      </c>
      <c r="K245" s="757"/>
      <c r="N245" s="631"/>
      <c r="O245" s="408"/>
    </row>
    <row r="246" spans="1:15" ht="15.6" customHeight="1">
      <c r="A246" s="767" t="s">
        <v>2844</v>
      </c>
      <c r="B246" s="768"/>
      <c r="C246" s="769"/>
      <c r="D246" s="769"/>
      <c r="E246" s="769"/>
      <c r="F246" s="769"/>
      <c r="G246" s="832"/>
      <c r="H246" s="832"/>
      <c r="I246" s="832"/>
      <c r="J246" s="888">
        <f>SUBTOTAL(109,J245)</f>
        <v>428698.64</v>
      </c>
      <c r="K246" s="757"/>
      <c r="M246" s="730">
        <f>'[22]Planilha Orç'!$J$246</f>
        <v>428698.64</v>
      </c>
      <c r="N246" s="631">
        <f>+J246-M246</f>
        <v>0</v>
      </c>
      <c r="O246" s="408"/>
    </row>
    <row r="247" spans="1:15" ht="13.95" customHeight="1" thickBot="1">
      <c r="A247" s="889" t="s">
        <v>840</v>
      </c>
      <c r="B247" s="890"/>
      <c r="C247" s="891"/>
      <c r="D247" s="891"/>
      <c r="E247" s="891"/>
      <c r="F247" s="891"/>
      <c r="G247" s="923"/>
      <c r="H247" s="923"/>
      <c r="I247" s="923"/>
      <c r="J247" s="894">
        <f>SUBTOTAL(109,J194:J245)</f>
        <v>6865269.9699999979</v>
      </c>
      <c r="K247" s="757"/>
      <c r="N247" s="631"/>
      <c r="O247" s="408"/>
    </row>
    <row r="248" spans="1:15" ht="16.5" customHeight="1" thickBot="1">
      <c r="A248" s="895">
        <v>5</v>
      </c>
      <c r="B248" s="896" t="s">
        <v>841</v>
      </c>
      <c r="C248" s="843"/>
      <c r="D248" s="843"/>
      <c r="E248" s="843"/>
      <c r="F248" s="924"/>
      <c r="G248" s="925"/>
      <c r="H248" s="925"/>
      <c r="I248" s="925"/>
      <c r="J248" s="926"/>
      <c r="K248" s="746">
        <f>SUBTOTAL(109,K249:K259)</f>
        <v>8.4437748161930205E-3</v>
      </c>
      <c r="M248" s="723"/>
      <c r="N248" s="631"/>
      <c r="O248" s="408"/>
    </row>
    <row r="249" spans="1:15" ht="15.6" customHeight="1">
      <c r="A249" s="847" t="s">
        <v>842</v>
      </c>
      <c r="B249" s="848" t="s">
        <v>843</v>
      </c>
      <c r="C249" s="849"/>
      <c r="D249" s="901"/>
      <c r="E249" s="901"/>
      <c r="F249" s="901"/>
      <c r="G249" s="901"/>
      <c r="H249" s="901"/>
      <c r="I249" s="901"/>
      <c r="J249" s="902"/>
      <c r="K249" s="746">
        <f>+J254/$J$463</f>
        <v>7.5472035849416747E-3</v>
      </c>
      <c r="N249" s="631"/>
      <c r="O249" s="408"/>
    </row>
    <row r="250" spans="1:15" ht="37.799999999999997">
      <c r="A250" s="927" t="s">
        <v>844</v>
      </c>
      <c r="B250" s="928" t="s">
        <v>1052</v>
      </c>
      <c r="C250" s="905"/>
      <c r="D250" s="751">
        <v>72111</v>
      </c>
      <c r="E250" s="758" t="s">
        <v>1051</v>
      </c>
      <c r="F250" s="753" t="s">
        <v>607</v>
      </c>
      <c r="G250" s="832">
        <v>3010.87</v>
      </c>
      <c r="H250" s="832">
        <v>65.180000000000007</v>
      </c>
      <c r="I250" s="756">
        <f>ROUND(H250*(1+$K$471),2)</f>
        <v>81.430000000000007</v>
      </c>
      <c r="J250" s="756">
        <f t="shared" ref="J250:J253" si="45">ROUND(I250*G250,2)</f>
        <v>245175.14</v>
      </c>
      <c r="K250" s="757"/>
      <c r="N250" s="631"/>
      <c r="O250" s="408"/>
    </row>
    <row r="251" spans="1:15">
      <c r="A251" s="927" t="s">
        <v>845</v>
      </c>
      <c r="B251" s="928" t="s">
        <v>628</v>
      </c>
      <c r="C251" s="905"/>
      <c r="D251" s="751" t="s">
        <v>846</v>
      </c>
      <c r="E251" s="758" t="s">
        <v>847</v>
      </c>
      <c r="F251" s="753" t="s">
        <v>607</v>
      </c>
      <c r="G251" s="832">
        <v>3010.87</v>
      </c>
      <c r="H251" s="832">
        <v>13.56</v>
      </c>
      <c r="I251" s="756">
        <f>ROUND(H251*(1+$K$471),2)</f>
        <v>16.940000000000001</v>
      </c>
      <c r="J251" s="756">
        <f t="shared" si="45"/>
        <v>51004.14</v>
      </c>
      <c r="K251" s="815"/>
      <c r="N251" s="631"/>
      <c r="O251" s="408"/>
    </row>
    <row r="252" spans="1:15" ht="25.2">
      <c r="A252" s="927" t="s">
        <v>848</v>
      </c>
      <c r="B252" s="928" t="s">
        <v>628</v>
      </c>
      <c r="C252" s="905"/>
      <c r="D252" s="751" t="s">
        <v>849</v>
      </c>
      <c r="E252" s="758" t="s">
        <v>850</v>
      </c>
      <c r="F252" s="753" t="s">
        <v>607</v>
      </c>
      <c r="G252" s="832">
        <v>3010.87</v>
      </c>
      <c r="H252" s="832">
        <v>18.04</v>
      </c>
      <c r="I252" s="756">
        <f>ROUND(H252*(1+$K$471),2)</f>
        <v>22.54</v>
      </c>
      <c r="J252" s="756">
        <f t="shared" si="45"/>
        <v>67865.009999999995</v>
      </c>
      <c r="K252" s="757"/>
      <c r="N252" s="631"/>
      <c r="O252" s="408"/>
    </row>
    <row r="253" spans="1:15">
      <c r="A253" s="927" t="s">
        <v>851</v>
      </c>
      <c r="B253" s="752" t="s">
        <v>628</v>
      </c>
      <c r="C253" s="905"/>
      <c r="D253" s="751">
        <v>94216</v>
      </c>
      <c r="E253" s="758" t="s">
        <v>2054</v>
      </c>
      <c r="F253" s="753" t="s">
        <v>654</v>
      </c>
      <c r="G253" s="832">
        <v>3010.87</v>
      </c>
      <c r="H253" s="832">
        <v>97.25</v>
      </c>
      <c r="I253" s="756">
        <f>ROUND(H253*(1+$K$471),2)</f>
        <v>121.49</v>
      </c>
      <c r="J253" s="756">
        <f t="shared" si="45"/>
        <v>365790.6</v>
      </c>
      <c r="K253" s="757"/>
      <c r="N253" s="631"/>
      <c r="O253" s="408"/>
    </row>
    <row r="254" spans="1:15" ht="15.6" customHeight="1">
      <c r="A254" s="767" t="s">
        <v>2845</v>
      </c>
      <c r="B254" s="768"/>
      <c r="C254" s="769"/>
      <c r="D254" s="769"/>
      <c r="E254" s="769"/>
      <c r="F254" s="769"/>
      <c r="G254" s="832"/>
      <c r="H254" s="832"/>
      <c r="I254" s="832"/>
      <c r="J254" s="888">
        <f>SUBTOTAL(109,J250:J253)</f>
        <v>729834.89</v>
      </c>
      <c r="K254" s="757"/>
      <c r="M254" s="730">
        <f>'[22]Planilha Orç'!$J$254</f>
        <v>729834.89</v>
      </c>
      <c r="N254" s="631">
        <f>+J254-M254</f>
        <v>0</v>
      </c>
      <c r="O254" s="408"/>
    </row>
    <row r="255" spans="1:15">
      <c r="A255" s="792" t="s">
        <v>853</v>
      </c>
      <c r="B255" s="796" t="s">
        <v>854</v>
      </c>
      <c r="C255" s="797"/>
      <c r="D255" s="794"/>
      <c r="E255" s="794"/>
      <c r="F255" s="794"/>
      <c r="G255" s="794"/>
      <c r="H255" s="794"/>
      <c r="I255" s="794"/>
      <c r="J255" s="795"/>
      <c r="K255" s="746">
        <f>+J259/$J$463</f>
        <v>8.9657123125134563E-4</v>
      </c>
      <c r="N255" s="631"/>
      <c r="O255" s="408"/>
    </row>
    <row r="256" spans="1:15">
      <c r="A256" s="751" t="s">
        <v>855</v>
      </c>
      <c r="B256" s="752" t="s">
        <v>605</v>
      </c>
      <c r="C256" s="753"/>
      <c r="D256" s="751" t="s">
        <v>2063</v>
      </c>
      <c r="E256" s="758" t="s">
        <v>2078</v>
      </c>
      <c r="F256" s="753" t="s">
        <v>810</v>
      </c>
      <c r="G256" s="832">
        <v>467.58</v>
      </c>
      <c r="H256" s="832">
        <v>23.92</v>
      </c>
      <c r="I256" s="756">
        <f>ROUND(H256*(1+$K$471),2)</f>
        <v>29.88</v>
      </c>
      <c r="J256" s="756">
        <f t="shared" ref="J256:J258" si="46">ROUND(I256*G256,2)</f>
        <v>13971.29</v>
      </c>
      <c r="K256" s="757"/>
      <c r="N256" s="631"/>
      <c r="O256" s="408"/>
    </row>
    <row r="257" spans="1:15" ht="37.799999999999997">
      <c r="A257" s="751" t="s">
        <v>856</v>
      </c>
      <c r="B257" s="752" t="s">
        <v>628</v>
      </c>
      <c r="C257" s="753"/>
      <c r="D257" s="751">
        <v>84042</v>
      </c>
      <c r="E257" s="758" t="s">
        <v>1057</v>
      </c>
      <c r="F257" s="753" t="s">
        <v>810</v>
      </c>
      <c r="G257" s="832">
        <v>362.04</v>
      </c>
      <c r="H257" s="832">
        <v>128.72999999999999</v>
      </c>
      <c r="I257" s="756">
        <f>ROUND(H257*(1+$K$471),2)</f>
        <v>160.82</v>
      </c>
      <c r="J257" s="756">
        <f t="shared" si="46"/>
        <v>58223.27</v>
      </c>
      <c r="K257" s="757"/>
      <c r="N257" s="631"/>
      <c r="O257" s="408"/>
    </row>
    <row r="258" spans="1:15" s="275" customFormat="1">
      <c r="A258" s="751" t="s">
        <v>1058</v>
      </c>
      <c r="B258" s="752" t="s">
        <v>628</v>
      </c>
      <c r="C258" s="753"/>
      <c r="D258" s="751">
        <v>71623</v>
      </c>
      <c r="E258" s="758" t="s">
        <v>2863</v>
      </c>
      <c r="F258" s="753" t="s">
        <v>810</v>
      </c>
      <c r="G258" s="832">
        <v>470.22</v>
      </c>
      <c r="H258" s="832">
        <v>24.69</v>
      </c>
      <c r="I258" s="756">
        <f>ROUND(H258*(1+$K$471),2)</f>
        <v>30.85</v>
      </c>
      <c r="J258" s="756">
        <f t="shared" si="46"/>
        <v>14506.29</v>
      </c>
      <c r="K258" s="815"/>
      <c r="L258" s="501"/>
      <c r="M258" s="730"/>
      <c r="N258" s="631"/>
      <c r="O258" s="408"/>
    </row>
    <row r="259" spans="1:15" ht="15.6" customHeight="1">
      <c r="A259" s="767" t="s">
        <v>857</v>
      </c>
      <c r="B259" s="768"/>
      <c r="C259" s="769"/>
      <c r="D259" s="769"/>
      <c r="E259" s="769"/>
      <c r="F259" s="769"/>
      <c r="G259" s="832"/>
      <c r="H259" s="832"/>
      <c r="I259" s="832"/>
      <c r="J259" s="888">
        <f>SUBTOTAL(109,J256:J258)</f>
        <v>86700.85</v>
      </c>
      <c r="K259" s="757"/>
      <c r="M259" s="730">
        <f>'[22]Planilha Orç'!$J$259</f>
        <v>86700.85</v>
      </c>
      <c r="N259" s="631">
        <f>+J259-M259</f>
        <v>0</v>
      </c>
      <c r="O259" s="408"/>
    </row>
    <row r="260" spans="1:15" ht="16.2" customHeight="1" thickBot="1">
      <c r="A260" s="889" t="s">
        <v>852</v>
      </c>
      <c r="B260" s="890"/>
      <c r="C260" s="891"/>
      <c r="D260" s="891"/>
      <c r="E260" s="891"/>
      <c r="F260" s="891"/>
      <c r="G260" s="891"/>
      <c r="H260" s="892"/>
      <c r="I260" s="893"/>
      <c r="J260" s="894">
        <f>SUBTOTAL(109,J250:J258)</f>
        <v>816535.74000000011</v>
      </c>
      <c r="K260" s="757"/>
      <c r="N260" s="631"/>
      <c r="O260" s="408"/>
    </row>
    <row r="261" spans="1:15" ht="16.2" customHeight="1" thickBot="1">
      <c r="A261" s="895">
        <v>6</v>
      </c>
      <c r="B261" s="896" t="s">
        <v>858</v>
      </c>
      <c r="C261" s="843"/>
      <c r="D261" s="843"/>
      <c r="E261" s="843"/>
      <c r="F261" s="924"/>
      <c r="G261" s="925"/>
      <c r="H261" s="925"/>
      <c r="I261" s="925"/>
      <c r="J261" s="926"/>
      <c r="K261" s="746">
        <f>SUBTOTAL(109,K262:K304)</f>
        <v>8.5000485247100285E-2</v>
      </c>
      <c r="N261" s="631"/>
      <c r="O261" s="408"/>
    </row>
    <row r="262" spans="1:15">
      <c r="A262" s="847" t="s">
        <v>859</v>
      </c>
      <c r="B262" s="929" t="s">
        <v>2084</v>
      </c>
      <c r="C262" s="930"/>
      <c r="D262" s="930"/>
      <c r="E262" s="930"/>
      <c r="F262" s="930"/>
      <c r="G262" s="931"/>
      <c r="H262" s="931"/>
      <c r="I262" s="931"/>
      <c r="J262" s="932"/>
      <c r="K262" s="746">
        <f>+J268/$J$463</f>
        <v>2.9459642070942021E-2</v>
      </c>
      <c r="N262" s="631"/>
      <c r="O262" s="408"/>
    </row>
    <row r="263" spans="1:15" ht="26.4" customHeight="1">
      <c r="A263" s="751" t="s">
        <v>860</v>
      </c>
      <c r="B263" s="752" t="s">
        <v>628</v>
      </c>
      <c r="C263" s="753"/>
      <c r="D263" s="751">
        <v>87879</v>
      </c>
      <c r="E263" s="758" t="s">
        <v>2079</v>
      </c>
      <c r="F263" s="753" t="s">
        <v>654</v>
      </c>
      <c r="G263" s="832">
        <v>49004.84</v>
      </c>
      <c r="H263" s="832">
        <v>2.5299999999999998</v>
      </c>
      <c r="I263" s="756">
        <f>ROUND(H263*(1+$K$471),2)</f>
        <v>3.16</v>
      </c>
      <c r="J263" s="756">
        <f t="shared" ref="J263:J267" si="47">ROUND(I263*G263,2)</f>
        <v>154855.29</v>
      </c>
      <c r="K263" s="757"/>
      <c r="N263" s="631"/>
      <c r="O263" s="408"/>
    </row>
    <row r="264" spans="1:15" ht="37.799999999999997">
      <c r="A264" s="751" t="s">
        <v>861</v>
      </c>
      <c r="B264" s="752" t="s">
        <v>628</v>
      </c>
      <c r="C264" s="933"/>
      <c r="D264" s="934">
        <v>87531</v>
      </c>
      <c r="E264" s="758" t="s">
        <v>2895</v>
      </c>
      <c r="F264" s="753" t="s">
        <v>654</v>
      </c>
      <c r="G264" s="832">
        <v>8502.59</v>
      </c>
      <c r="H264" s="832">
        <v>18.39</v>
      </c>
      <c r="I264" s="756">
        <f>ROUND(H264*(1+$K$471),2)</f>
        <v>22.97</v>
      </c>
      <c r="J264" s="756">
        <f t="shared" si="47"/>
        <v>195304.49</v>
      </c>
      <c r="K264" s="757"/>
      <c r="N264" s="631"/>
      <c r="O264" s="408"/>
    </row>
    <row r="265" spans="1:15" ht="30.75" customHeight="1">
      <c r="A265" s="751" t="s">
        <v>862</v>
      </c>
      <c r="B265" s="752" t="s">
        <v>628</v>
      </c>
      <c r="C265" s="933"/>
      <c r="D265" s="934">
        <v>87794</v>
      </c>
      <c r="E265" s="758" t="s">
        <v>942</v>
      </c>
      <c r="F265" s="753" t="s">
        <v>654</v>
      </c>
      <c r="G265" s="832">
        <v>40502.25</v>
      </c>
      <c r="H265" s="832">
        <v>22.46</v>
      </c>
      <c r="I265" s="756">
        <f>ROUND(H265*(1+$K$471),2)</f>
        <v>28.06</v>
      </c>
      <c r="J265" s="756">
        <f t="shared" si="47"/>
        <v>1136493.1399999999</v>
      </c>
      <c r="K265" s="757"/>
      <c r="N265" s="631"/>
      <c r="O265" s="408"/>
    </row>
    <row r="266" spans="1:15">
      <c r="A266" s="751" t="s">
        <v>863</v>
      </c>
      <c r="B266" s="752" t="s">
        <v>605</v>
      </c>
      <c r="C266" s="753"/>
      <c r="D266" s="751" t="s">
        <v>2316</v>
      </c>
      <c r="E266" s="758" t="s">
        <v>864</v>
      </c>
      <c r="F266" s="753" t="s">
        <v>654</v>
      </c>
      <c r="G266" s="832">
        <v>64.05</v>
      </c>
      <c r="H266" s="832">
        <v>67.680000000000007</v>
      </c>
      <c r="I266" s="756">
        <f>ROUND(H266*(1+$K$471),2)</f>
        <v>84.55</v>
      </c>
      <c r="J266" s="756">
        <f t="shared" si="47"/>
        <v>5415.43</v>
      </c>
      <c r="K266" s="757"/>
      <c r="N266" s="631"/>
      <c r="O266" s="408"/>
    </row>
    <row r="267" spans="1:15" ht="29.25" customHeight="1">
      <c r="A267" s="751" t="s">
        <v>865</v>
      </c>
      <c r="B267" s="752" t="s">
        <v>605</v>
      </c>
      <c r="C267" s="753"/>
      <c r="D267" s="751" t="s">
        <v>2095</v>
      </c>
      <c r="E267" s="758" t="s">
        <v>2086</v>
      </c>
      <c r="F267" s="753" t="s">
        <v>654</v>
      </c>
      <c r="G267" s="832">
        <v>8502.59</v>
      </c>
      <c r="H267" s="832">
        <v>127.72999999999999</v>
      </c>
      <c r="I267" s="756">
        <f>ROUND(H267*(1+$K$471),2)</f>
        <v>159.57</v>
      </c>
      <c r="J267" s="756">
        <f t="shared" si="47"/>
        <v>1356758.29</v>
      </c>
      <c r="K267" s="757"/>
      <c r="N267" s="631"/>
      <c r="O267" s="408"/>
    </row>
    <row r="268" spans="1:15" ht="15.6" customHeight="1">
      <c r="A268" s="767" t="s">
        <v>2670</v>
      </c>
      <c r="B268" s="768"/>
      <c r="C268" s="769"/>
      <c r="D268" s="769"/>
      <c r="E268" s="769"/>
      <c r="F268" s="769"/>
      <c r="G268" s="832"/>
      <c r="H268" s="832"/>
      <c r="I268" s="832"/>
      <c r="J268" s="888">
        <f>SUBTOTAL(109,J263:J267)</f>
        <v>2848826.6399999997</v>
      </c>
      <c r="K268" s="757"/>
      <c r="M268" s="730">
        <f>'[22]Planilha Orç'!$J$268</f>
        <v>1239080.21</v>
      </c>
      <c r="N268" s="631">
        <f>+J268-M268</f>
        <v>1609746.4299999997</v>
      </c>
      <c r="O268" s="408"/>
    </row>
    <row r="269" spans="1:15">
      <c r="A269" s="847" t="s">
        <v>866</v>
      </c>
      <c r="B269" s="929" t="s">
        <v>2085</v>
      </c>
      <c r="C269" s="930"/>
      <c r="D269" s="930"/>
      <c r="E269" s="930"/>
      <c r="F269" s="930"/>
      <c r="G269" s="931"/>
      <c r="H269" s="931"/>
      <c r="I269" s="931"/>
      <c r="J269" s="932"/>
      <c r="K269" s="746">
        <f>+J275/$J$463</f>
        <v>1.3765079622110675E-2</v>
      </c>
      <c r="N269" s="631"/>
      <c r="O269" s="408"/>
    </row>
    <row r="270" spans="1:15" ht="25.2">
      <c r="A270" s="751" t="s">
        <v>868</v>
      </c>
      <c r="B270" s="752" t="s">
        <v>628</v>
      </c>
      <c r="C270" s="753"/>
      <c r="D270" s="751">
        <v>87905</v>
      </c>
      <c r="E270" s="758" t="s">
        <v>2096</v>
      </c>
      <c r="F270" s="753" t="s">
        <v>654</v>
      </c>
      <c r="G270" s="832">
        <v>7362.94</v>
      </c>
      <c r="H270" s="832">
        <v>5.26</v>
      </c>
      <c r="I270" s="756">
        <f>ROUND(H270*(1+$K$471),2)</f>
        <v>6.57</v>
      </c>
      <c r="J270" s="756">
        <f t="shared" ref="J270:J274" si="48">ROUND(I270*G270,2)</f>
        <v>48374.52</v>
      </c>
      <c r="K270" s="757"/>
      <c r="N270" s="631"/>
      <c r="O270" s="408"/>
    </row>
    <row r="271" spans="1:15" ht="25.2">
      <c r="A271" s="751" t="s">
        <v>2083</v>
      </c>
      <c r="B271" s="752" t="s">
        <v>628</v>
      </c>
      <c r="C271" s="933"/>
      <c r="D271" s="934">
        <v>87779</v>
      </c>
      <c r="E271" s="758" t="s">
        <v>2101</v>
      </c>
      <c r="F271" s="753" t="s">
        <v>654</v>
      </c>
      <c r="G271" s="832">
        <v>7362.94</v>
      </c>
      <c r="H271" s="832">
        <v>36.07</v>
      </c>
      <c r="I271" s="756">
        <f>ROUND(H271*(1+$K$471),2)</f>
        <v>45.06</v>
      </c>
      <c r="J271" s="756">
        <f t="shared" si="48"/>
        <v>331774.08000000002</v>
      </c>
      <c r="K271" s="757"/>
      <c r="N271" s="631"/>
      <c r="O271" s="408"/>
    </row>
    <row r="272" spans="1:15" ht="25.2">
      <c r="A272" s="751" t="s">
        <v>2112</v>
      </c>
      <c r="B272" s="752" t="s">
        <v>605</v>
      </c>
      <c r="C272" s="933"/>
      <c r="D272" s="934" t="s">
        <v>2095</v>
      </c>
      <c r="E272" s="758" t="s">
        <v>2891</v>
      </c>
      <c r="F272" s="753" t="s">
        <v>1535</v>
      </c>
      <c r="G272" s="832">
        <v>2147.79</v>
      </c>
      <c r="H272" s="832">
        <v>127.73</v>
      </c>
      <c r="I272" s="756">
        <f>ROUND(H272*(1+$K$471),2)</f>
        <v>159.57</v>
      </c>
      <c r="J272" s="756">
        <f t="shared" si="48"/>
        <v>342722.85</v>
      </c>
      <c r="K272" s="757"/>
      <c r="N272" s="631"/>
      <c r="O272" s="408"/>
    </row>
    <row r="273" spans="1:15" ht="37.799999999999997">
      <c r="A273" s="751" t="s">
        <v>2113</v>
      </c>
      <c r="B273" s="752" t="s">
        <v>605</v>
      </c>
      <c r="C273" s="758"/>
      <c r="D273" s="758" t="s">
        <v>2103</v>
      </c>
      <c r="E273" s="758" t="s">
        <v>2890</v>
      </c>
      <c r="F273" s="753" t="s">
        <v>1535</v>
      </c>
      <c r="G273" s="832">
        <v>3085.52</v>
      </c>
      <c r="H273" s="832">
        <v>76.099999999999994</v>
      </c>
      <c r="I273" s="756">
        <f>ROUND(H273*(1+$K$471),2)</f>
        <v>95.07</v>
      </c>
      <c r="J273" s="756">
        <f t="shared" si="48"/>
        <v>293340.39</v>
      </c>
      <c r="K273" s="757"/>
      <c r="N273" s="631"/>
      <c r="O273" s="408"/>
    </row>
    <row r="274" spans="1:15" ht="25.2">
      <c r="A274" s="751" t="s">
        <v>2114</v>
      </c>
      <c r="B274" s="752" t="s">
        <v>628</v>
      </c>
      <c r="C274" s="753"/>
      <c r="D274" s="751">
        <v>87242</v>
      </c>
      <c r="E274" s="758" t="s">
        <v>2102</v>
      </c>
      <c r="F274" s="753" t="s">
        <v>654</v>
      </c>
      <c r="G274" s="832">
        <v>2129.63</v>
      </c>
      <c r="H274" s="832">
        <v>118.36</v>
      </c>
      <c r="I274" s="756">
        <f>ROUND(H274*(1+$K$471),2)</f>
        <v>147.87</v>
      </c>
      <c r="J274" s="756">
        <f t="shared" si="48"/>
        <v>314908.39</v>
      </c>
      <c r="K274" s="766"/>
      <c r="N274" s="631"/>
      <c r="O274" s="408"/>
    </row>
    <row r="275" spans="1:15" ht="16.5" customHeight="1">
      <c r="A275" s="767" t="s">
        <v>2671</v>
      </c>
      <c r="B275" s="768"/>
      <c r="C275" s="769"/>
      <c r="D275" s="769"/>
      <c r="E275" s="769"/>
      <c r="F275" s="769"/>
      <c r="G275" s="832"/>
      <c r="H275" s="832"/>
      <c r="I275" s="832"/>
      <c r="J275" s="888">
        <f>SUBTOTAL(109,J270:J274)</f>
        <v>1331120.23</v>
      </c>
      <c r="K275" s="757"/>
      <c r="M275" s="730">
        <f>'[22]Planilha Orç'!$J$275</f>
        <v>1331120.23</v>
      </c>
      <c r="N275" s="631">
        <f>+J275-M275</f>
        <v>0</v>
      </c>
      <c r="O275" s="408"/>
    </row>
    <row r="276" spans="1:15" s="276" customFormat="1" ht="15.6" customHeight="1">
      <c r="A276" s="792" t="s">
        <v>870</v>
      </c>
      <c r="B276" s="796" t="s">
        <v>867</v>
      </c>
      <c r="C276" s="797"/>
      <c r="D276" s="797"/>
      <c r="E276" s="797"/>
      <c r="F276" s="797"/>
      <c r="G276" s="797"/>
      <c r="H276" s="797"/>
      <c r="I276" s="797"/>
      <c r="J276" s="852"/>
      <c r="K276" s="746">
        <f>+J284/$J$463</f>
        <v>1.7392195572526525E-2</v>
      </c>
      <c r="L276" s="501"/>
      <c r="M276" s="730"/>
      <c r="N276" s="631"/>
      <c r="O276" s="408"/>
    </row>
    <row r="277" spans="1:15" s="276" customFormat="1" ht="25.2">
      <c r="A277" s="751" t="s">
        <v>871</v>
      </c>
      <c r="B277" s="752" t="s">
        <v>628</v>
      </c>
      <c r="C277" s="758"/>
      <c r="D277" s="753">
        <v>87882</v>
      </c>
      <c r="E277" s="758" t="s">
        <v>2111</v>
      </c>
      <c r="F277" s="753" t="s">
        <v>1535</v>
      </c>
      <c r="G277" s="832">
        <v>3357.53</v>
      </c>
      <c r="H277" s="832">
        <v>3.38</v>
      </c>
      <c r="I277" s="756">
        <f t="shared" ref="I277:I283" si="49">ROUND(H277*(1+$K$471),2)</f>
        <v>4.22</v>
      </c>
      <c r="J277" s="756">
        <f t="shared" ref="J277:J283" si="50">ROUND(I277*G277,2)</f>
        <v>14168.78</v>
      </c>
      <c r="K277" s="757"/>
      <c r="L277" s="501"/>
      <c r="M277" s="730"/>
      <c r="N277" s="631"/>
      <c r="O277" s="408"/>
    </row>
    <row r="278" spans="1:15" s="276" customFormat="1" ht="25.2">
      <c r="A278" s="751" t="s">
        <v>872</v>
      </c>
      <c r="B278" s="752" t="s">
        <v>628</v>
      </c>
      <c r="C278" s="758"/>
      <c r="D278" s="753">
        <v>90406</v>
      </c>
      <c r="E278" s="758" t="s">
        <v>2110</v>
      </c>
      <c r="F278" s="753" t="s">
        <v>1535</v>
      </c>
      <c r="G278" s="832">
        <v>3357.53</v>
      </c>
      <c r="H278" s="832">
        <v>25.43</v>
      </c>
      <c r="I278" s="756">
        <f t="shared" si="49"/>
        <v>31.77</v>
      </c>
      <c r="J278" s="756">
        <f t="shared" si="50"/>
        <v>106668.73</v>
      </c>
      <c r="K278" s="757"/>
      <c r="L278" s="501"/>
      <c r="M278" s="730"/>
      <c r="N278" s="631"/>
      <c r="O278" s="408"/>
    </row>
    <row r="279" spans="1:15" ht="25.2">
      <c r="A279" s="751" t="s">
        <v>1813</v>
      </c>
      <c r="B279" s="752" t="s">
        <v>1060</v>
      </c>
      <c r="C279" s="753" t="s">
        <v>1401</v>
      </c>
      <c r="D279" s="751">
        <v>10411</v>
      </c>
      <c r="E279" s="758" t="s">
        <v>2875</v>
      </c>
      <c r="F279" s="753" t="s">
        <v>654</v>
      </c>
      <c r="G279" s="832">
        <v>9097.4699999999993</v>
      </c>
      <c r="H279" s="832">
        <v>60</v>
      </c>
      <c r="I279" s="756">
        <f t="shared" si="49"/>
        <v>74.959999999999994</v>
      </c>
      <c r="J279" s="756">
        <f t="shared" si="50"/>
        <v>681946.35</v>
      </c>
      <c r="K279" s="815"/>
      <c r="N279" s="631"/>
      <c r="O279" s="408"/>
    </row>
    <row r="280" spans="1:15" ht="25.2">
      <c r="A280" s="751" t="s">
        <v>1814</v>
      </c>
      <c r="B280" s="752" t="s">
        <v>1060</v>
      </c>
      <c r="C280" s="753" t="s">
        <v>1401</v>
      </c>
      <c r="D280" s="751">
        <v>7702</v>
      </c>
      <c r="E280" s="758" t="s">
        <v>2876</v>
      </c>
      <c r="F280" s="753" t="s">
        <v>607</v>
      </c>
      <c r="G280" s="832">
        <v>4149.34</v>
      </c>
      <c r="H280" s="832">
        <v>75</v>
      </c>
      <c r="I280" s="756">
        <f t="shared" si="49"/>
        <v>93.7</v>
      </c>
      <c r="J280" s="756">
        <f t="shared" si="50"/>
        <v>388793.16</v>
      </c>
      <c r="K280" s="815"/>
      <c r="N280" s="631"/>
      <c r="O280" s="408"/>
    </row>
    <row r="281" spans="1:15" ht="25.2">
      <c r="A281" s="751" t="s">
        <v>2268</v>
      </c>
      <c r="B281" s="752" t="s">
        <v>1060</v>
      </c>
      <c r="C281" s="753" t="s">
        <v>1401</v>
      </c>
      <c r="D281" s="751">
        <v>1955</v>
      </c>
      <c r="E281" s="758" t="s">
        <v>2889</v>
      </c>
      <c r="F281" s="753" t="s">
        <v>607</v>
      </c>
      <c r="G281" s="832">
        <v>1801.72</v>
      </c>
      <c r="H281" s="832">
        <v>75</v>
      </c>
      <c r="I281" s="756">
        <f t="shared" si="49"/>
        <v>93.7</v>
      </c>
      <c r="J281" s="756">
        <f t="shared" si="50"/>
        <v>168821.16</v>
      </c>
      <c r="K281" s="815"/>
      <c r="N281" s="631"/>
      <c r="O281" s="408"/>
    </row>
    <row r="282" spans="1:15" ht="37.799999999999997">
      <c r="A282" s="751" t="s">
        <v>2312</v>
      </c>
      <c r="B282" s="752" t="s">
        <v>605</v>
      </c>
      <c r="C282" s="753"/>
      <c r="D282" s="751" t="s">
        <v>2362</v>
      </c>
      <c r="E282" s="758" t="s">
        <v>2364</v>
      </c>
      <c r="F282" s="753" t="s">
        <v>607</v>
      </c>
      <c r="G282" s="832">
        <v>39.479999999999997</v>
      </c>
      <c r="H282" s="832">
        <v>419.21999999999997</v>
      </c>
      <c r="I282" s="756">
        <f t="shared" si="49"/>
        <v>523.73</v>
      </c>
      <c r="J282" s="756">
        <f t="shared" si="50"/>
        <v>20676.86</v>
      </c>
      <c r="K282" s="815"/>
      <c r="N282" s="631"/>
      <c r="O282" s="408"/>
    </row>
    <row r="283" spans="1:15">
      <c r="A283" s="751" t="s">
        <v>2357</v>
      </c>
      <c r="B283" s="752" t="s">
        <v>605</v>
      </c>
      <c r="C283" s="751"/>
      <c r="D283" s="751" t="s">
        <v>1807</v>
      </c>
      <c r="E283" s="758" t="s">
        <v>1819</v>
      </c>
      <c r="F283" s="753" t="s">
        <v>810</v>
      </c>
      <c r="G283" s="832">
        <v>2248.9499999999998</v>
      </c>
      <c r="H283" s="832">
        <v>107.06</v>
      </c>
      <c r="I283" s="756">
        <f t="shared" si="49"/>
        <v>133.75</v>
      </c>
      <c r="J283" s="756">
        <f t="shared" si="50"/>
        <v>300797.06</v>
      </c>
      <c r="K283" s="815"/>
      <c r="N283" s="631"/>
      <c r="O283" s="408"/>
    </row>
    <row r="284" spans="1:15" ht="15.6" customHeight="1">
      <c r="A284" s="859" t="s">
        <v>869</v>
      </c>
      <c r="B284" s="860"/>
      <c r="C284" s="861"/>
      <c r="D284" s="861"/>
      <c r="E284" s="861"/>
      <c r="F284" s="861"/>
      <c r="G284" s="832"/>
      <c r="H284" s="832"/>
      <c r="I284" s="832"/>
      <c r="J284" s="888">
        <f>SUBTOTAL(109,J277:J283)</f>
        <v>1681872.1</v>
      </c>
      <c r="K284" s="757"/>
      <c r="M284" s="730">
        <f>'[22]Planilha Orç'!$J$284</f>
        <v>974869.71</v>
      </c>
      <c r="N284" s="631">
        <f>+J284-M284</f>
        <v>707002.39000000013</v>
      </c>
      <c r="O284" s="408"/>
    </row>
    <row r="285" spans="1:15" ht="15.6" customHeight="1">
      <c r="A285" s="792" t="s">
        <v>875</v>
      </c>
      <c r="B285" s="796" t="s">
        <v>2822</v>
      </c>
      <c r="C285" s="797"/>
      <c r="D285" s="797"/>
      <c r="E285" s="797"/>
      <c r="F285" s="797"/>
      <c r="G285" s="797"/>
      <c r="H285" s="797"/>
      <c r="I285" s="797"/>
      <c r="J285" s="852"/>
      <c r="K285" s="746">
        <f>+J293/$J$463</f>
        <v>5.9392830636968734E-3</v>
      </c>
      <c r="N285" s="631"/>
      <c r="O285" s="408"/>
    </row>
    <row r="286" spans="1:15" ht="25.2">
      <c r="A286" s="751" t="s">
        <v>877</v>
      </c>
      <c r="B286" s="752" t="s">
        <v>605</v>
      </c>
      <c r="C286" s="753"/>
      <c r="D286" s="751" t="s">
        <v>2269</v>
      </c>
      <c r="E286" s="758" t="s">
        <v>2877</v>
      </c>
      <c r="F286" s="753" t="s">
        <v>810</v>
      </c>
      <c r="G286" s="832">
        <v>193.84</v>
      </c>
      <c r="H286" s="832">
        <v>601.72</v>
      </c>
      <c r="I286" s="756">
        <f t="shared" ref="I286:I292" si="51">ROUND(H286*(1+$K$471),2)</f>
        <v>751.73</v>
      </c>
      <c r="J286" s="756">
        <f t="shared" ref="J286:J292" si="52">ROUND(I286*G286,2)</f>
        <v>145715.34</v>
      </c>
      <c r="K286" s="757"/>
      <c r="N286" s="631"/>
      <c r="O286" s="408"/>
    </row>
    <row r="287" spans="1:15" ht="25.2">
      <c r="A287" s="751" t="s">
        <v>878</v>
      </c>
      <c r="B287" s="752" t="s">
        <v>628</v>
      </c>
      <c r="C287" s="753"/>
      <c r="D287" s="751">
        <v>84862</v>
      </c>
      <c r="E287" s="935" t="s">
        <v>2878</v>
      </c>
      <c r="F287" s="753" t="s">
        <v>217</v>
      </c>
      <c r="G287" s="832">
        <v>205.7</v>
      </c>
      <c r="H287" s="832">
        <v>169.34</v>
      </c>
      <c r="I287" s="756">
        <f t="shared" si="51"/>
        <v>211.56</v>
      </c>
      <c r="J287" s="756">
        <f t="shared" si="52"/>
        <v>43517.89</v>
      </c>
      <c r="K287" s="757"/>
      <c r="N287" s="631"/>
      <c r="O287" s="408"/>
    </row>
    <row r="288" spans="1:15">
      <c r="A288" s="751" t="s">
        <v>880</v>
      </c>
      <c r="B288" s="752" t="s">
        <v>628</v>
      </c>
      <c r="C288" s="753"/>
      <c r="D288" s="751" t="s">
        <v>2115</v>
      </c>
      <c r="E288" s="935" t="s">
        <v>1812</v>
      </c>
      <c r="F288" s="753" t="s">
        <v>217</v>
      </c>
      <c r="G288" s="832">
        <v>1781.63</v>
      </c>
      <c r="H288" s="832">
        <v>94.72</v>
      </c>
      <c r="I288" s="756">
        <f t="shared" si="51"/>
        <v>118.33</v>
      </c>
      <c r="J288" s="756">
        <f t="shared" si="52"/>
        <v>210820.28</v>
      </c>
      <c r="K288" s="757"/>
      <c r="N288" s="631"/>
      <c r="O288" s="408"/>
    </row>
    <row r="289" spans="1:15">
      <c r="A289" s="751" t="s">
        <v>882</v>
      </c>
      <c r="B289" s="752" t="s">
        <v>605</v>
      </c>
      <c r="C289" s="751"/>
      <c r="D289" s="751" t="s">
        <v>2116</v>
      </c>
      <c r="E289" s="935" t="s">
        <v>2411</v>
      </c>
      <c r="F289" s="753" t="s">
        <v>1535</v>
      </c>
      <c r="G289" s="832">
        <v>150.86000000000001</v>
      </c>
      <c r="H289" s="832">
        <v>794.52</v>
      </c>
      <c r="I289" s="756">
        <f t="shared" si="51"/>
        <v>992.59</v>
      </c>
      <c r="J289" s="756">
        <f t="shared" si="52"/>
        <v>149742.13</v>
      </c>
      <c r="K289" s="757"/>
      <c r="N289" s="631"/>
      <c r="O289" s="408"/>
    </row>
    <row r="290" spans="1:15" ht="25.2">
      <c r="A290" s="751" t="s">
        <v>884</v>
      </c>
      <c r="B290" s="752" t="s">
        <v>605</v>
      </c>
      <c r="C290" s="751"/>
      <c r="D290" s="751" t="s">
        <v>2299</v>
      </c>
      <c r="E290" s="935" t="s">
        <v>2311</v>
      </c>
      <c r="F290" s="753" t="s">
        <v>1535</v>
      </c>
      <c r="G290" s="832">
        <v>8.68</v>
      </c>
      <c r="H290" s="832">
        <v>331.19</v>
      </c>
      <c r="I290" s="756">
        <f t="shared" si="51"/>
        <v>413.76</v>
      </c>
      <c r="J290" s="756">
        <f t="shared" si="52"/>
        <v>3591.44</v>
      </c>
      <c r="K290" s="757"/>
      <c r="N290" s="631"/>
      <c r="O290" s="408"/>
    </row>
    <row r="291" spans="1:15">
      <c r="A291" s="751" t="s">
        <v>885</v>
      </c>
      <c r="B291" s="759" t="s">
        <v>628</v>
      </c>
      <c r="C291" s="760"/>
      <c r="D291" s="761" t="s">
        <v>873</v>
      </c>
      <c r="E291" s="885" t="s">
        <v>874</v>
      </c>
      <c r="F291" s="761" t="s">
        <v>810</v>
      </c>
      <c r="G291" s="832">
        <v>20.25</v>
      </c>
      <c r="H291" s="832">
        <v>193.94</v>
      </c>
      <c r="I291" s="756">
        <f t="shared" si="51"/>
        <v>242.29</v>
      </c>
      <c r="J291" s="756">
        <f t="shared" si="52"/>
        <v>4906.37</v>
      </c>
      <c r="K291" s="757"/>
      <c r="N291" s="631"/>
      <c r="O291" s="408"/>
    </row>
    <row r="292" spans="1:15">
      <c r="A292" s="751" t="s">
        <v>887</v>
      </c>
      <c r="B292" s="759" t="s">
        <v>605</v>
      </c>
      <c r="C292" s="760"/>
      <c r="D292" s="761" t="s">
        <v>2356</v>
      </c>
      <c r="E292" s="762" t="s">
        <v>2352</v>
      </c>
      <c r="F292" s="761" t="s">
        <v>607</v>
      </c>
      <c r="G292" s="832">
        <v>168.96</v>
      </c>
      <c r="H292" s="832">
        <v>76.040000000000006</v>
      </c>
      <c r="I292" s="756">
        <f t="shared" si="51"/>
        <v>95</v>
      </c>
      <c r="J292" s="756">
        <f t="shared" si="52"/>
        <v>16051.2</v>
      </c>
      <c r="K292" s="757"/>
      <c r="N292" s="631"/>
      <c r="O292" s="408"/>
    </row>
    <row r="293" spans="1:15" ht="15.6" customHeight="1">
      <c r="A293" s="767" t="s">
        <v>2823</v>
      </c>
      <c r="B293" s="768"/>
      <c r="C293" s="769"/>
      <c r="D293" s="769"/>
      <c r="E293" s="769"/>
      <c r="F293" s="769"/>
      <c r="G293" s="832"/>
      <c r="H293" s="832"/>
      <c r="I293" s="832"/>
      <c r="J293" s="888">
        <f>SUBTOTAL(109,J286:J292)</f>
        <v>574344.64999999991</v>
      </c>
      <c r="K293" s="757"/>
      <c r="M293" s="730">
        <f>'[22]Planilha Orç'!$J$293</f>
        <v>349268.17999999993</v>
      </c>
      <c r="N293" s="631">
        <f>+J293-M293</f>
        <v>225076.46999999997</v>
      </c>
      <c r="O293" s="408"/>
    </row>
    <row r="294" spans="1:15" s="275" customFormat="1" ht="16.5" customHeight="1">
      <c r="A294" s="792" t="s">
        <v>2672</v>
      </c>
      <c r="B294" s="796" t="s">
        <v>876</v>
      </c>
      <c r="C294" s="797"/>
      <c r="D294" s="797"/>
      <c r="E294" s="797"/>
      <c r="F294" s="797"/>
      <c r="G294" s="797"/>
      <c r="H294" s="797"/>
      <c r="I294" s="797"/>
      <c r="J294" s="852"/>
      <c r="K294" s="746">
        <f>+J304/$J$463</f>
        <v>1.8444284917824193E-2</v>
      </c>
      <c r="L294" s="501"/>
      <c r="M294" s="730"/>
      <c r="N294" s="631"/>
      <c r="O294" s="408"/>
    </row>
    <row r="295" spans="1:15" ht="16.5" customHeight="1">
      <c r="A295" s="751" t="s">
        <v>2673</v>
      </c>
      <c r="B295" s="752" t="s">
        <v>628</v>
      </c>
      <c r="C295" s="753"/>
      <c r="D295" s="751">
        <v>88411</v>
      </c>
      <c r="E295" s="758" t="s">
        <v>2480</v>
      </c>
      <c r="F295" s="753" t="s">
        <v>654</v>
      </c>
      <c r="G295" s="832">
        <v>37580.53</v>
      </c>
      <c r="H295" s="832">
        <v>1.57</v>
      </c>
      <c r="I295" s="756">
        <f t="shared" ref="I295:I303" si="53">ROUND(H295*(1+$K$471),2)</f>
        <v>1.96</v>
      </c>
      <c r="J295" s="756">
        <f t="shared" ref="J295:J303" si="54">ROUND(I295*G295,2)</f>
        <v>73657.84</v>
      </c>
      <c r="K295" s="757"/>
      <c r="N295" s="631"/>
      <c r="O295" s="408"/>
    </row>
    <row r="296" spans="1:15">
      <c r="A296" s="751" t="s">
        <v>2674</v>
      </c>
      <c r="B296" s="752" t="s">
        <v>628</v>
      </c>
      <c r="C296" s="753"/>
      <c r="D296" s="751">
        <v>88496</v>
      </c>
      <c r="E296" s="758" t="s">
        <v>879</v>
      </c>
      <c r="F296" s="753" t="s">
        <v>654</v>
      </c>
      <c r="G296" s="832">
        <v>16604.349999999999</v>
      </c>
      <c r="H296" s="832">
        <v>15.02</v>
      </c>
      <c r="I296" s="756">
        <f t="shared" si="53"/>
        <v>18.760000000000002</v>
      </c>
      <c r="J296" s="756">
        <f t="shared" si="54"/>
        <v>311497.61</v>
      </c>
      <c r="K296" s="757"/>
      <c r="N296" s="631"/>
      <c r="O296" s="408"/>
    </row>
    <row r="297" spans="1:15">
      <c r="A297" s="751" t="s">
        <v>2675</v>
      </c>
      <c r="B297" s="752" t="s">
        <v>628</v>
      </c>
      <c r="C297" s="753"/>
      <c r="D297" s="751">
        <v>88497</v>
      </c>
      <c r="E297" s="758" t="s">
        <v>881</v>
      </c>
      <c r="F297" s="753" t="s">
        <v>654</v>
      </c>
      <c r="G297" s="832">
        <v>28777.89</v>
      </c>
      <c r="H297" s="832">
        <v>7.96</v>
      </c>
      <c r="I297" s="756">
        <f t="shared" si="53"/>
        <v>9.94</v>
      </c>
      <c r="J297" s="756">
        <f t="shared" si="54"/>
        <v>286052.23</v>
      </c>
      <c r="K297" s="757"/>
      <c r="N297" s="631"/>
      <c r="O297" s="408"/>
    </row>
    <row r="298" spans="1:15" ht="13.95" customHeight="1">
      <c r="A298" s="751" t="s">
        <v>2676</v>
      </c>
      <c r="B298" s="752" t="s">
        <v>628</v>
      </c>
      <c r="C298" s="753"/>
      <c r="D298" s="751">
        <v>88489</v>
      </c>
      <c r="E298" s="758" t="s">
        <v>883</v>
      </c>
      <c r="F298" s="753" t="s">
        <v>654</v>
      </c>
      <c r="G298" s="832">
        <v>28777.89</v>
      </c>
      <c r="H298" s="832">
        <v>9.39</v>
      </c>
      <c r="I298" s="756">
        <f t="shared" si="53"/>
        <v>11.73</v>
      </c>
      <c r="J298" s="756">
        <f t="shared" si="54"/>
        <v>337564.65</v>
      </c>
      <c r="K298" s="757"/>
      <c r="N298" s="631"/>
      <c r="O298" s="408"/>
    </row>
    <row r="299" spans="1:15" s="275" customFormat="1">
      <c r="A299" s="751" t="s">
        <v>2677</v>
      </c>
      <c r="B299" s="752" t="s">
        <v>628</v>
      </c>
      <c r="C299" s="753"/>
      <c r="D299" s="751">
        <v>88416</v>
      </c>
      <c r="E299" s="758" t="s">
        <v>886</v>
      </c>
      <c r="F299" s="753" t="s">
        <v>654</v>
      </c>
      <c r="G299" s="832">
        <v>11724.36</v>
      </c>
      <c r="H299" s="832">
        <v>13.1</v>
      </c>
      <c r="I299" s="756">
        <f t="shared" si="53"/>
        <v>16.37</v>
      </c>
      <c r="J299" s="756">
        <f t="shared" si="54"/>
        <v>191927.77</v>
      </c>
      <c r="K299" s="757"/>
      <c r="L299" s="501"/>
      <c r="M299" s="730"/>
      <c r="N299" s="631"/>
      <c r="O299" s="408"/>
    </row>
    <row r="300" spans="1:15">
      <c r="A300" s="751" t="s">
        <v>2678</v>
      </c>
      <c r="B300" s="752" t="s">
        <v>628</v>
      </c>
      <c r="C300" s="753"/>
      <c r="D300" s="751">
        <v>88482</v>
      </c>
      <c r="E300" s="758" t="s">
        <v>888</v>
      </c>
      <c r="F300" s="753" t="s">
        <v>654</v>
      </c>
      <c r="G300" s="832">
        <v>16604.349999999999</v>
      </c>
      <c r="H300" s="832">
        <v>2.0499999999999998</v>
      </c>
      <c r="I300" s="756">
        <f t="shared" si="53"/>
        <v>2.56</v>
      </c>
      <c r="J300" s="756">
        <f t="shared" si="54"/>
        <v>42507.14</v>
      </c>
      <c r="K300" s="757"/>
      <c r="N300" s="631"/>
      <c r="O300" s="408"/>
    </row>
    <row r="301" spans="1:15">
      <c r="A301" s="751" t="s">
        <v>2679</v>
      </c>
      <c r="B301" s="752" t="s">
        <v>628</v>
      </c>
      <c r="C301" s="753"/>
      <c r="D301" s="751">
        <v>88486</v>
      </c>
      <c r="E301" s="758" t="s">
        <v>889</v>
      </c>
      <c r="F301" s="753" t="s">
        <v>654</v>
      </c>
      <c r="G301" s="832">
        <v>16604.349999999999</v>
      </c>
      <c r="H301" s="832">
        <v>8.27</v>
      </c>
      <c r="I301" s="756">
        <f t="shared" si="53"/>
        <v>10.33</v>
      </c>
      <c r="J301" s="756">
        <f t="shared" si="54"/>
        <v>171522.94</v>
      </c>
      <c r="K301" s="757"/>
      <c r="N301" s="631"/>
      <c r="O301" s="408"/>
    </row>
    <row r="302" spans="1:15">
      <c r="A302" s="751" t="s">
        <v>2680</v>
      </c>
      <c r="B302" s="752" t="s">
        <v>628</v>
      </c>
      <c r="C302" s="753"/>
      <c r="D302" s="751">
        <v>84647</v>
      </c>
      <c r="E302" s="904" t="s">
        <v>1771</v>
      </c>
      <c r="F302" s="753" t="s">
        <v>654</v>
      </c>
      <c r="G302" s="832">
        <v>2921.72</v>
      </c>
      <c r="H302" s="832">
        <v>94.25</v>
      </c>
      <c r="I302" s="756">
        <f t="shared" si="53"/>
        <v>117.75</v>
      </c>
      <c r="J302" s="756">
        <f t="shared" si="54"/>
        <v>344032.53</v>
      </c>
      <c r="K302" s="815"/>
      <c r="N302" s="631"/>
      <c r="O302" s="408"/>
    </row>
    <row r="303" spans="1:15">
      <c r="A303" s="751" t="s">
        <v>2681</v>
      </c>
      <c r="B303" s="752" t="s">
        <v>628</v>
      </c>
      <c r="C303" s="753"/>
      <c r="D303" s="753">
        <v>79467</v>
      </c>
      <c r="E303" s="758" t="s">
        <v>890</v>
      </c>
      <c r="F303" s="753" t="s">
        <v>810</v>
      </c>
      <c r="G303" s="832">
        <v>1902.7</v>
      </c>
      <c r="H303" s="832">
        <v>10.45</v>
      </c>
      <c r="I303" s="756">
        <f t="shared" si="53"/>
        <v>13.06</v>
      </c>
      <c r="J303" s="756">
        <f t="shared" si="54"/>
        <v>24849.26</v>
      </c>
      <c r="K303" s="757"/>
      <c r="N303" s="631"/>
      <c r="O303" s="408"/>
    </row>
    <row r="304" spans="1:15" ht="15.6" customHeight="1">
      <c r="A304" s="767" t="s">
        <v>891</v>
      </c>
      <c r="B304" s="768"/>
      <c r="C304" s="769"/>
      <c r="D304" s="769"/>
      <c r="E304" s="769"/>
      <c r="F304" s="769"/>
      <c r="G304" s="832"/>
      <c r="H304" s="832"/>
      <c r="I304" s="832"/>
      <c r="J304" s="888">
        <f>SUBTOTAL(109,J295:J303)</f>
        <v>1783611.9699999997</v>
      </c>
      <c r="K304" s="757"/>
      <c r="M304" s="730">
        <f>'[22]Planilha Orç'!$J$304</f>
        <v>1196453.7500000002</v>
      </c>
      <c r="N304" s="631">
        <f>+J304-M304</f>
        <v>587158.21999999951</v>
      </c>
      <c r="O304" s="408"/>
    </row>
    <row r="305" spans="1:15" ht="16.2" customHeight="1" thickBot="1">
      <c r="A305" s="889" t="s">
        <v>2846</v>
      </c>
      <c r="B305" s="890"/>
      <c r="C305" s="891"/>
      <c r="D305" s="891"/>
      <c r="E305" s="891"/>
      <c r="F305" s="891"/>
      <c r="G305" s="891"/>
      <c r="H305" s="892"/>
      <c r="I305" s="893"/>
      <c r="J305" s="894">
        <f>SUBTOTAL(109,J263:J303)</f>
        <v>8219775.5900000008</v>
      </c>
      <c r="K305" s="757"/>
      <c r="N305" s="631"/>
      <c r="O305" s="408"/>
    </row>
    <row r="306" spans="1:15" ht="16.2" customHeight="1" thickBot="1">
      <c r="A306" s="895">
        <v>7</v>
      </c>
      <c r="B306" s="896" t="s">
        <v>892</v>
      </c>
      <c r="C306" s="843"/>
      <c r="D306" s="843"/>
      <c r="E306" s="843"/>
      <c r="F306" s="843"/>
      <c r="G306" s="898"/>
      <c r="H306" s="898"/>
      <c r="I306" s="898"/>
      <c r="J306" s="899"/>
      <c r="K306" s="746">
        <f>SUBTOTAL(109,K307:K325)</f>
        <v>6.7579683645156707E-2</v>
      </c>
      <c r="N306" s="631"/>
      <c r="O306" s="408"/>
    </row>
    <row r="307" spans="1:15" ht="15.6" customHeight="1">
      <c r="A307" s="847" t="s">
        <v>180</v>
      </c>
      <c r="B307" s="848" t="s">
        <v>893</v>
      </c>
      <c r="C307" s="849"/>
      <c r="D307" s="849"/>
      <c r="E307" s="849"/>
      <c r="F307" s="849"/>
      <c r="G307" s="849"/>
      <c r="H307" s="849"/>
      <c r="I307" s="849"/>
      <c r="J307" s="850"/>
      <c r="K307" s="746">
        <f>+J321/$J$463</f>
        <v>6.3108144961019547E-2</v>
      </c>
      <c r="N307" s="631"/>
      <c r="O307" s="408"/>
    </row>
    <row r="308" spans="1:15" s="275" customFormat="1" ht="28.5" customHeight="1">
      <c r="A308" s="751" t="s">
        <v>894</v>
      </c>
      <c r="B308" s="752" t="s">
        <v>628</v>
      </c>
      <c r="C308" s="753"/>
      <c r="D308" s="751">
        <v>72183</v>
      </c>
      <c r="E308" s="758" t="s">
        <v>1722</v>
      </c>
      <c r="F308" s="751" t="s">
        <v>654</v>
      </c>
      <c r="G308" s="832">
        <v>8543.27</v>
      </c>
      <c r="H308" s="832">
        <v>70.17</v>
      </c>
      <c r="I308" s="756">
        <f t="shared" ref="I308:I320" si="55">ROUND(H308*(1+$K$471),2)</f>
        <v>87.66</v>
      </c>
      <c r="J308" s="756">
        <f t="shared" ref="J308:J320" si="56">ROUND(I308*G308,2)</f>
        <v>748903.05</v>
      </c>
      <c r="K308" s="815"/>
      <c r="L308" s="501"/>
      <c r="M308" s="730"/>
      <c r="N308" s="631"/>
      <c r="O308" s="408"/>
    </row>
    <row r="309" spans="1:15" s="275" customFormat="1">
      <c r="A309" s="751" t="s">
        <v>895</v>
      </c>
      <c r="B309" s="752" t="s">
        <v>628</v>
      </c>
      <c r="C309" s="753"/>
      <c r="D309" s="751">
        <v>87620</v>
      </c>
      <c r="E309" s="758" t="s">
        <v>896</v>
      </c>
      <c r="F309" s="751" t="s">
        <v>654</v>
      </c>
      <c r="G309" s="832">
        <v>20178.509999999998</v>
      </c>
      <c r="H309" s="832">
        <v>20</v>
      </c>
      <c r="I309" s="756">
        <f t="shared" si="55"/>
        <v>24.99</v>
      </c>
      <c r="J309" s="756">
        <f t="shared" si="56"/>
        <v>504260.96</v>
      </c>
      <c r="K309" s="936"/>
      <c r="L309" s="501"/>
      <c r="M309" s="730"/>
      <c r="N309" s="631"/>
      <c r="O309" s="408"/>
    </row>
    <row r="310" spans="1:15" s="275" customFormat="1" ht="37.799999999999997">
      <c r="A310" s="751" t="s">
        <v>897</v>
      </c>
      <c r="B310" s="752" t="s">
        <v>605</v>
      </c>
      <c r="C310" s="753"/>
      <c r="D310" s="751" t="s">
        <v>2095</v>
      </c>
      <c r="E310" s="758" t="s">
        <v>2887</v>
      </c>
      <c r="F310" s="751" t="s">
        <v>654</v>
      </c>
      <c r="G310" s="832">
        <v>13345.33</v>
      </c>
      <c r="H310" s="832">
        <v>127.72999999999999</v>
      </c>
      <c r="I310" s="756">
        <f t="shared" si="55"/>
        <v>159.57</v>
      </c>
      <c r="J310" s="756">
        <f t="shared" si="56"/>
        <v>2129514.31</v>
      </c>
      <c r="K310" s="936"/>
      <c r="L310" s="501"/>
      <c r="M310" s="730"/>
      <c r="N310" s="631"/>
      <c r="O310" s="408"/>
    </row>
    <row r="311" spans="1:15" s="275" customFormat="1">
      <c r="A311" s="751" t="s">
        <v>898</v>
      </c>
      <c r="B311" s="752" t="s">
        <v>605</v>
      </c>
      <c r="C311" s="753"/>
      <c r="D311" s="751" t="s">
        <v>2100</v>
      </c>
      <c r="E311" s="758" t="s">
        <v>2879</v>
      </c>
      <c r="F311" s="751" t="s">
        <v>810</v>
      </c>
      <c r="G311" s="832">
        <v>10391.59</v>
      </c>
      <c r="H311" s="832">
        <v>23.69</v>
      </c>
      <c r="I311" s="756">
        <f t="shared" si="55"/>
        <v>29.6</v>
      </c>
      <c r="J311" s="756">
        <f t="shared" si="56"/>
        <v>307591.06</v>
      </c>
      <c r="K311" s="757"/>
      <c r="L311" s="501"/>
      <c r="M311" s="730"/>
      <c r="N311" s="631"/>
      <c r="O311" s="408"/>
    </row>
    <row r="312" spans="1:15" s="275" customFormat="1" ht="25.2">
      <c r="A312" s="751" t="s">
        <v>899</v>
      </c>
      <c r="B312" s="752" t="s">
        <v>628</v>
      </c>
      <c r="C312" s="753"/>
      <c r="D312" s="751">
        <v>84190</v>
      </c>
      <c r="E312" s="758" t="s">
        <v>2308</v>
      </c>
      <c r="F312" s="751" t="s">
        <v>1535</v>
      </c>
      <c r="G312" s="832">
        <v>4809.32</v>
      </c>
      <c r="H312" s="832">
        <v>302.83</v>
      </c>
      <c r="I312" s="756">
        <f t="shared" si="55"/>
        <v>378.33</v>
      </c>
      <c r="J312" s="756">
        <f t="shared" si="56"/>
        <v>1819510.04</v>
      </c>
      <c r="K312" s="757"/>
      <c r="L312" s="501"/>
      <c r="M312" s="730"/>
      <c r="N312" s="631"/>
      <c r="O312" s="408"/>
    </row>
    <row r="313" spans="1:15" s="275" customFormat="1" ht="25.2">
      <c r="A313" s="751" t="s">
        <v>900</v>
      </c>
      <c r="B313" s="752" t="s">
        <v>628</v>
      </c>
      <c r="C313" s="753"/>
      <c r="D313" s="751" t="s">
        <v>2310</v>
      </c>
      <c r="E313" s="758" t="s">
        <v>2309</v>
      </c>
      <c r="F313" s="751" t="s">
        <v>1535</v>
      </c>
      <c r="G313" s="832">
        <v>1510.13</v>
      </c>
      <c r="H313" s="832">
        <v>28.91</v>
      </c>
      <c r="I313" s="756">
        <f t="shared" si="55"/>
        <v>36.119999999999997</v>
      </c>
      <c r="J313" s="756">
        <f t="shared" si="56"/>
        <v>54545.9</v>
      </c>
      <c r="K313" s="757"/>
      <c r="L313" s="501"/>
      <c r="M313" s="730"/>
      <c r="N313" s="631"/>
      <c r="O313" s="408"/>
    </row>
    <row r="314" spans="1:15" s="275" customFormat="1">
      <c r="A314" s="751" t="s">
        <v>1712</v>
      </c>
      <c r="B314" s="752" t="s">
        <v>628</v>
      </c>
      <c r="C314" s="753"/>
      <c r="D314" s="751">
        <v>84179</v>
      </c>
      <c r="E314" s="758" t="s">
        <v>2121</v>
      </c>
      <c r="F314" s="751" t="s">
        <v>607</v>
      </c>
      <c r="G314" s="832">
        <v>209.18</v>
      </c>
      <c r="H314" s="832">
        <v>133.25</v>
      </c>
      <c r="I314" s="756">
        <f t="shared" si="55"/>
        <v>166.47</v>
      </c>
      <c r="J314" s="756">
        <f t="shared" si="56"/>
        <v>34822.19</v>
      </c>
      <c r="K314" s="757"/>
      <c r="L314" s="501"/>
      <c r="M314" s="730"/>
      <c r="N314" s="631"/>
      <c r="O314" s="408"/>
    </row>
    <row r="315" spans="1:15" s="275" customFormat="1">
      <c r="A315" s="751" t="s">
        <v>1713</v>
      </c>
      <c r="B315" s="752" t="s">
        <v>2422</v>
      </c>
      <c r="C315" s="751"/>
      <c r="D315" s="751" t="s">
        <v>1793</v>
      </c>
      <c r="E315" s="758" t="s">
        <v>2481</v>
      </c>
      <c r="F315" s="782" t="s">
        <v>654</v>
      </c>
      <c r="G315" s="832">
        <v>126.9</v>
      </c>
      <c r="H315" s="832">
        <v>198.69</v>
      </c>
      <c r="I315" s="756">
        <f t="shared" si="55"/>
        <v>248.22</v>
      </c>
      <c r="J315" s="756">
        <f t="shared" si="56"/>
        <v>31499.119999999999</v>
      </c>
      <c r="K315" s="757"/>
      <c r="L315" s="501"/>
      <c r="M315" s="730"/>
      <c r="N315" s="631"/>
      <c r="O315" s="408"/>
    </row>
    <row r="316" spans="1:15" s="275" customFormat="1" ht="25.2">
      <c r="A316" s="751" t="s">
        <v>2122</v>
      </c>
      <c r="B316" s="752" t="s">
        <v>2422</v>
      </c>
      <c r="C316" s="751"/>
      <c r="D316" s="751" t="s">
        <v>1793</v>
      </c>
      <c r="E316" s="758" t="s">
        <v>1723</v>
      </c>
      <c r="F316" s="782" t="s">
        <v>654</v>
      </c>
      <c r="G316" s="832">
        <v>108.12</v>
      </c>
      <c r="H316" s="832">
        <v>198.69</v>
      </c>
      <c r="I316" s="756">
        <f t="shared" si="55"/>
        <v>248.22</v>
      </c>
      <c r="J316" s="756">
        <f t="shared" si="56"/>
        <v>26837.55</v>
      </c>
      <c r="K316" s="757"/>
      <c r="L316" s="501"/>
      <c r="M316" s="730"/>
      <c r="N316" s="631"/>
      <c r="O316" s="408"/>
    </row>
    <row r="317" spans="1:15" s="275" customFormat="1">
      <c r="A317" s="751" t="s">
        <v>2313</v>
      </c>
      <c r="B317" s="752" t="s">
        <v>2422</v>
      </c>
      <c r="C317" s="751"/>
      <c r="D317" s="751" t="s">
        <v>2118</v>
      </c>
      <c r="E317" s="758" t="s">
        <v>1714</v>
      </c>
      <c r="F317" s="937" t="s">
        <v>607</v>
      </c>
      <c r="G317" s="832">
        <v>92.5</v>
      </c>
      <c r="H317" s="832">
        <v>174.54</v>
      </c>
      <c r="I317" s="756">
        <f t="shared" si="55"/>
        <v>218.05</v>
      </c>
      <c r="J317" s="756">
        <f t="shared" si="56"/>
        <v>20169.63</v>
      </c>
      <c r="K317" s="757"/>
      <c r="L317" s="501"/>
      <c r="M317" s="730"/>
      <c r="N317" s="631"/>
      <c r="O317" s="408"/>
    </row>
    <row r="318" spans="1:15" s="275" customFormat="1" ht="25.2">
      <c r="A318" s="751" t="s">
        <v>2314</v>
      </c>
      <c r="B318" s="752" t="s">
        <v>2422</v>
      </c>
      <c r="C318" s="751"/>
      <c r="D318" s="751" t="s">
        <v>2118</v>
      </c>
      <c r="E318" s="758" t="s">
        <v>2888</v>
      </c>
      <c r="F318" s="937" t="s">
        <v>654</v>
      </c>
      <c r="G318" s="832">
        <v>1687.77</v>
      </c>
      <c r="H318" s="832">
        <v>174.54</v>
      </c>
      <c r="I318" s="756">
        <f t="shared" si="55"/>
        <v>218.05</v>
      </c>
      <c r="J318" s="756">
        <f t="shared" si="56"/>
        <v>368018.25</v>
      </c>
      <c r="K318" s="757"/>
      <c r="L318" s="501"/>
      <c r="M318" s="730"/>
      <c r="N318" s="631"/>
      <c r="O318" s="408"/>
    </row>
    <row r="319" spans="1:15" s="275" customFormat="1" ht="25.2">
      <c r="A319" s="751" t="s">
        <v>2315</v>
      </c>
      <c r="B319" s="752" t="s">
        <v>605</v>
      </c>
      <c r="C319" s="751"/>
      <c r="D319" s="751" t="s">
        <v>2267</v>
      </c>
      <c r="E319" s="758" t="s">
        <v>2259</v>
      </c>
      <c r="F319" s="937" t="s">
        <v>1535</v>
      </c>
      <c r="G319" s="832">
        <v>195</v>
      </c>
      <c r="H319" s="832">
        <v>197.57</v>
      </c>
      <c r="I319" s="756">
        <f t="shared" si="55"/>
        <v>246.82</v>
      </c>
      <c r="J319" s="756">
        <f t="shared" si="56"/>
        <v>48129.9</v>
      </c>
      <c r="K319" s="757"/>
      <c r="L319" s="501"/>
      <c r="M319" s="730"/>
      <c r="N319" s="631"/>
      <c r="O319" s="408"/>
    </row>
    <row r="320" spans="1:15" s="275" customFormat="1" ht="25.2">
      <c r="A320" s="751" t="s">
        <v>2368</v>
      </c>
      <c r="B320" s="752" t="s">
        <v>605</v>
      </c>
      <c r="C320" s="751"/>
      <c r="D320" s="751" t="s">
        <v>2366</v>
      </c>
      <c r="E320" s="758" t="s">
        <v>2367</v>
      </c>
      <c r="F320" s="937" t="s">
        <v>607</v>
      </c>
      <c r="G320" s="832">
        <v>17.16</v>
      </c>
      <c r="H320" s="832">
        <v>416.34</v>
      </c>
      <c r="I320" s="756">
        <f t="shared" si="55"/>
        <v>520.13</v>
      </c>
      <c r="J320" s="756">
        <f t="shared" si="56"/>
        <v>8925.43</v>
      </c>
      <c r="K320" s="757"/>
      <c r="L320" s="501"/>
      <c r="M320" s="730"/>
      <c r="N320" s="631"/>
      <c r="O320" s="408"/>
    </row>
    <row r="321" spans="1:15" s="275" customFormat="1" ht="15.6" customHeight="1">
      <c r="A321" s="767" t="s">
        <v>2847</v>
      </c>
      <c r="B321" s="768"/>
      <c r="C321" s="769"/>
      <c r="D321" s="769"/>
      <c r="E321" s="769"/>
      <c r="F321" s="769"/>
      <c r="G321" s="832"/>
      <c r="H321" s="832"/>
      <c r="I321" s="832"/>
      <c r="J321" s="888">
        <f>SUBTOTAL(109,J308:J320)</f>
        <v>6102727.3900000006</v>
      </c>
      <c r="K321" s="757"/>
      <c r="L321" s="501"/>
      <c r="M321" s="730">
        <f>'[22]Planilha Orç'!$J$321</f>
        <v>4397137.8899999997</v>
      </c>
      <c r="N321" s="631">
        <f>+J321-M321</f>
        <v>1705589.5000000009</v>
      </c>
      <c r="O321" s="408"/>
    </row>
    <row r="322" spans="1:15" s="275" customFormat="1" ht="16.5" customHeight="1">
      <c r="A322" s="847" t="s">
        <v>181</v>
      </c>
      <c r="B322" s="796" t="s">
        <v>2848</v>
      </c>
      <c r="C322" s="797"/>
      <c r="D322" s="797"/>
      <c r="E322" s="797"/>
      <c r="F322" s="797"/>
      <c r="G322" s="797"/>
      <c r="H322" s="797"/>
      <c r="I322" s="797"/>
      <c r="J322" s="852"/>
      <c r="K322" s="746">
        <f>+J325/$J$463</f>
        <v>4.4715386841371538E-3</v>
      </c>
      <c r="L322" s="501"/>
      <c r="M322" s="730"/>
      <c r="N322" s="631"/>
      <c r="O322" s="408"/>
    </row>
    <row r="323" spans="1:15" s="275" customFormat="1">
      <c r="A323" s="751" t="s">
        <v>2683</v>
      </c>
      <c r="B323" s="752" t="s">
        <v>605</v>
      </c>
      <c r="C323" s="753"/>
      <c r="D323" s="751" t="s">
        <v>2124</v>
      </c>
      <c r="E323" s="758" t="s">
        <v>1504</v>
      </c>
      <c r="F323" s="753" t="s">
        <v>654</v>
      </c>
      <c r="G323" s="832">
        <v>309.08</v>
      </c>
      <c r="H323" s="832">
        <v>503.48</v>
      </c>
      <c r="I323" s="756">
        <f>ROUND(H323*(1+$K$471),2)</f>
        <v>629</v>
      </c>
      <c r="J323" s="756">
        <f t="shared" ref="J323:J324" si="57">ROUND(I323*G323,2)</f>
        <v>194411.32</v>
      </c>
      <c r="K323" s="757"/>
      <c r="L323" s="501"/>
      <c r="M323" s="730"/>
      <c r="N323" s="631"/>
      <c r="O323" s="408"/>
    </row>
    <row r="324" spans="1:15" s="275" customFormat="1">
      <c r="A324" s="751" t="s">
        <v>901</v>
      </c>
      <c r="B324" s="752" t="s">
        <v>605</v>
      </c>
      <c r="C324" s="933"/>
      <c r="D324" s="934" t="s">
        <v>2285</v>
      </c>
      <c r="E324" s="758" t="s">
        <v>1818</v>
      </c>
      <c r="F324" s="938" t="s">
        <v>1535</v>
      </c>
      <c r="G324" s="832">
        <v>156.51</v>
      </c>
      <c r="H324" s="832">
        <v>1217.2099999999998</v>
      </c>
      <c r="I324" s="756">
        <f>ROUND(H324*(1+$K$471),2)</f>
        <v>1520.66</v>
      </c>
      <c r="J324" s="756">
        <f t="shared" si="57"/>
        <v>237998.5</v>
      </c>
      <c r="K324" s="757"/>
      <c r="L324" s="501"/>
      <c r="M324" s="730"/>
      <c r="N324" s="631"/>
      <c r="O324" s="408"/>
    </row>
    <row r="325" spans="1:15" s="275" customFormat="1" ht="16.5" customHeight="1">
      <c r="A325" s="767" t="s">
        <v>2849</v>
      </c>
      <c r="B325" s="768"/>
      <c r="C325" s="769"/>
      <c r="D325" s="769"/>
      <c r="E325" s="769"/>
      <c r="F325" s="769"/>
      <c r="G325" s="832"/>
      <c r="H325" s="832"/>
      <c r="I325" s="832"/>
      <c r="J325" s="888">
        <f>SUBTOTAL(109,J323:J324)</f>
        <v>432409.82</v>
      </c>
      <c r="K325" s="757"/>
      <c r="L325" s="501"/>
      <c r="M325" s="730">
        <f>'[22]Planilha Orç'!$J$325</f>
        <v>333084.28000000003</v>
      </c>
      <c r="N325" s="631">
        <f>+J325-M325</f>
        <v>99325.539999999979</v>
      </c>
      <c r="O325" s="408"/>
    </row>
    <row r="326" spans="1:15" ht="16.2" customHeight="1" thickBot="1">
      <c r="A326" s="889" t="s">
        <v>2917</v>
      </c>
      <c r="B326" s="890"/>
      <c r="C326" s="891"/>
      <c r="D326" s="891"/>
      <c r="E326" s="891"/>
      <c r="F326" s="891"/>
      <c r="G326" s="891"/>
      <c r="H326" s="892"/>
      <c r="I326" s="893"/>
      <c r="J326" s="894">
        <f>SUBTOTAL(109,J308:J324)</f>
        <v>6535137.2100000009</v>
      </c>
      <c r="K326" s="757"/>
      <c r="N326" s="631"/>
      <c r="O326" s="408"/>
    </row>
    <row r="327" spans="1:15" s="274" customFormat="1" ht="16.5" customHeight="1" thickBot="1">
      <c r="A327" s="895">
        <v>8</v>
      </c>
      <c r="B327" s="896" t="s">
        <v>902</v>
      </c>
      <c r="C327" s="843"/>
      <c r="D327" s="843"/>
      <c r="E327" s="843"/>
      <c r="F327" s="843"/>
      <c r="G327" s="898"/>
      <c r="H327" s="898"/>
      <c r="I327" s="898"/>
      <c r="J327" s="899"/>
      <c r="K327" s="746">
        <f>SUBTOTAL(109,K328:K332)</f>
        <v>1.2972995349610864E-2</v>
      </c>
      <c r="L327" s="501"/>
      <c r="M327" s="730"/>
      <c r="N327" s="631"/>
      <c r="O327" s="408"/>
    </row>
    <row r="328" spans="1:15">
      <c r="A328" s="751" t="s">
        <v>183</v>
      </c>
      <c r="B328" s="752" t="s">
        <v>628</v>
      </c>
      <c r="C328" s="753"/>
      <c r="D328" s="751">
        <v>83737</v>
      </c>
      <c r="E328" s="758" t="s">
        <v>903</v>
      </c>
      <c r="F328" s="753" t="s">
        <v>654</v>
      </c>
      <c r="G328" s="832">
        <v>11914.27</v>
      </c>
      <c r="H328" s="832">
        <v>55.49</v>
      </c>
      <c r="I328" s="756">
        <f>ROUND(H328*(1+$K$471),2)</f>
        <v>69.319999999999993</v>
      </c>
      <c r="J328" s="756">
        <f t="shared" ref="J328:J331" si="58">ROUND(I328*G328,2)</f>
        <v>825897.2</v>
      </c>
      <c r="K328" s="757"/>
      <c r="N328" s="631"/>
      <c r="O328" s="408"/>
    </row>
    <row r="329" spans="1:15" ht="25.2">
      <c r="A329" s="751" t="s">
        <v>184</v>
      </c>
      <c r="B329" s="752" t="s">
        <v>628</v>
      </c>
      <c r="C329" s="939"/>
      <c r="D329" s="940">
        <v>83749</v>
      </c>
      <c r="E329" s="904" t="s">
        <v>904</v>
      </c>
      <c r="F329" s="753" t="s">
        <v>654</v>
      </c>
      <c r="G329" s="832">
        <v>11914.27</v>
      </c>
      <c r="H329" s="832">
        <v>24.61</v>
      </c>
      <c r="I329" s="756">
        <f>ROUND(H329*(1+$K$471),2)</f>
        <v>30.75</v>
      </c>
      <c r="J329" s="756">
        <f t="shared" si="58"/>
        <v>366363.8</v>
      </c>
      <c r="K329" s="757"/>
      <c r="N329" s="631"/>
      <c r="O329" s="408"/>
    </row>
    <row r="330" spans="1:15">
      <c r="A330" s="751" t="s">
        <v>185</v>
      </c>
      <c r="B330" s="752" t="s">
        <v>628</v>
      </c>
      <c r="C330" s="753"/>
      <c r="D330" s="751">
        <v>83737</v>
      </c>
      <c r="E330" s="758" t="s">
        <v>1735</v>
      </c>
      <c r="F330" s="753" t="s">
        <v>654</v>
      </c>
      <c r="G330" s="832">
        <v>622.19000000000005</v>
      </c>
      <c r="H330" s="832">
        <v>55.49</v>
      </c>
      <c r="I330" s="756">
        <f>ROUND(H330*(1+$K$471),2)</f>
        <v>69.319999999999993</v>
      </c>
      <c r="J330" s="756">
        <f t="shared" si="58"/>
        <v>43130.21</v>
      </c>
      <c r="K330" s="757"/>
      <c r="N330" s="631"/>
      <c r="O330" s="408"/>
    </row>
    <row r="331" spans="1:15" s="275" customFormat="1" ht="25.2">
      <c r="A331" s="751" t="s">
        <v>186</v>
      </c>
      <c r="B331" s="752" t="s">
        <v>628</v>
      </c>
      <c r="C331" s="939"/>
      <c r="D331" s="940">
        <v>83749</v>
      </c>
      <c r="E331" s="904" t="s">
        <v>905</v>
      </c>
      <c r="F331" s="753" t="s">
        <v>654</v>
      </c>
      <c r="G331" s="832">
        <v>622.19000000000005</v>
      </c>
      <c r="H331" s="832">
        <v>24.61</v>
      </c>
      <c r="I331" s="756">
        <f>ROUND(H331*(1+$K$471),2)</f>
        <v>30.75</v>
      </c>
      <c r="J331" s="756">
        <f t="shared" si="58"/>
        <v>19132.34</v>
      </c>
      <c r="K331" s="757"/>
      <c r="L331" s="501"/>
      <c r="M331" s="730"/>
      <c r="N331" s="631"/>
      <c r="O331" s="408"/>
    </row>
    <row r="332" spans="1:15" s="275" customFormat="1" ht="16.5" customHeight="1" thickBot="1">
      <c r="A332" s="889" t="s">
        <v>906</v>
      </c>
      <c r="B332" s="890"/>
      <c r="C332" s="891"/>
      <c r="D332" s="891"/>
      <c r="E332" s="891"/>
      <c r="F332" s="891"/>
      <c r="G332" s="894"/>
      <c r="H332" s="894"/>
      <c r="I332" s="894"/>
      <c r="J332" s="894">
        <f>SUBTOTAL(109,J328:J331)</f>
        <v>1254523.55</v>
      </c>
      <c r="K332" s="746">
        <f>+J332/$J$463</f>
        <v>1.2972995349610864E-2</v>
      </c>
      <c r="L332" s="501"/>
      <c r="M332" s="730">
        <f>'[22]Planilha Orç'!$J$332</f>
        <v>1168072.08</v>
      </c>
      <c r="N332" s="631">
        <f>+J332-M332</f>
        <v>86451.469999999972</v>
      </c>
      <c r="O332" s="408"/>
    </row>
    <row r="333" spans="1:15" s="275" customFormat="1" ht="16.2" customHeight="1" thickBot="1">
      <c r="A333" s="895">
        <v>9</v>
      </c>
      <c r="B333" s="941" t="s">
        <v>907</v>
      </c>
      <c r="C333" s="942"/>
      <c r="D333" s="942"/>
      <c r="E333" s="942"/>
      <c r="F333" s="942"/>
      <c r="G333" s="942"/>
      <c r="H333" s="942"/>
      <c r="I333" s="942"/>
      <c r="J333" s="926"/>
      <c r="K333" s="746">
        <f>SUBTOTAL(109,K334:K385)</f>
        <v>0.28288541889662666</v>
      </c>
      <c r="L333" s="501"/>
      <c r="M333" s="730"/>
      <c r="N333" s="631"/>
      <c r="O333" s="408"/>
    </row>
    <row r="334" spans="1:15" s="275" customFormat="1">
      <c r="A334" s="847" t="s">
        <v>187</v>
      </c>
      <c r="B334" s="848" t="s">
        <v>908</v>
      </c>
      <c r="C334" s="943"/>
      <c r="D334" s="943"/>
      <c r="E334" s="943"/>
      <c r="F334" s="943"/>
      <c r="G334" s="943"/>
      <c r="H334" s="943"/>
      <c r="I334" s="943"/>
      <c r="J334" s="944"/>
      <c r="K334" s="746">
        <f>+J338/$J$463</f>
        <v>0.20040242990063217</v>
      </c>
      <c r="L334" s="501"/>
      <c r="M334" s="730"/>
      <c r="N334" s="631"/>
      <c r="O334" s="408"/>
    </row>
    <row r="335" spans="1:15" s="275" customFormat="1" ht="29.4" customHeight="1">
      <c r="A335" s="751" t="s">
        <v>909</v>
      </c>
      <c r="B335" s="752" t="s">
        <v>1503</v>
      </c>
      <c r="C335" s="753"/>
      <c r="D335" s="751"/>
      <c r="E335" s="758" t="s">
        <v>1822</v>
      </c>
      <c r="F335" s="751" t="s">
        <v>607</v>
      </c>
      <c r="G335" s="832">
        <v>23205.87</v>
      </c>
      <c r="H335" s="832">
        <v>124.35</v>
      </c>
      <c r="I335" s="756">
        <f>ROUND(H335*(1+$K$471),2)</f>
        <v>155.35</v>
      </c>
      <c r="J335" s="756">
        <f t="shared" ref="J335:J337" si="59">ROUND(I335*G335,2)</f>
        <v>3605031.9</v>
      </c>
      <c r="K335" s="815"/>
      <c r="L335" s="501"/>
      <c r="M335" s="730"/>
      <c r="N335" s="631"/>
      <c r="O335" s="408"/>
    </row>
    <row r="336" spans="1:15" s="275" customFormat="1" ht="25.2">
      <c r="A336" s="751" t="s">
        <v>1798</v>
      </c>
      <c r="B336" s="752" t="s">
        <v>1503</v>
      </c>
      <c r="C336" s="753"/>
      <c r="D336" s="751"/>
      <c r="E336" s="758" t="s">
        <v>1823</v>
      </c>
      <c r="F336" s="751" t="s">
        <v>607</v>
      </c>
      <c r="G336" s="832">
        <v>23205.87</v>
      </c>
      <c r="H336" s="832">
        <v>437.55</v>
      </c>
      <c r="I336" s="756">
        <f>ROUND(H336*(1+$K$471),2)</f>
        <v>546.63</v>
      </c>
      <c r="J336" s="756">
        <f t="shared" si="59"/>
        <v>12685024.720000001</v>
      </c>
      <c r="K336" s="815"/>
      <c r="L336" s="501"/>
      <c r="M336" s="730"/>
      <c r="N336" s="631"/>
      <c r="O336" s="408"/>
    </row>
    <row r="337" spans="1:15" s="275" customFormat="1" ht="37.799999999999997">
      <c r="A337" s="751" t="s">
        <v>1799</v>
      </c>
      <c r="B337" s="752" t="s">
        <v>1503</v>
      </c>
      <c r="C337" s="753"/>
      <c r="D337" s="751"/>
      <c r="E337" s="758" t="s">
        <v>2910</v>
      </c>
      <c r="F337" s="751" t="s">
        <v>607</v>
      </c>
      <c r="G337" s="832">
        <v>23205.87</v>
      </c>
      <c r="H337" s="832">
        <v>106.56</v>
      </c>
      <c r="I337" s="756">
        <f>ROUND(H337*(1+$K$471),2)</f>
        <v>133.13</v>
      </c>
      <c r="J337" s="756">
        <f t="shared" si="59"/>
        <v>3089397.47</v>
      </c>
      <c r="K337" s="815"/>
      <c r="L337" s="501"/>
      <c r="M337" s="730"/>
      <c r="N337" s="631"/>
      <c r="O337" s="408"/>
    </row>
    <row r="338" spans="1:15" s="275" customFormat="1" ht="15.6" customHeight="1">
      <c r="A338" s="767" t="s">
        <v>2854</v>
      </c>
      <c r="B338" s="768"/>
      <c r="C338" s="769"/>
      <c r="D338" s="769"/>
      <c r="E338" s="769"/>
      <c r="F338" s="769"/>
      <c r="G338" s="769"/>
      <c r="H338" s="770"/>
      <c r="I338" s="770"/>
      <c r="J338" s="888">
        <f>SUBTOTAL(109,J335:J337)</f>
        <v>19379454.09</v>
      </c>
      <c r="K338" s="757"/>
      <c r="L338" s="501"/>
      <c r="M338" s="730">
        <f>'[22]Planilha Orç'!$J$338</f>
        <v>13930443.550000001</v>
      </c>
      <c r="N338" s="631">
        <f>+J338-M338</f>
        <v>5449010.5399999991</v>
      </c>
      <c r="O338" s="408"/>
    </row>
    <row r="339" spans="1:15" s="275" customFormat="1" ht="15.6" customHeight="1">
      <c r="A339" s="945" t="s">
        <v>188</v>
      </c>
      <c r="B339" s="946" t="s">
        <v>2851</v>
      </c>
      <c r="C339" s="825"/>
      <c r="D339" s="825"/>
      <c r="E339" s="825"/>
      <c r="F339" s="825"/>
      <c r="G339" s="825"/>
      <c r="H339" s="825"/>
      <c r="I339" s="825"/>
      <c r="J339" s="947"/>
      <c r="K339" s="746">
        <f>+J341/$J$463</f>
        <v>2.2547703129472546E-2</v>
      </c>
      <c r="L339" s="501"/>
      <c r="M339" s="730"/>
      <c r="N339" s="631"/>
      <c r="O339" s="408"/>
    </row>
    <row r="340" spans="1:15" s="275" customFormat="1" ht="25.2">
      <c r="A340" s="751" t="s">
        <v>910</v>
      </c>
      <c r="B340" s="752" t="s">
        <v>1503</v>
      </c>
      <c r="C340" s="753"/>
      <c r="D340" s="751"/>
      <c r="E340" s="758" t="s">
        <v>2792</v>
      </c>
      <c r="F340" s="751" t="s">
        <v>607</v>
      </c>
      <c r="G340" s="832">
        <v>23205.87</v>
      </c>
      <c r="H340" s="832">
        <v>75.209999999999994</v>
      </c>
      <c r="I340" s="756">
        <f>ROUND(H340*(1+$K$471),2)</f>
        <v>93.96</v>
      </c>
      <c r="J340" s="756">
        <f t="shared" ref="J340" si="60">ROUND(I340*G340,2)</f>
        <v>2180423.5499999998</v>
      </c>
      <c r="K340" s="757"/>
      <c r="L340" s="501"/>
      <c r="M340" s="730"/>
      <c r="N340" s="631"/>
      <c r="O340" s="408"/>
    </row>
    <row r="341" spans="1:15" s="275" customFormat="1" ht="15.6" customHeight="1">
      <c r="A341" s="767" t="s">
        <v>2852</v>
      </c>
      <c r="B341" s="768"/>
      <c r="C341" s="769"/>
      <c r="D341" s="769"/>
      <c r="E341" s="769"/>
      <c r="F341" s="769"/>
      <c r="G341" s="832"/>
      <c r="H341" s="832"/>
      <c r="I341" s="832"/>
      <c r="J341" s="888">
        <f>SUBTOTAL(109,J340)</f>
        <v>2180423.5499999998</v>
      </c>
      <c r="K341" s="757"/>
      <c r="L341" s="501"/>
      <c r="M341" s="730">
        <f>'[22]Planilha Orç'!$J$341</f>
        <v>1427232.67</v>
      </c>
      <c r="N341" s="631">
        <f>+J341-M341</f>
        <v>753190.87999999989</v>
      </c>
      <c r="O341" s="408"/>
    </row>
    <row r="342" spans="1:15" s="275" customFormat="1" ht="15.6" customHeight="1">
      <c r="A342" s="945" t="s">
        <v>189</v>
      </c>
      <c r="B342" s="946" t="s">
        <v>911</v>
      </c>
      <c r="C342" s="825"/>
      <c r="D342" s="825"/>
      <c r="E342" s="825"/>
      <c r="F342" s="825"/>
      <c r="G342" s="825"/>
      <c r="H342" s="825"/>
      <c r="I342" s="825"/>
      <c r="J342" s="947"/>
      <c r="K342" s="746">
        <f>+J344/$J$463</f>
        <v>7.5854926955456091E-3</v>
      </c>
      <c r="L342" s="501"/>
      <c r="M342" s="730"/>
      <c r="N342" s="631"/>
      <c r="O342" s="408"/>
    </row>
    <row r="343" spans="1:15" s="275" customFormat="1">
      <c r="A343" s="751" t="s">
        <v>912</v>
      </c>
      <c r="B343" s="752" t="s">
        <v>1503</v>
      </c>
      <c r="C343" s="753"/>
      <c r="D343" s="751"/>
      <c r="E343" s="758" t="s">
        <v>2821</v>
      </c>
      <c r="F343" s="751" t="s">
        <v>607</v>
      </c>
      <c r="G343" s="832">
        <v>23205.87</v>
      </c>
      <c r="H343" s="832">
        <v>25.3</v>
      </c>
      <c r="I343" s="756">
        <f>ROUND(H343*(1+$K$471),2)</f>
        <v>31.61</v>
      </c>
      <c r="J343" s="756">
        <f t="shared" ref="J343" si="61">ROUND(I343*G343,2)</f>
        <v>733537.55</v>
      </c>
      <c r="K343" s="757"/>
      <c r="L343" s="501"/>
      <c r="M343" s="730"/>
      <c r="N343" s="631"/>
      <c r="O343" s="408"/>
    </row>
    <row r="344" spans="1:15" s="275" customFormat="1" ht="15.6" customHeight="1">
      <c r="A344" s="767" t="s">
        <v>2853</v>
      </c>
      <c r="B344" s="768"/>
      <c r="C344" s="769"/>
      <c r="D344" s="769"/>
      <c r="E344" s="769"/>
      <c r="F344" s="769"/>
      <c r="G344" s="832"/>
      <c r="H344" s="832"/>
      <c r="I344" s="832"/>
      <c r="J344" s="888">
        <f>SUBTOTAL(109,J343)</f>
        <v>733537.55</v>
      </c>
      <c r="K344" s="757"/>
      <c r="L344" s="501"/>
      <c r="M344" s="730">
        <f>'[22]Planilha Orç'!$J$344</f>
        <v>480149.26</v>
      </c>
      <c r="N344" s="631">
        <f>+J344-M344</f>
        <v>253388.29000000004</v>
      </c>
      <c r="O344" s="408"/>
    </row>
    <row r="345" spans="1:15" s="275" customFormat="1" ht="15.6" customHeight="1">
      <c r="A345" s="945" t="s">
        <v>190</v>
      </c>
      <c r="B345" s="946" t="s">
        <v>1825</v>
      </c>
      <c r="C345" s="825"/>
      <c r="D345" s="825"/>
      <c r="E345" s="825"/>
      <c r="F345" s="825"/>
      <c r="G345" s="825"/>
      <c r="H345" s="825"/>
      <c r="I345" s="825"/>
      <c r="J345" s="947"/>
      <c r="K345" s="746">
        <f>+J347/$J$463</f>
        <v>1.8498749896928669E-2</v>
      </c>
      <c r="L345" s="501"/>
      <c r="M345" s="730"/>
      <c r="N345" s="631"/>
      <c r="O345" s="408"/>
    </row>
    <row r="346" spans="1:15" s="275" customFormat="1" ht="42.75" customHeight="1">
      <c r="A346" s="751" t="s">
        <v>913</v>
      </c>
      <c r="B346" s="752" t="s">
        <v>1503</v>
      </c>
      <c r="C346" s="753"/>
      <c r="D346" s="751"/>
      <c r="E346" s="758" t="s">
        <v>2791</v>
      </c>
      <c r="F346" s="751" t="s">
        <v>607</v>
      </c>
      <c r="G346" s="832">
        <v>15691.92</v>
      </c>
      <c r="H346" s="832">
        <v>91.25</v>
      </c>
      <c r="I346" s="756">
        <f>ROUND(H346*(1+$K$471),2)</f>
        <v>114</v>
      </c>
      <c r="J346" s="756">
        <f t="shared" ref="J346" si="62">ROUND(I346*G346,2)</f>
        <v>1788878.88</v>
      </c>
      <c r="K346" s="757"/>
      <c r="L346" s="501"/>
      <c r="M346" s="730"/>
      <c r="N346" s="631"/>
      <c r="O346" s="408"/>
    </row>
    <row r="347" spans="1:15" s="275" customFormat="1" ht="15.6" customHeight="1">
      <c r="A347" s="767" t="s">
        <v>2850</v>
      </c>
      <c r="B347" s="768"/>
      <c r="C347" s="769"/>
      <c r="D347" s="769"/>
      <c r="E347" s="769"/>
      <c r="F347" s="769"/>
      <c r="G347" s="832"/>
      <c r="H347" s="832"/>
      <c r="I347" s="832"/>
      <c r="J347" s="888">
        <f>SUBTOTAL(109,J346)</f>
        <v>1788878.88</v>
      </c>
      <c r="K347" s="757"/>
      <c r="L347" s="501"/>
      <c r="M347" s="730">
        <f>'[22]Planilha Orç'!$J$347</f>
        <v>1412775.78</v>
      </c>
      <c r="N347" s="631">
        <f>+J347-M347</f>
        <v>376103.09999999986</v>
      </c>
      <c r="O347" s="408"/>
    </row>
    <row r="348" spans="1:15" s="275" customFormat="1" ht="15.6" customHeight="1">
      <c r="A348" s="945" t="s">
        <v>914</v>
      </c>
      <c r="B348" s="946" t="s">
        <v>918</v>
      </c>
      <c r="C348" s="825"/>
      <c r="D348" s="825"/>
      <c r="E348" s="825"/>
      <c r="F348" s="825"/>
      <c r="G348" s="825"/>
      <c r="H348" s="825"/>
      <c r="I348" s="825"/>
      <c r="J348" s="947"/>
      <c r="K348" s="746">
        <f>+J350/$J$463</f>
        <v>2.5986491744153465E-2</v>
      </c>
      <c r="L348" s="501"/>
      <c r="M348" s="730"/>
      <c r="N348" s="631"/>
      <c r="O348" s="408"/>
    </row>
    <row r="349" spans="1:15" s="275" customFormat="1" ht="37.799999999999997">
      <c r="A349" s="751" t="s">
        <v>916</v>
      </c>
      <c r="B349" s="752" t="s">
        <v>1503</v>
      </c>
      <c r="C349" s="753"/>
      <c r="D349" s="867"/>
      <c r="E349" s="758" t="s">
        <v>1824</v>
      </c>
      <c r="F349" s="751" t="s">
        <v>607</v>
      </c>
      <c r="G349" s="832">
        <v>23205.87</v>
      </c>
      <c r="H349" s="832">
        <v>86.68</v>
      </c>
      <c r="I349" s="756">
        <f>ROUND(H349*(1+$K$471),2)</f>
        <v>108.29</v>
      </c>
      <c r="J349" s="756">
        <f t="shared" ref="J349" si="63">ROUND(I349*G349,2)</f>
        <v>2512963.66</v>
      </c>
      <c r="K349" s="757"/>
      <c r="L349" s="501"/>
      <c r="M349" s="730"/>
      <c r="N349" s="631"/>
      <c r="O349" s="408"/>
    </row>
    <row r="350" spans="1:15" ht="15.6" customHeight="1">
      <c r="A350" s="767" t="s">
        <v>920</v>
      </c>
      <c r="B350" s="768"/>
      <c r="C350" s="769"/>
      <c r="D350" s="769"/>
      <c r="E350" s="769"/>
      <c r="F350" s="769"/>
      <c r="G350" s="832"/>
      <c r="H350" s="832"/>
      <c r="I350" s="832"/>
      <c r="J350" s="888">
        <f>SUBTOTAL(109,J349)</f>
        <v>2512963.66</v>
      </c>
      <c r="K350" s="757"/>
      <c r="M350" s="730">
        <f>'[22]Planilha Orç'!$J$350</f>
        <v>1644902.36</v>
      </c>
      <c r="N350" s="631">
        <f>+J350-M350</f>
        <v>868061.3</v>
      </c>
      <c r="O350" s="408"/>
    </row>
    <row r="351" spans="1:15" s="275" customFormat="1" ht="16.5" customHeight="1">
      <c r="A351" s="792" t="s">
        <v>917</v>
      </c>
      <c r="B351" s="796" t="s">
        <v>921</v>
      </c>
      <c r="C351" s="797"/>
      <c r="D351" s="797"/>
      <c r="E351" s="797"/>
      <c r="F351" s="948"/>
      <c r="G351" s="949"/>
      <c r="H351" s="949"/>
      <c r="I351" s="949"/>
      <c r="J351" s="950"/>
      <c r="K351" s="746">
        <f>+J385/$J$463</f>
        <v>7.8645515298941589E-3</v>
      </c>
      <c r="L351" s="501"/>
      <c r="M351" s="730"/>
      <c r="N351" s="631"/>
      <c r="O351" s="408"/>
    </row>
    <row r="352" spans="1:15" s="275" customFormat="1" ht="37.799999999999997">
      <c r="A352" s="751" t="s">
        <v>919</v>
      </c>
      <c r="B352" s="752" t="s">
        <v>628</v>
      </c>
      <c r="C352" s="933"/>
      <c r="D352" s="934">
        <v>86932</v>
      </c>
      <c r="E352" s="758" t="s">
        <v>922</v>
      </c>
      <c r="F352" s="938" t="s">
        <v>601</v>
      </c>
      <c r="G352" s="832">
        <v>202</v>
      </c>
      <c r="H352" s="832">
        <v>318.49</v>
      </c>
      <c r="I352" s="756">
        <f t="shared" ref="I352:I384" si="64">ROUND(H352*(1+$K$471),2)</f>
        <v>397.89</v>
      </c>
      <c r="J352" s="756">
        <f t="shared" ref="J352:J384" si="65">ROUND(I352*G352,2)</f>
        <v>80373.78</v>
      </c>
      <c r="K352" s="757"/>
      <c r="L352" s="501"/>
      <c r="M352" s="730"/>
      <c r="N352" s="631"/>
      <c r="O352" s="408"/>
    </row>
    <row r="353" spans="1:15">
      <c r="A353" s="751" t="s">
        <v>2740</v>
      </c>
      <c r="B353" s="752" t="s">
        <v>605</v>
      </c>
      <c r="C353" s="933"/>
      <c r="D353" s="934" t="s">
        <v>2133</v>
      </c>
      <c r="E353" s="758" t="s">
        <v>923</v>
      </c>
      <c r="F353" s="938" t="s">
        <v>601</v>
      </c>
      <c r="G353" s="832">
        <v>202</v>
      </c>
      <c r="H353" s="832">
        <v>33.5</v>
      </c>
      <c r="I353" s="756">
        <f t="shared" si="64"/>
        <v>41.85</v>
      </c>
      <c r="J353" s="756">
        <f t="shared" si="65"/>
        <v>8453.7000000000007</v>
      </c>
      <c r="K353" s="757"/>
      <c r="N353" s="631"/>
      <c r="O353" s="408"/>
    </row>
    <row r="354" spans="1:15" s="275" customFormat="1" ht="25.2">
      <c r="A354" s="751" t="s">
        <v>2741</v>
      </c>
      <c r="B354" s="752" t="s">
        <v>628</v>
      </c>
      <c r="C354" s="933"/>
      <c r="D354" s="934" t="s">
        <v>924</v>
      </c>
      <c r="E354" s="758" t="s">
        <v>925</v>
      </c>
      <c r="F354" s="938" t="s">
        <v>601</v>
      </c>
      <c r="G354" s="832">
        <v>20</v>
      </c>
      <c r="H354" s="832">
        <v>367.35</v>
      </c>
      <c r="I354" s="756">
        <f t="shared" si="64"/>
        <v>458.93</v>
      </c>
      <c r="J354" s="756">
        <f t="shared" si="65"/>
        <v>9178.6</v>
      </c>
      <c r="K354" s="757"/>
      <c r="L354" s="501"/>
      <c r="M354" s="730"/>
      <c r="N354" s="631"/>
      <c r="O354" s="408"/>
    </row>
    <row r="355" spans="1:15">
      <c r="A355" s="751" t="s">
        <v>2742</v>
      </c>
      <c r="B355" s="752" t="s">
        <v>628</v>
      </c>
      <c r="C355" s="933"/>
      <c r="D355" s="934">
        <v>86900</v>
      </c>
      <c r="E355" s="758" t="s">
        <v>927</v>
      </c>
      <c r="F355" s="938" t="s">
        <v>601</v>
      </c>
      <c r="G355" s="832">
        <v>54</v>
      </c>
      <c r="H355" s="832">
        <v>128.06</v>
      </c>
      <c r="I355" s="756">
        <f t="shared" si="64"/>
        <v>159.99</v>
      </c>
      <c r="J355" s="756">
        <f t="shared" si="65"/>
        <v>8639.4599999999991</v>
      </c>
      <c r="K355" s="757"/>
      <c r="N355" s="631"/>
      <c r="O355" s="408"/>
    </row>
    <row r="356" spans="1:15">
      <c r="A356" s="751" t="s">
        <v>2743</v>
      </c>
      <c r="B356" s="752" t="s">
        <v>628</v>
      </c>
      <c r="C356" s="933"/>
      <c r="D356" s="934">
        <v>86901</v>
      </c>
      <c r="E356" s="758" t="s">
        <v>926</v>
      </c>
      <c r="F356" s="938" t="s">
        <v>601</v>
      </c>
      <c r="G356" s="832">
        <v>169</v>
      </c>
      <c r="H356" s="832">
        <v>90.36</v>
      </c>
      <c r="I356" s="756">
        <f t="shared" si="64"/>
        <v>112.89</v>
      </c>
      <c r="J356" s="756">
        <f t="shared" si="65"/>
        <v>19078.41</v>
      </c>
      <c r="K356" s="757"/>
      <c r="N356" s="631"/>
      <c r="O356" s="408"/>
    </row>
    <row r="357" spans="1:15" ht="25.2">
      <c r="A357" s="751" t="s">
        <v>2744</v>
      </c>
      <c r="B357" s="752" t="s">
        <v>605</v>
      </c>
      <c r="C357" s="933"/>
      <c r="D357" s="934" t="s">
        <v>2136</v>
      </c>
      <c r="E357" s="758" t="s">
        <v>2880</v>
      </c>
      <c r="F357" s="938" t="s">
        <v>601</v>
      </c>
      <c r="G357" s="832">
        <v>33</v>
      </c>
      <c r="H357" s="832">
        <v>724.99</v>
      </c>
      <c r="I357" s="756">
        <f t="shared" si="64"/>
        <v>905.73</v>
      </c>
      <c r="J357" s="756">
        <f t="shared" si="65"/>
        <v>29889.09</v>
      </c>
      <c r="K357" s="757"/>
      <c r="N357" s="631"/>
      <c r="O357" s="408"/>
    </row>
    <row r="358" spans="1:15" ht="37.799999999999997">
      <c r="A358" s="751" t="s">
        <v>2745</v>
      </c>
      <c r="B358" s="752" t="s">
        <v>605</v>
      </c>
      <c r="C358" s="933"/>
      <c r="D358" s="934" t="s">
        <v>2172</v>
      </c>
      <c r="E358" s="758" t="s">
        <v>2166</v>
      </c>
      <c r="F358" s="938" t="s">
        <v>601</v>
      </c>
      <c r="G358" s="832">
        <v>96</v>
      </c>
      <c r="H358" s="832">
        <v>287.28000000000003</v>
      </c>
      <c r="I358" s="756">
        <f t="shared" si="64"/>
        <v>358.9</v>
      </c>
      <c r="J358" s="756">
        <f t="shared" si="65"/>
        <v>34454.400000000001</v>
      </c>
      <c r="K358" s="757"/>
      <c r="N358" s="631"/>
      <c r="O358" s="408"/>
    </row>
    <row r="359" spans="1:15">
      <c r="A359" s="751" t="s">
        <v>2746</v>
      </c>
      <c r="B359" s="752" t="s">
        <v>605</v>
      </c>
      <c r="C359" s="753"/>
      <c r="D359" s="751" t="s">
        <v>2141</v>
      </c>
      <c r="E359" s="758" t="s">
        <v>2183</v>
      </c>
      <c r="F359" s="938" t="s">
        <v>601</v>
      </c>
      <c r="G359" s="832">
        <v>22</v>
      </c>
      <c r="H359" s="832">
        <v>1733.61</v>
      </c>
      <c r="I359" s="756">
        <f t="shared" si="64"/>
        <v>2165.8000000000002</v>
      </c>
      <c r="J359" s="756">
        <f t="shared" si="65"/>
        <v>47647.6</v>
      </c>
      <c r="K359" s="757"/>
      <c r="N359" s="631"/>
      <c r="O359" s="408"/>
    </row>
    <row r="360" spans="1:15" s="275" customFormat="1" ht="17.25" customHeight="1">
      <c r="A360" s="751" t="s">
        <v>2747</v>
      </c>
      <c r="B360" s="752" t="s">
        <v>605</v>
      </c>
      <c r="C360" s="753"/>
      <c r="D360" s="751" t="s">
        <v>2144</v>
      </c>
      <c r="E360" s="758" t="s">
        <v>2161</v>
      </c>
      <c r="F360" s="938" t="s">
        <v>601</v>
      </c>
      <c r="G360" s="832">
        <v>62</v>
      </c>
      <c r="H360" s="832">
        <v>1190.3800000000001</v>
      </c>
      <c r="I360" s="756">
        <f t="shared" si="64"/>
        <v>1487.14</v>
      </c>
      <c r="J360" s="756">
        <f t="shared" si="65"/>
        <v>92202.68</v>
      </c>
      <c r="K360" s="757"/>
      <c r="L360" s="501"/>
      <c r="M360" s="730"/>
      <c r="N360" s="631"/>
      <c r="O360" s="408"/>
    </row>
    <row r="361" spans="1:15" s="275" customFormat="1">
      <c r="A361" s="751" t="s">
        <v>2748</v>
      </c>
      <c r="B361" s="752" t="s">
        <v>605</v>
      </c>
      <c r="C361" s="753"/>
      <c r="D361" s="751" t="s">
        <v>2154</v>
      </c>
      <c r="E361" s="758" t="s">
        <v>2881</v>
      </c>
      <c r="F361" s="938" t="s">
        <v>601</v>
      </c>
      <c r="G361" s="832">
        <v>12</v>
      </c>
      <c r="H361" s="832">
        <v>487.48999999999995</v>
      </c>
      <c r="I361" s="756">
        <f t="shared" si="64"/>
        <v>609.02</v>
      </c>
      <c r="J361" s="756">
        <f t="shared" si="65"/>
        <v>7308.24</v>
      </c>
      <c r="K361" s="757"/>
      <c r="L361" s="501"/>
      <c r="M361" s="730"/>
      <c r="N361" s="631"/>
      <c r="O361" s="408"/>
    </row>
    <row r="362" spans="1:15" s="275" customFormat="1" ht="25.2">
      <c r="A362" s="751" t="s">
        <v>2749</v>
      </c>
      <c r="B362" s="752" t="s">
        <v>628</v>
      </c>
      <c r="C362" s="933"/>
      <c r="D362" s="934">
        <v>86915</v>
      </c>
      <c r="E362" s="758" t="s">
        <v>2187</v>
      </c>
      <c r="F362" s="938" t="s">
        <v>601</v>
      </c>
      <c r="G362" s="832">
        <v>202</v>
      </c>
      <c r="H362" s="832">
        <v>60.98</v>
      </c>
      <c r="I362" s="756">
        <f t="shared" si="64"/>
        <v>76.180000000000007</v>
      </c>
      <c r="J362" s="756">
        <f t="shared" si="65"/>
        <v>15388.36</v>
      </c>
      <c r="K362" s="757"/>
      <c r="L362" s="501"/>
      <c r="M362" s="730"/>
      <c r="N362" s="631"/>
      <c r="O362" s="408"/>
    </row>
    <row r="363" spans="1:15" s="275" customFormat="1" ht="25.2">
      <c r="A363" s="751" t="s">
        <v>2750</v>
      </c>
      <c r="B363" s="752" t="s">
        <v>628</v>
      </c>
      <c r="C363" s="933"/>
      <c r="D363" s="934">
        <v>86910</v>
      </c>
      <c r="E363" s="758" t="s">
        <v>2188</v>
      </c>
      <c r="F363" s="938" t="s">
        <v>601</v>
      </c>
      <c r="G363" s="832">
        <v>108</v>
      </c>
      <c r="H363" s="832">
        <v>69.3</v>
      </c>
      <c r="I363" s="756">
        <f t="shared" si="64"/>
        <v>86.58</v>
      </c>
      <c r="J363" s="756">
        <f t="shared" si="65"/>
        <v>9350.64</v>
      </c>
      <c r="K363" s="757"/>
      <c r="L363" s="501"/>
      <c r="M363" s="730"/>
      <c r="N363" s="631"/>
      <c r="O363" s="408"/>
    </row>
    <row r="364" spans="1:15" s="275" customFormat="1">
      <c r="A364" s="751" t="s">
        <v>2751</v>
      </c>
      <c r="B364" s="752" t="s">
        <v>628</v>
      </c>
      <c r="C364" s="933"/>
      <c r="D364" s="934">
        <v>86887</v>
      </c>
      <c r="E364" s="758" t="s">
        <v>2186</v>
      </c>
      <c r="F364" s="938" t="s">
        <v>601</v>
      </c>
      <c r="G364" s="832">
        <v>202</v>
      </c>
      <c r="H364" s="832">
        <v>27.98</v>
      </c>
      <c r="I364" s="756">
        <f t="shared" si="64"/>
        <v>34.96</v>
      </c>
      <c r="J364" s="756">
        <f t="shared" si="65"/>
        <v>7061.92</v>
      </c>
      <c r="K364" s="757"/>
      <c r="L364" s="501"/>
      <c r="M364" s="730"/>
      <c r="N364" s="631"/>
      <c r="O364" s="408"/>
    </row>
    <row r="365" spans="1:15" s="275" customFormat="1">
      <c r="A365" s="751" t="s">
        <v>2752</v>
      </c>
      <c r="B365" s="752" t="s">
        <v>628</v>
      </c>
      <c r="C365" s="933"/>
      <c r="D365" s="934">
        <v>86881</v>
      </c>
      <c r="E365" s="758" t="s">
        <v>2153</v>
      </c>
      <c r="F365" s="938" t="s">
        <v>601</v>
      </c>
      <c r="G365" s="832">
        <v>202</v>
      </c>
      <c r="H365" s="832">
        <v>105.14</v>
      </c>
      <c r="I365" s="756">
        <f t="shared" si="64"/>
        <v>131.35</v>
      </c>
      <c r="J365" s="756">
        <f t="shared" si="65"/>
        <v>26532.7</v>
      </c>
      <c r="K365" s="757"/>
      <c r="L365" s="501"/>
      <c r="M365" s="730"/>
      <c r="N365" s="631"/>
      <c r="O365" s="408"/>
    </row>
    <row r="366" spans="1:15" s="275" customFormat="1">
      <c r="A366" s="751" t="s">
        <v>2753</v>
      </c>
      <c r="B366" s="752" t="s">
        <v>628</v>
      </c>
      <c r="C366" s="933"/>
      <c r="D366" s="934">
        <v>86877</v>
      </c>
      <c r="E366" s="758" t="s">
        <v>2185</v>
      </c>
      <c r="F366" s="938" t="s">
        <v>601</v>
      </c>
      <c r="G366" s="832">
        <v>202</v>
      </c>
      <c r="H366" s="832">
        <v>18.78</v>
      </c>
      <c r="I366" s="756">
        <f t="shared" si="64"/>
        <v>23.46</v>
      </c>
      <c r="J366" s="756">
        <f t="shared" si="65"/>
        <v>4738.92</v>
      </c>
      <c r="K366" s="757"/>
      <c r="L366" s="501"/>
      <c r="M366" s="730"/>
      <c r="N366" s="631"/>
      <c r="O366" s="408"/>
    </row>
    <row r="367" spans="1:15" s="275" customFormat="1" ht="13.5" customHeight="1">
      <c r="A367" s="751" t="s">
        <v>2754</v>
      </c>
      <c r="B367" s="752" t="s">
        <v>628</v>
      </c>
      <c r="C367" s="933"/>
      <c r="D367" s="951">
        <v>86878</v>
      </c>
      <c r="E367" s="758" t="s">
        <v>2819</v>
      </c>
      <c r="F367" s="938" t="s">
        <v>601</v>
      </c>
      <c r="G367" s="832">
        <v>54</v>
      </c>
      <c r="H367" s="832">
        <v>37.369999999999997</v>
      </c>
      <c r="I367" s="756">
        <f t="shared" si="64"/>
        <v>46.69</v>
      </c>
      <c r="J367" s="756">
        <f t="shared" si="65"/>
        <v>2521.2600000000002</v>
      </c>
      <c r="K367" s="757"/>
      <c r="L367" s="501"/>
      <c r="M367" s="730"/>
      <c r="N367" s="631"/>
      <c r="O367" s="408"/>
    </row>
    <row r="368" spans="1:15" s="275" customFormat="1">
      <c r="A368" s="751" t="s">
        <v>2755</v>
      </c>
      <c r="B368" s="752" t="s">
        <v>628</v>
      </c>
      <c r="C368" s="933"/>
      <c r="D368" s="934">
        <v>9535</v>
      </c>
      <c r="E368" s="758" t="s">
        <v>1488</v>
      </c>
      <c r="F368" s="938" t="s">
        <v>601</v>
      </c>
      <c r="G368" s="832">
        <v>136</v>
      </c>
      <c r="H368" s="832">
        <v>55.01</v>
      </c>
      <c r="I368" s="756">
        <f t="shared" si="64"/>
        <v>68.72</v>
      </c>
      <c r="J368" s="756">
        <f t="shared" si="65"/>
        <v>9345.92</v>
      </c>
      <c r="K368" s="757"/>
      <c r="L368" s="501"/>
      <c r="M368" s="730"/>
      <c r="N368" s="631"/>
      <c r="O368" s="408"/>
    </row>
    <row r="369" spans="1:15" s="275" customFormat="1">
      <c r="A369" s="751" t="s">
        <v>2756</v>
      </c>
      <c r="B369" s="752" t="s">
        <v>605</v>
      </c>
      <c r="C369" s="753"/>
      <c r="D369" s="751" t="s">
        <v>2273</v>
      </c>
      <c r="E369" s="758" t="s">
        <v>2882</v>
      </c>
      <c r="F369" s="938" t="s">
        <v>601</v>
      </c>
      <c r="G369" s="832">
        <v>15</v>
      </c>
      <c r="H369" s="832">
        <v>406.3</v>
      </c>
      <c r="I369" s="756">
        <f t="shared" si="64"/>
        <v>507.59</v>
      </c>
      <c r="J369" s="756">
        <f t="shared" si="65"/>
        <v>7613.85</v>
      </c>
      <c r="K369" s="757"/>
      <c r="L369" s="501"/>
      <c r="M369" s="730"/>
      <c r="N369" s="631"/>
      <c r="O369" s="408"/>
    </row>
    <row r="370" spans="1:15" s="275" customFormat="1" ht="25.2">
      <c r="A370" s="751" t="s">
        <v>2757</v>
      </c>
      <c r="B370" s="752" t="s">
        <v>605</v>
      </c>
      <c r="C370" s="753"/>
      <c r="D370" s="751" t="s">
        <v>2374</v>
      </c>
      <c r="E370" s="758" t="s">
        <v>2376</v>
      </c>
      <c r="F370" s="938" t="s">
        <v>601</v>
      </c>
      <c r="G370" s="832">
        <v>34</v>
      </c>
      <c r="H370" s="832">
        <v>117.68</v>
      </c>
      <c r="I370" s="756">
        <f t="shared" si="64"/>
        <v>147.02000000000001</v>
      </c>
      <c r="J370" s="756">
        <f t="shared" si="65"/>
        <v>4998.68</v>
      </c>
      <c r="K370" s="757"/>
      <c r="L370" s="501"/>
      <c r="M370" s="730"/>
      <c r="N370" s="631"/>
      <c r="O370" s="408"/>
    </row>
    <row r="371" spans="1:15" s="275" customFormat="1">
      <c r="A371" s="751" t="s">
        <v>2758</v>
      </c>
      <c r="B371" s="752" t="s">
        <v>605</v>
      </c>
      <c r="C371" s="753"/>
      <c r="D371" s="751" t="s">
        <v>2274</v>
      </c>
      <c r="E371" s="758" t="s">
        <v>2276</v>
      </c>
      <c r="F371" s="938" t="s">
        <v>601</v>
      </c>
      <c r="G371" s="832">
        <v>148</v>
      </c>
      <c r="H371" s="832">
        <v>141.38999999999999</v>
      </c>
      <c r="I371" s="756">
        <f t="shared" si="64"/>
        <v>176.64</v>
      </c>
      <c r="J371" s="756">
        <f t="shared" si="65"/>
        <v>26142.720000000001</v>
      </c>
      <c r="K371" s="757"/>
      <c r="L371" s="501"/>
      <c r="M371" s="730"/>
      <c r="N371" s="631"/>
      <c r="O371" s="408"/>
    </row>
    <row r="372" spans="1:15" s="275" customFormat="1">
      <c r="A372" s="751" t="s">
        <v>2759</v>
      </c>
      <c r="B372" s="752" t="s">
        <v>605</v>
      </c>
      <c r="C372" s="753"/>
      <c r="D372" s="751" t="s">
        <v>2284</v>
      </c>
      <c r="E372" s="758" t="s">
        <v>2283</v>
      </c>
      <c r="F372" s="938" t="s">
        <v>601</v>
      </c>
      <c r="G372" s="832">
        <v>6</v>
      </c>
      <c r="H372" s="832">
        <v>290.39999999999998</v>
      </c>
      <c r="I372" s="756">
        <f t="shared" si="64"/>
        <v>362.8</v>
      </c>
      <c r="J372" s="756">
        <f t="shared" si="65"/>
        <v>2176.8000000000002</v>
      </c>
      <c r="K372" s="757"/>
      <c r="L372" s="501"/>
      <c r="M372" s="730"/>
      <c r="N372" s="631"/>
      <c r="O372" s="408"/>
    </row>
    <row r="373" spans="1:15" s="275" customFormat="1">
      <c r="A373" s="751" t="s">
        <v>2760</v>
      </c>
      <c r="B373" s="752" t="s">
        <v>605</v>
      </c>
      <c r="C373" s="753"/>
      <c r="D373" s="751" t="s">
        <v>2280</v>
      </c>
      <c r="E373" s="758" t="s">
        <v>2275</v>
      </c>
      <c r="F373" s="938" t="s">
        <v>601</v>
      </c>
      <c r="G373" s="832">
        <v>10</v>
      </c>
      <c r="H373" s="832">
        <v>289.51</v>
      </c>
      <c r="I373" s="756">
        <f t="shared" si="64"/>
        <v>361.68</v>
      </c>
      <c r="J373" s="756">
        <f t="shared" si="65"/>
        <v>3616.8</v>
      </c>
      <c r="K373" s="757"/>
      <c r="L373" s="501"/>
      <c r="M373" s="730"/>
      <c r="N373" s="631"/>
      <c r="O373" s="408"/>
    </row>
    <row r="374" spans="1:15" s="275" customFormat="1">
      <c r="A374" s="751" t="s">
        <v>2761</v>
      </c>
      <c r="B374" s="752" t="s">
        <v>605</v>
      </c>
      <c r="C374" s="753"/>
      <c r="D374" s="751" t="s">
        <v>2281</v>
      </c>
      <c r="E374" s="758" t="s">
        <v>2277</v>
      </c>
      <c r="F374" s="938" t="s">
        <v>601</v>
      </c>
      <c r="G374" s="832">
        <v>65</v>
      </c>
      <c r="H374" s="832">
        <v>311.76</v>
      </c>
      <c r="I374" s="756">
        <f t="shared" si="64"/>
        <v>389.48</v>
      </c>
      <c r="J374" s="756">
        <f t="shared" si="65"/>
        <v>25316.2</v>
      </c>
      <c r="K374" s="757"/>
      <c r="L374" s="501"/>
      <c r="M374" s="730"/>
      <c r="N374" s="631"/>
      <c r="O374" s="408"/>
    </row>
    <row r="375" spans="1:15" s="275" customFormat="1">
      <c r="A375" s="751" t="s">
        <v>2762</v>
      </c>
      <c r="B375" s="752" t="s">
        <v>605</v>
      </c>
      <c r="C375" s="753"/>
      <c r="D375" s="751" t="s">
        <v>2282</v>
      </c>
      <c r="E375" s="758" t="s">
        <v>2278</v>
      </c>
      <c r="F375" s="938" t="s">
        <v>601</v>
      </c>
      <c r="G375" s="832">
        <v>11</v>
      </c>
      <c r="H375" s="832">
        <v>552.03000000000009</v>
      </c>
      <c r="I375" s="756">
        <f t="shared" si="64"/>
        <v>689.65</v>
      </c>
      <c r="J375" s="756">
        <f t="shared" si="65"/>
        <v>7586.15</v>
      </c>
      <c r="K375" s="757"/>
      <c r="L375" s="501"/>
      <c r="M375" s="730"/>
      <c r="N375" s="631"/>
      <c r="O375" s="408"/>
    </row>
    <row r="376" spans="1:15" s="275" customFormat="1">
      <c r="A376" s="751" t="s">
        <v>2763</v>
      </c>
      <c r="B376" s="752" t="s">
        <v>605</v>
      </c>
      <c r="C376" s="933"/>
      <c r="D376" s="934" t="s">
        <v>2174</v>
      </c>
      <c r="E376" s="758" t="s">
        <v>2171</v>
      </c>
      <c r="F376" s="938" t="s">
        <v>1536</v>
      </c>
      <c r="G376" s="832">
        <v>5</v>
      </c>
      <c r="H376" s="832">
        <v>3352.29</v>
      </c>
      <c r="I376" s="756">
        <f t="shared" si="64"/>
        <v>4188.0200000000004</v>
      </c>
      <c r="J376" s="756">
        <f t="shared" si="65"/>
        <v>20940.099999999999</v>
      </c>
      <c r="K376" s="757"/>
      <c r="L376" s="501"/>
      <c r="M376" s="730"/>
      <c r="N376" s="631"/>
      <c r="O376" s="408"/>
    </row>
    <row r="377" spans="1:15" s="275" customFormat="1">
      <c r="A377" s="751" t="s">
        <v>2764</v>
      </c>
      <c r="B377" s="752" t="s">
        <v>605</v>
      </c>
      <c r="C377" s="753"/>
      <c r="D377" s="751" t="s">
        <v>2176</v>
      </c>
      <c r="E377" s="758" t="s">
        <v>2178</v>
      </c>
      <c r="F377" s="938" t="s">
        <v>1536</v>
      </c>
      <c r="G377" s="832">
        <v>1</v>
      </c>
      <c r="H377" s="832">
        <v>4951.4900000000007</v>
      </c>
      <c r="I377" s="756">
        <f t="shared" si="64"/>
        <v>6185.9</v>
      </c>
      <c r="J377" s="756">
        <f t="shared" si="65"/>
        <v>6185.9</v>
      </c>
      <c r="K377" s="757"/>
      <c r="L377" s="501"/>
      <c r="M377" s="730"/>
      <c r="N377" s="631"/>
      <c r="O377" s="408"/>
    </row>
    <row r="378" spans="1:15" s="275" customFormat="1" ht="25.2">
      <c r="A378" s="751" t="s">
        <v>2765</v>
      </c>
      <c r="B378" s="752" t="s">
        <v>605</v>
      </c>
      <c r="C378" s="753"/>
      <c r="D378" s="751" t="s">
        <v>2179</v>
      </c>
      <c r="E378" s="758" t="s">
        <v>2886</v>
      </c>
      <c r="F378" s="938" t="s">
        <v>1536</v>
      </c>
      <c r="G378" s="832">
        <v>53</v>
      </c>
      <c r="H378" s="832">
        <v>1016.41</v>
      </c>
      <c r="I378" s="756">
        <f t="shared" si="64"/>
        <v>1269.8</v>
      </c>
      <c r="J378" s="756">
        <f t="shared" si="65"/>
        <v>67299.399999999994</v>
      </c>
      <c r="K378" s="757"/>
      <c r="L378" s="501"/>
      <c r="M378" s="730"/>
      <c r="N378" s="631"/>
      <c r="O378" s="408"/>
    </row>
    <row r="379" spans="1:15" s="275" customFormat="1">
      <c r="A379" s="751" t="s">
        <v>2766</v>
      </c>
      <c r="B379" s="752" t="s">
        <v>605</v>
      </c>
      <c r="C379" s="753"/>
      <c r="D379" s="751" t="s">
        <v>2341</v>
      </c>
      <c r="E379" s="758" t="s">
        <v>2342</v>
      </c>
      <c r="F379" s="938" t="s">
        <v>1536</v>
      </c>
      <c r="G379" s="832">
        <v>304</v>
      </c>
      <c r="H379" s="832">
        <v>48.629999999999995</v>
      </c>
      <c r="I379" s="756">
        <f t="shared" si="64"/>
        <v>60.75</v>
      </c>
      <c r="J379" s="756">
        <f t="shared" si="65"/>
        <v>18468</v>
      </c>
      <c r="K379" s="757"/>
      <c r="L379" s="501"/>
      <c r="M379" s="730"/>
      <c r="N379" s="631"/>
      <c r="O379" s="408"/>
    </row>
    <row r="380" spans="1:15" s="275" customFormat="1">
      <c r="A380" s="751" t="s">
        <v>2767</v>
      </c>
      <c r="B380" s="752" t="s">
        <v>605</v>
      </c>
      <c r="C380" s="753"/>
      <c r="D380" s="751" t="s">
        <v>2339</v>
      </c>
      <c r="E380" s="952" t="s">
        <v>2336</v>
      </c>
      <c r="F380" s="938" t="s">
        <v>1536</v>
      </c>
      <c r="G380" s="832">
        <v>126</v>
      </c>
      <c r="H380" s="832">
        <v>58.32</v>
      </c>
      <c r="I380" s="756">
        <f t="shared" si="64"/>
        <v>72.86</v>
      </c>
      <c r="J380" s="756">
        <f t="shared" si="65"/>
        <v>9180.36</v>
      </c>
      <c r="K380" s="757"/>
      <c r="L380" s="501"/>
      <c r="M380" s="730"/>
      <c r="N380" s="631"/>
      <c r="O380" s="408"/>
    </row>
    <row r="381" spans="1:15" s="275" customFormat="1">
      <c r="A381" s="751" t="s">
        <v>2768</v>
      </c>
      <c r="B381" s="752" t="s">
        <v>605</v>
      </c>
      <c r="C381" s="753"/>
      <c r="D381" s="751" t="s">
        <v>2345</v>
      </c>
      <c r="E381" s="952" t="s">
        <v>2333</v>
      </c>
      <c r="F381" s="938" t="s">
        <v>1536</v>
      </c>
      <c r="G381" s="832">
        <v>293</v>
      </c>
      <c r="H381" s="832">
        <v>83.11</v>
      </c>
      <c r="I381" s="756">
        <f t="shared" si="64"/>
        <v>103.83</v>
      </c>
      <c r="J381" s="756">
        <f t="shared" si="65"/>
        <v>30422.19</v>
      </c>
      <c r="K381" s="757"/>
      <c r="L381" s="501"/>
      <c r="M381" s="730"/>
      <c r="N381" s="631"/>
      <c r="O381" s="408"/>
    </row>
    <row r="382" spans="1:15" s="275" customFormat="1">
      <c r="A382" s="751" t="s">
        <v>2769</v>
      </c>
      <c r="B382" s="752" t="s">
        <v>605</v>
      </c>
      <c r="C382" s="753"/>
      <c r="D382" s="751" t="s">
        <v>2343</v>
      </c>
      <c r="E382" s="952" t="s">
        <v>2334</v>
      </c>
      <c r="F382" s="938" t="s">
        <v>1536</v>
      </c>
      <c r="G382" s="832">
        <v>55</v>
      </c>
      <c r="H382" s="832">
        <v>56.949999999999996</v>
      </c>
      <c r="I382" s="756">
        <f t="shared" si="64"/>
        <v>71.150000000000006</v>
      </c>
      <c r="J382" s="756">
        <f t="shared" si="65"/>
        <v>3913.25</v>
      </c>
      <c r="K382" s="757"/>
      <c r="L382" s="501"/>
      <c r="M382" s="730"/>
      <c r="N382" s="631"/>
      <c r="O382" s="408"/>
    </row>
    <row r="383" spans="1:15" s="275" customFormat="1">
      <c r="A383" s="751" t="s">
        <v>2770</v>
      </c>
      <c r="B383" s="752" t="s">
        <v>605</v>
      </c>
      <c r="C383" s="753"/>
      <c r="D383" s="751" t="s">
        <v>2337</v>
      </c>
      <c r="E383" s="952" t="s">
        <v>2335</v>
      </c>
      <c r="F383" s="938" t="s">
        <v>1536</v>
      </c>
      <c r="G383" s="832">
        <v>146</v>
      </c>
      <c r="H383" s="832">
        <v>57.75</v>
      </c>
      <c r="I383" s="756">
        <f t="shared" si="64"/>
        <v>72.150000000000006</v>
      </c>
      <c r="J383" s="756">
        <f t="shared" si="65"/>
        <v>10533.9</v>
      </c>
      <c r="K383" s="757"/>
      <c r="L383" s="501"/>
      <c r="M383" s="730"/>
      <c r="N383" s="631"/>
      <c r="O383" s="408"/>
    </row>
    <row r="384" spans="1:15" s="275" customFormat="1">
      <c r="A384" s="751" t="s">
        <v>2771</v>
      </c>
      <c r="B384" s="752" t="s">
        <v>628</v>
      </c>
      <c r="C384" s="753"/>
      <c r="D384" s="751" t="s">
        <v>2348</v>
      </c>
      <c r="E384" s="952" t="s">
        <v>2347</v>
      </c>
      <c r="F384" s="938" t="s">
        <v>1535</v>
      </c>
      <c r="G384" s="832">
        <v>212.3</v>
      </c>
      <c r="H384" s="832">
        <v>391.98</v>
      </c>
      <c r="I384" s="756">
        <f t="shared" si="64"/>
        <v>489.7</v>
      </c>
      <c r="J384" s="756">
        <f t="shared" si="65"/>
        <v>103963.31</v>
      </c>
      <c r="K384" s="757"/>
      <c r="L384" s="501"/>
      <c r="M384" s="730"/>
      <c r="N384" s="631"/>
      <c r="O384" s="408"/>
    </row>
    <row r="385" spans="1:15" s="275" customFormat="1" ht="15.6" customHeight="1">
      <c r="A385" s="767" t="s">
        <v>928</v>
      </c>
      <c r="B385" s="768"/>
      <c r="C385" s="769"/>
      <c r="D385" s="769"/>
      <c r="E385" s="769"/>
      <c r="F385" s="769"/>
      <c r="G385" s="832"/>
      <c r="H385" s="832"/>
      <c r="I385" s="832"/>
      <c r="J385" s="888">
        <f>SUBTOTAL(109,J352:J384)</f>
        <v>760523.2899999998</v>
      </c>
      <c r="K385" s="757"/>
      <c r="L385" s="501"/>
      <c r="M385" s="730">
        <f>'[22]Planilha Orç'!$J$385</f>
        <v>390353.74000000005</v>
      </c>
      <c r="N385" s="631">
        <f>+J385-M385</f>
        <v>370169.54999999976</v>
      </c>
      <c r="O385" s="408"/>
    </row>
    <row r="386" spans="1:15" s="275" customFormat="1" ht="15.6" customHeight="1">
      <c r="A386" s="836" t="s">
        <v>930</v>
      </c>
      <c r="B386" s="837"/>
      <c r="C386" s="838"/>
      <c r="D386" s="838"/>
      <c r="E386" s="838"/>
      <c r="F386" s="838"/>
      <c r="G386" s="838"/>
      <c r="H386" s="839"/>
      <c r="I386" s="839"/>
      <c r="J386" s="894">
        <f>SUBTOTAL(109,J335:J385)</f>
        <v>27355781.020000003</v>
      </c>
      <c r="K386" s="757"/>
      <c r="L386" s="501"/>
      <c r="M386" s="730"/>
      <c r="N386" s="631"/>
      <c r="O386" s="408"/>
    </row>
    <row r="387" spans="1:15" s="275" customFormat="1">
      <c r="A387" s="953" t="s">
        <v>154</v>
      </c>
      <c r="B387" s="946" t="s">
        <v>2690</v>
      </c>
      <c r="C387" s="825"/>
      <c r="D387" s="825"/>
      <c r="E387" s="825"/>
      <c r="F387" s="825"/>
      <c r="G387" s="825"/>
      <c r="H387" s="825"/>
      <c r="I387" s="825"/>
      <c r="J387" s="947"/>
      <c r="K387" s="746">
        <f>SUBTOTAL(109,K388:K395)</f>
        <v>2.311584523490658E-2</v>
      </c>
      <c r="L387" s="501"/>
      <c r="M387" s="730"/>
      <c r="N387" s="631"/>
      <c r="O387" s="408"/>
    </row>
    <row r="388" spans="1:15" s="275" customFormat="1" ht="15.6" customHeight="1">
      <c r="A388" s="945" t="s">
        <v>192</v>
      </c>
      <c r="B388" s="946" t="s">
        <v>1768</v>
      </c>
      <c r="C388" s="825"/>
      <c r="D388" s="825"/>
      <c r="E388" s="825"/>
      <c r="F388" s="954"/>
      <c r="G388" s="955"/>
      <c r="H388" s="955"/>
      <c r="I388" s="955"/>
      <c r="J388" s="956"/>
      <c r="K388" s="746">
        <f>+J390/$J$463</f>
        <v>2.0469916569181429E-2</v>
      </c>
      <c r="L388" s="501"/>
      <c r="M388" s="730"/>
      <c r="N388" s="631"/>
      <c r="O388" s="408"/>
    </row>
    <row r="389" spans="1:15" s="275" customFormat="1" ht="63">
      <c r="A389" s="751" t="s">
        <v>932</v>
      </c>
      <c r="B389" s="957" t="s">
        <v>2194</v>
      </c>
      <c r="C389" s="958"/>
      <c r="D389" s="959"/>
      <c r="E389" s="960" t="s">
        <v>2885</v>
      </c>
      <c r="F389" s="938" t="s">
        <v>2369</v>
      </c>
      <c r="G389" s="832">
        <v>1</v>
      </c>
      <c r="H389" s="832">
        <v>1710000</v>
      </c>
      <c r="I389" s="756">
        <f>ROUND(H389*(1+$K$472),2)</f>
        <v>1979496</v>
      </c>
      <c r="J389" s="756">
        <f t="shared" ref="J389" si="66">ROUND(I389*G389,2)</f>
        <v>1979496</v>
      </c>
      <c r="K389" s="757"/>
      <c r="L389" s="501"/>
      <c r="M389" s="730"/>
      <c r="N389" s="631"/>
      <c r="O389" s="408"/>
    </row>
    <row r="390" spans="1:15" s="275" customFormat="1" ht="15.6" customHeight="1">
      <c r="A390" s="767" t="s">
        <v>929</v>
      </c>
      <c r="B390" s="768"/>
      <c r="C390" s="769"/>
      <c r="D390" s="769"/>
      <c r="E390" s="769"/>
      <c r="F390" s="769"/>
      <c r="G390" s="832"/>
      <c r="H390" s="832"/>
      <c r="I390" s="832"/>
      <c r="J390" s="888">
        <f>SUBTOTAL(109,J389:J389)</f>
        <v>1979496</v>
      </c>
      <c r="K390" s="757"/>
      <c r="L390" s="501"/>
      <c r="M390" s="730">
        <f>'[22]Planilha Orç'!$J$390</f>
        <v>989748</v>
      </c>
      <c r="N390" s="631">
        <f>+J390-M390</f>
        <v>989748</v>
      </c>
      <c r="O390" s="408"/>
    </row>
    <row r="391" spans="1:15" s="275" customFormat="1" ht="15.6" customHeight="1">
      <c r="A391" s="945" t="s">
        <v>193</v>
      </c>
      <c r="B391" s="946" t="s">
        <v>2373</v>
      </c>
      <c r="C391" s="825"/>
      <c r="D391" s="825"/>
      <c r="E391" s="825"/>
      <c r="F391" s="954"/>
      <c r="G391" s="955"/>
      <c r="H391" s="955"/>
      <c r="I391" s="955"/>
      <c r="J391" s="956"/>
      <c r="K391" s="746">
        <f>+J395/$J$463</f>
        <v>2.6459286657251504E-3</v>
      </c>
      <c r="L391" s="501"/>
      <c r="M391" s="730"/>
      <c r="N391" s="631"/>
      <c r="O391" s="408"/>
    </row>
    <row r="392" spans="1:15" s="275" customFormat="1">
      <c r="A392" s="751" t="s">
        <v>939</v>
      </c>
      <c r="B392" s="917" t="s">
        <v>2194</v>
      </c>
      <c r="C392" s="908"/>
      <c r="D392" s="959"/>
      <c r="E392" s="781" t="s">
        <v>2370</v>
      </c>
      <c r="F392" s="938" t="s">
        <v>2369</v>
      </c>
      <c r="G392" s="832">
        <v>1</v>
      </c>
      <c r="H392" s="832">
        <v>104918.21</v>
      </c>
      <c r="I392" s="756">
        <f>ROUND(H392*(1+$K$472),2)</f>
        <v>121453.32</v>
      </c>
      <c r="J392" s="756">
        <f t="shared" ref="J392:J394" si="67">ROUND(I392*G392,2)</f>
        <v>121453.32</v>
      </c>
      <c r="K392" s="757"/>
      <c r="L392" s="501"/>
      <c r="M392" s="730"/>
      <c r="N392" s="631"/>
      <c r="O392" s="408"/>
    </row>
    <row r="393" spans="1:15" s="275" customFormat="1">
      <c r="A393" s="751" t="s">
        <v>940</v>
      </c>
      <c r="B393" s="917" t="s">
        <v>2194</v>
      </c>
      <c r="C393" s="908"/>
      <c r="D393" s="959"/>
      <c r="E393" s="781" t="s">
        <v>2371</v>
      </c>
      <c r="F393" s="938" t="s">
        <v>2369</v>
      </c>
      <c r="G393" s="832">
        <v>1</v>
      </c>
      <c r="H393" s="832">
        <v>58057.66</v>
      </c>
      <c r="I393" s="756">
        <f>ROUND(H393*(1+$K$472),2)</f>
        <v>67207.55</v>
      </c>
      <c r="J393" s="756">
        <f t="shared" si="67"/>
        <v>67207.55</v>
      </c>
      <c r="K393" s="757"/>
      <c r="L393" s="501"/>
      <c r="M393" s="730"/>
      <c r="N393" s="631"/>
      <c r="O393" s="408"/>
    </row>
    <row r="394" spans="1:15" s="275" customFormat="1">
      <c r="A394" s="751" t="s">
        <v>941</v>
      </c>
      <c r="B394" s="917" t="s">
        <v>2194</v>
      </c>
      <c r="C394" s="908"/>
      <c r="D394" s="959"/>
      <c r="E394" s="781" t="s">
        <v>2372</v>
      </c>
      <c r="F394" s="938" t="s">
        <v>2369</v>
      </c>
      <c r="G394" s="832">
        <v>1</v>
      </c>
      <c r="H394" s="832">
        <v>58057.66</v>
      </c>
      <c r="I394" s="756">
        <f>ROUND(H394*(1+$K$472),2)</f>
        <v>67207.55</v>
      </c>
      <c r="J394" s="756">
        <f t="shared" si="67"/>
        <v>67207.55</v>
      </c>
      <c r="K394" s="757"/>
      <c r="L394" s="501"/>
      <c r="M394" s="730"/>
      <c r="N394" s="631"/>
      <c r="O394" s="408"/>
    </row>
    <row r="395" spans="1:15" s="275" customFormat="1" ht="15.6" customHeight="1">
      <c r="A395" s="767" t="s">
        <v>1820</v>
      </c>
      <c r="B395" s="768"/>
      <c r="C395" s="769"/>
      <c r="D395" s="769"/>
      <c r="E395" s="769"/>
      <c r="F395" s="769"/>
      <c r="G395" s="832"/>
      <c r="H395" s="832"/>
      <c r="I395" s="832"/>
      <c r="J395" s="888">
        <f>SUBTOTAL(109,J392:J394)</f>
        <v>255868.41999999998</v>
      </c>
      <c r="K395" s="757"/>
      <c r="L395" s="501"/>
      <c r="M395" s="730">
        <f>'[22]Planilha Orç'!$J$395</f>
        <v>255868.41999999998</v>
      </c>
      <c r="N395" s="631">
        <f>+J395-M395</f>
        <v>0</v>
      </c>
      <c r="O395" s="408"/>
    </row>
    <row r="396" spans="1:15" s="275" customFormat="1" ht="15.6" customHeight="1">
      <c r="A396" s="836" t="s">
        <v>2855</v>
      </c>
      <c r="B396" s="837"/>
      <c r="C396" s="838"/>
      <c r="D396" s="838"/>
      <c r="E396" s="838"/>
      <c r="F396" s="838"/>
      <c r="G396" s="838"/>
      <c r="H396" s="839"/>
      <c r="I396" s="839"/>
      <c r="J396" s="894">
        <f>SUBTOTAL(109,J389:J395)</f>
        <v>2235364.4199999995</v>
      </c>
      <c r="K396" s="757"/>
      <c r="L396" s="501"/>
      <c r="M396" s="730"/>
      <c r="N396" s="631"/>
      <c r="O396" s="408"/>
    </row>
    <row r="397" spans="1:15" s="275" customFormat="1" ht="15.6" customHeight="1">
      <c r="A397" s="945" t="s">
        <v>156</v>
      </c>
      <c r="B397" s="946" t="s">
        <v>915</v>
      </c>
      <c r="C397" s="825"/>
      <c r="D397" s="825"/>
      <c r="E397" s="825"/>
      <c r="F397" s="825"/>
      <c r="G397" s="825"/>
      <c r="H397" s="825"/>
      <c r="I397" s="825"/>
      <c r="J397" s="947"/>
      <c r="K397" s="746">
        <f>SUBTOTAL(109,K398:K399)</f>
        <v>0.14490347656220706</v>
      </c>
      <c r="L397" s="501"/>
      <c r="M397" s="730"/>
      <c r="N397" s="631"/>
      <c r="O397" s="408"/>
    </row>
    <row r="398" spans="1:15" s="275" customFormat="1" ht="50.4">
      <c r="A398" s="751" t="s">
        <v>195</v>
      </c>
      <c r="B398" s="752" t="s">
        <v>1503</v>
      </c>
      <c r="C398" s="753"/>
      <c r="D398" s="927"/>
      <c r="E398" s="758" t="s">
        <v>2466</v>
      </c>
      <c r="F398" s="751" t="s">
        <v>2467</v>
      </c>
      <c r="G398" s="832">
        <v>600</v>
      </c>
      <c r="H398" s="832">
        <v>18693.88</v>
      </c>
      <c r="I398" s="756">
        <f>ROUND(H398*(1+$K$471),2)</f>
        <v>23354.26</v>
      </c>
      <c r="J398" s="756">
        <f t="shared" ref="J398" si="68">ROUND(I398*G398,2)</f>
        <v>14012556</v>
      </c>
      <c r="K398" s="833"/>
      <c r="L398" s="501"/>
      <c r="M398" s="730"/>
      <c r="N398" s="631"/>
      <c r="O398" s="408"/>
    </row>
    <row r="399" spans="1:15" s="275" customFormat="1" ht="15.6" customHeight="1">
      <c r="A399" s="836" t="s">
        <v>2689</v>
      </c>
      <c r="B399" s="837"/>
      <c r="C399" s="838"/>
      <c r="D399" s="838"/>
      <c r="E399" s="838"/>
      <c r="F399" s="838"/>
      <c r="G399" s="838"/>
      <c r="H399" s="839"/>
      <c r="I399" s="839"/>
      <c r="J399" s="894">
        <f>SUBTOTAL(109,J398:J398)</f>
        <v>14012556</v>
      </c>
      <c r="K399" s="746">
        <f>+J399/$J$463</f>
        <v>0.14490347656220706</v>
      </c>
      <c r="L399" s="501"/>
      <c r="M399" s="730">
        <f>'[22]Planilha Orç'!$J$399</f>
        <v>9341704</v>
      </c>
      <c r="N399" s="631">
        <f>+J399-M399</f>
        <v>4670852</v>
      </c>
      <c r="O399" s="408"/>
    </row>
    <row r="400" spans="1:15" s="275" customFormat="1">
      <c r="A400" s="792" t="s">
        <v>158</v>
      </c>
      <c r="B400" s="796" t="s">
        <v>2858</v>
      </c>
      <c r="C400" s="797"/>
      <c r="D400" s="797"/>
      <c r="E400" s="852"/>
      <c r="F400" s="792"/>
      <c r="G400" s="961"/>
      <c r="H400" s="961"/>
      <c r="I400" s="961"/>
      <c r="J400" s="961"/>
      <c r="K400" s="746">
        <f>SUBTOTAL(109,K401:K410)</f>
        <v>8.9815847768383167E-3</v>
      </c>
      <c r="L400" s="501"/>
      <c r="M400" s="730"/>
      <c r="N400" s="631"/>
      <c r="O400" s="408"/>
    </row>
    <row r="401" spans="1:15" ht="17.25" customHeight="1">
      <c r="A401" s="792" t="s">
        <v>198</v>
      </c>
      <c r="B401" s="796" t="s">
        <v>931</v>
      </c>
      <c r="C401" s="797"/>
      <c r="D401" s="797"/>
      <c r="E401" s="852"/>
      <c r="F401" s="792"/>
      <c r="G401" s="961"/>
      <c r="H401" s="961"/>
      <c r="I401" s="961"/>
      <c r="J401" s="961"/>
      <c r="K401" s="746">
        <f>+J408/$J$463</f>
        <v>6.535799560731518E-4</v>
      </c>
      <c r="N401" s="631"/>
      <c r="O401" s="408"/>
    </row>
    <row r="402" spans="1:15" s="275" customFormat="1">
      <c r="A402" s="751" t="s">
        <v>2691</v>
      </c>
      <c r="B402" s="752" t="s">
        <v>628</v>
      </c>
      <c r="C402" s="933"/>
      <c r="D402" s="934">
        <v>85180</v>
      </c>
      <c r="E402" s="758" t="s">
        <v>933</v>
      </c>
      <c r="F402" s="938" t="s">
        <v>654</v>
      </c>
      <c r="G402" s="832">
        <v>1060</v>
      </c>
      <c r="H402" s="832">
        <v>16.27</v>
      </c>
      <c r="I402" s="756">
        <f t="shared" ref="I402:I407" si="69">ROUND(H402*(1+$K$471),2)</f>
        <v>20.329999999999998</v>
      </c>
      <c r="J402" s="756">
        <f t="shared" ref="J402:J407" si="70">ROUND(I402*G402,2)</f>
        <v>21549.8</v>
      </c>
      <c r="K402" s="757"/>
      <c r="L402" s="501"/>
      <c r="M402" s="730"/>
      <c r="N402" s="631"/>
      <c r="O402" s="408"/>
    </row>
    <row r="403" spans="1:15" s="275" customFormat="1" ht="16.5" customHeight="1">
      <c r="A403" s="751" t="s">
        <v>2692</v>
      </c>
      <c r="B403" s="752" t="s">
        <v>628</v>
      </c>
      <c r="C403" s="933"/>
      <c r="D403" s="934">
        <v>85178</v>
      </c>
      <c r="E403" s="758" t="s">
        <v>934</v>
      </c>
      <c r="F403" s="938" t="s">
        <v>754</v>
      </c>
      <c r="G403" s="832">
        <v>59</v>
      </c>
      <c r="H403" s="832">
        <v>98.65</v>
      </c>
      <c r="I403" s="756">
        <f t="shared" si="69"/>
        <v>123.24</v>
      </c>
      <c r="J403" s="756">
        <f t="shared" si="70"/>
        <v>7271.16</v>
      </c>
      <c r="K403" s="757"/>
      <c r="L403" s="501"/>
      <c r="M403" s="730"/>
      <c r="N403" s="631"/>
      <c r="O403" s="408"/>
    </row>
    <row r="404" spans="1:15" s="275" customFormat="1" ht="16.5" customHeight="1">
      <c r="A404" s="751" t="s">
        <v>2693</v>
      </c>
      <c r="B404" s="752" t="s">
        <v>628</v>
      </c>
      <c r="C404" s="933"/>
      <c r="D404" s="934" t="s">
        <v>935</v>
      </c>
      <c r="E404" s="758" t="s">
        <v>936</v>
      </c>
      <c r="F404" s="938" t="s">
        <v>754</v>
      </c>
      <c r="G404" s="832">
        <v>10</v>
      </c>
      <c r="H404" s="832">
        <v>120.24</v>
      </c>
      <c r="I404" s="756">
        <f t="shared" si="69"/>
        <v>150.22</v>
      </c>
      <c r="J404" s="756">
        <f t="shared" si="70"/>
        <v>1502.2</v>
      </c>
      <c r="K404" s="757"/>
      <c r="L404" s="501"/>
      <c r="M404" s="730"/>
      <c r="N404" s="631"/>
      <c r="O404" s="408"/>
    </row>
    <row r="405" spans="1:15" s="275" customFormat="1">
      <c r="A405" s="751" t="s">
        <v>2694</v>
      </c>
      <c r="B405" s="752" t="s">
        <v>628</v>
      </c>
      <c r="C405" s="933"/>
      <c r="D405" s="934" t="s">
        <v>937</v>
      </c>
      <c r="E405" s="758" t="s">
        <v>938</v>
      </c>
      <c r="F405" s="938" t="s">
        <v>754</v>
      </c>
      <c r="G405" s="832">
        <v>10</v>
      </c>
      <c r="H405" s="832">
        <v>187.49</v>
      </c>
      <c r="I405" s="756">
        <f t="shared" si="69"/>
        <v>234.23</v>
      </c>
      <c r="J405" s="756">
        <f t="shared" si="70"/>
        <v>2342.3000000000002</v>
      </c>
      <c r="K405" s="757"/>
      <c r="L405" s="501"/>
      <c r="M405" s="730"/>
      <c r="N405" s="631"/>
      <c r="O405" s="408"/>
    </row>
    <row r="406" spans="1:15" s="275" customFormat="1">
      <c r="A406" s="751" t="s">
        <v>2695</v>
      </c>
      <c r="B406" s="752" t="s">
        <v>1060</v>
      </c>
      <c r="C406" s="753"/>
      <c r="D406" s="751">
        <v>3420</v>
      </c>
      <c r="E406" s="758" t="s">
        <v>1522</v>
      </c>
      <c r="F406" s="753" t="s">
        <v>654</v>
      </c>
      <c r="G406" s="832">
        <v>15.93</v>
      </c>
      <c r="H406" s="832">
        <v>876.03</v>
      </c>
      <c r="I406" s="756">
        <f t="shared" si="69"/>
        <v>1094.42</v>
      </c>
      <c r="J406" s="756">
        <f t="shared" si="70"/>
        <v>17434.11</v>
      </c>
      <c r="K406" s="757"/>
      <c r="L406" s="501"/>
      <c r="M406" s="730"/>
      <c r="N406" s="631"/>
      <c r="O406" s="408"/>
    </row>
    <row r="407" spans="1:15" s="280" customFormat="1" ht="25.2">
      <c r="A407" s="751" t="s">
        <v>2696</v>
      </c>
      <c r="B407" s="752" t="s">
        <v>605</v>
      </c>
      <c r="C407" s="753"/>
      <c r="D407" s="751" t="s">
        <v>2682</v>
      </c>
      <c r="E407" s="758" t="s">
        <v>2883</v>
      </c>
      <c r="F407" s="753" t="s">
        <v>810</v>
      </c>
      <c r="G407" s="832">
        <v>81</v>
      </c>
      <c r="H407" s="832">
        <v>129.49</v>
      </c>
      <c r="I407" s="756">
        <f t="shared" si="69"/>
        <v>161.77000000000001</v>
      </c>
      <c r="J407" s="756">
        <f t="shared" si="70"/>
        <v>13103.37</v>
      </c>
      <c r="K407" s="962"/>
      <c r="L407" s="501"/>
      <c r="M407" s="730"/>
      <c r="N407" s="631"/>
      <c r="O407" s="408"/>
    </row>
    <row r="408" spans="1:15" ht="15.6" customHeight="1">
      <c r="A408" s="767" t="s">
        <v>2856</v>
      </c>
      <c r="B408" s="768"/>
      <c r="C408" s="769"/>
      <c r="D408" s="769"/>
      <c r="E408" s="769"/>
      <c r="F408" s="769"/>
      <c r="G408" s="832"/>
      <c r="H408" s="832"/>
      <c r="I408" s="832"/>
      <c r="J408" s="888">
        <f>SUBTOTAL(109,J402:J407)</f>
        <v>63202.94</v>
      </c>
      <c r="K408" s="963"/>
      <c r="M408" s="730">
        <f>'[22]Planilha Orç'!$J$408</f>
        <v>63202.94</v>
      </c>
      <c r="N408" s="631">
        <f>+J408-M408</f>
        <v>0</v>
      </c>
      <c r="O408" s="408"/>
    </row>
    <row r="409" spans="1:15" ht="16.5" customHeight="1">
      <c r="A409" s="792" t="s">
        <v>199</v>
      </c>
      <c r="B409" s="796" t="s">
        <v>943</v>
      </c>
      <c r="C409" s="797"/>
      <c r="D409" s="797"/>
      <c r="E409" s="852"/>
      <c r="F409" s="792"/>
      <c r="G409" s="961"/>
      <c r="H409" s="961"/>
      <c r="I409" s="961"/>
      <c r="J409" s="961"/>
      <c r="K409" s="746">
        <f>+J415/$J$463</f>
        <v>8.3280048207651641E-3</v>
      </c>
      <c r="N409" s="631"/>
      <c r="O409" s="408"/>
    </row>
    <row r="410" spans="1:15" ht="37.799999999999997">
      <c r="A410" s="751" t="s">
        <v>2697</v>
      </c>
      <c r="B410" s="752" t="s">
        <v>628</v>
      </c>
      <c r="C410" s="753"/>
      <c r="D410" s="751">
        <v>94273</v>
      </c>
      <c r="E410" s="758" t="s">
        <v>2189</v>
      </c>
      <c r="F410" s="753" t="s">
        <v>810</v>
      </c>
      <c r="G410" s="832">
        <v>1673.8</v>
      </c>
      <c r="H410" s="832">
        <v>33.07</v>
      </c>
      <c r="I410" s="756">
        <f>ROUND(H410*(1+$K$471),2)</f>
        <v>41.31</v>
      </c>
      <c r="J410" s="756">
        <f t="shared" ref="J410:J414" si="71">ROUND(I410*G410,2)</f>
        <v>69144.679999999993</v>
      </c>
      <c r="K410" s="757"/>
      <c r="N410" s="631"/>
      <c r="O410" s="408"/>
    </row>
    <row r="411" spans="1:15" ht="25.2">
      <c r="A411" s="751" t="s">
        <v>2698</v>
      </c>
      <c r="B411" s="752" t="s">
        <v>628</v>
      </c>
      <c r="C411" s="753"/>
      <c r="D411" s="751">
        <v>94281</v>
      </c>
      <c r="E411" s="758" t="s">
        <v>2190</v>
      </c>
      <c r="F411" s="753" t="s">
        <v>810</v>
      </c>
      <c r="G411" s="832">
        <v>1673.8</v>
      </c>
      <c r="H411" s="832">
        <v>31.16</v>
      </c>
      <c r="I411" s="756">
        <f>ROUND(H411*(1+$K$471),2)</f>
        <v>38.93</v>
      </c>
      <c r="J411" s="756">
        <f t="shared" si="71"/>
        <v>65161.03</v>
      </c>
      <c r="K411" s="757"/>
      <c r="N411" s="631"/>
      <c r="O411" s="408"/>
    </row>
    <row r="412" spans="1:15" ht="25.2">
      <c r="A412" s="751" t="s">
        <v>2699</v>
      </c>
      <c r="B412" s="752" t="s">
        <v>628</v>
      </c>
      <c r="C412" s="753"/>
      <c r="D412" s="751" t="s">
        <v>944</v>
      </c>
      <c r="E412" s="758" t="s">
        <v>1513</v>
      </c>
      <c r="F412" s="753" t="s">
        <v>654</v>
      </c>
      <c r="G412" s="832">
        <v>8783.44</v>
      </c>
      <c r="H412" s="832">
        <v>38.49</v>
      </c>
      <c r="I412" s="756">
        <f>ROUND(H412*(1+$K$471),2)</f>
        <v>48.09</v>
      </c>
      <c r="J412" s="756">
        <f t="shared" si="71"/>
        <v>422395.63</v>
      </c>
      <c r="K412" s="757"/>
      <c r="N412" s="631"/>
      <c r="O412" s="408"/>
    </row>
    <row r="413" spans="1:15">
      <c r="A413" s="751" t="s">
        <v>2700</v>
      </c>
      <c r="B413" s="752" t="s">
        <v>605</v>
      </c>
      <c r="C413" s="753"/>
      <c r="D413" s="751" t="s">
        <v>2266</v>
      </c>
      <c r="E413" s="758" t="s">
        <v>2262</v>
      </c>
      <c r="F413" s="753" t="s">
        <v>1535</v>
      </c>
      <c r="G413" s="832">
        <v>252.39</v>
      </c>
      <c r="H413" s="832">
        <v>97.67</v>
      </c>
      <c r="I413" s="756">
        <f>ROUND(H413*(1+$K$471),2)</f>
        <v>122.02</v>
      </c>
      <c r="J413" s="756">
        <f t="shared" si="71"/>
        <v>30796.63</v>
      </c>
      <c r="K413" s="757"/>
      <c r="N413" s="631"/>
      <c r="O413" s="408"/>
    </row>
    <row r="414" spans="1:15">
      <c r="A414" s="751" t="s">
        <v>2701</v>
      </c>
      <c r="B414" s="752" t="s">
        <v>628</v>
      </c>
      <c r="C414" s="753"/>
      <c r="D414" s="751" t="s">
        <v>1796</v>
      </c>
      <c r="E414" s="758" t="s">
        <v>1736</v>
      </c>
      <c r="F414" s="753" t="s">
        <v>1535</v>
      </c>
      <c r="G414" s="832">
        <v>1975</v>
      </c>
      <c r="H414" s="832">
        <v>88.29</v>
      </c>
      <c r="I414" s="756">
        <f>ROUND(H414*(1+$K$471),2)</f>
        <v>110.3</v>
      </c>
      <c r="J414" s="756">
        <f t="shared" si="71"/>
        <v>217842.5</v>
      </c>
      <c r="K414" s="757"/>
      <c r="N414" s="631"/>
      <c r="O414" s="408"/>
    </row>
    <row r="415" spans="1:15">
      <c r="A415" s="859" t="s">
        <v>2857</v>
      </c>
      <c r="B415" s="860"/>
      <c r="C415" s="860"/>
      <c r="D415" s="860"/>
      <c r="E415" s="860"/>
      <c r="F415" s="860"/>
      <c r="G415" s="832"/>
      <c r="H415" s="832"/>
      <c r="I415" s="832"/>
      <c r="J415" s="888">
        <f>SUBTOTAL(109,J410:J414)</f>
        <v>805340.47</v>
      </c>
      <c r="K415" s="757"/>
      <c r="M415" s="730">
        <f>'[22]Planilha Orç'!$J$415</f>
        <v>805340.47</v>
      </c>
      <c r="N415" s="631">
        <f>+J415-M415</f>
        <v>0</v>
      </c>
      <c r="O415" s="408"/>
    </row>
    <row r="416" spans="1:15" ht="16.2" customHeight="1" thickBot="1">
      <c r="A416" s="889" t="s">
        <v>2859</v>
      </c>
      <c r="B416" s="890"/>
      <c r="C416" s="891"/>
      <c r="D416" s="891"/>
      <c r="E416" s="891"/>
      <c r="F416" s="891"/>
      <c r="G416" s="891"/>
      <c r="H416" s="892"/>
      <c r="I416" s="893"/>
      <c r="J416" s="894">
        <f>SUBTOTAL(109,J402:J414)</f>
        <v>868543.41</v>
      </c>
      <c r="K416" s="757"/>
      <c r="N416" s="631"/>
      <c r="O416" s="408"/>
    </row>
    <row r="417" spans="1:15" ht="15.6" customHeight="1">
      <c r="A417" s="964" t="s">
        <v>160</v>
      </c>
      <c r="B417" s="848" t="s">
        <v>945</v>
      </c>
      <c r="C417" s="849"/>
      <c r="D417" s="849"/>
      <c r="E417" s="849"/>
      <c r="F417" s="965"/>
      <c r="G417" s="966"/>
      <c r="H417" s="966"/>
      <c r="I417" s="966"/>
      <c r="J417" s="967"/>
      <c r="K417" s="746">
        <f>SUBTOTAL(109,K418:K452)</f>
        <v>1.0444325779562297E-2</v>
      </c>
      <c r="N417" s="631"/>
      <c r="O417" s="408"/>
    </row>
    <row r="418" spans="1:15" s="275" customFormat="1">
      <c r="A418" s="945" t="s">
        <v>201</v>
      </c>
      <c r="B418" s="968" t="s">
        <v>1740</v>
      </c>
      <c r="C418" s="969"/>
      <c r="D418" s="970"/>
      <c r="E418" s="968"/>
      <c r="F418" s="971"/>
      <c r="G418" s="972"/>
      <c r="H418" s="973"/>
      <c r="I418" s="973"/>
      <c r="J418" s="973"/>
      <c r="K418" s="746">
        <f>+J438/$J$463</f>
        <v>2.1021277652319391E-3</v>
      </c>
      <c r="L418" s="501"/>
      <c r="M418" s="730"/>
      <c r="N418" s="631"/>
      <c r="O418" s="408"/>
    </row>
    <row r="419" spans="1:15" s="275" customFormat="1" ht="25.2">
      <c r="A419" s="751" t="s">
        <v>2702</v>
      </c>
      <c r="B419" s="752" t="s">
        <v>2194</v>
      </c>
      <c r="C419" s="753"/>
      <c r="D419" s="753"/>
      <c r="E419" s="974" t="s">
        <v>1737</v>
      </c>
      <c r="F419" s="975" t="s">
        <v>1536</v>
      </c>
      <c r="G419" s="832">
        <v>1</v>
      </c>
      <c r="H419" s="832">
        <v>18000</v>
      </c>
      <c r="I419" s="756">
        <f t="shared" ref="I419:I437" si="72">ROUND(H419*(1+$K$471),2)</f>
        <v>22487.4</v>
      </c>
      <c r="J419" s="756">
        <f t="shared" ref="J419:J437" si="73">ROUND(I419*G419,2)</f>
        <v>22487.4</v>
      </c>
      <c r="K419" s="833"/>
      <c r="L419" s="501"/>
      <c r="M419" s="730"/>
      <c r="N419" s="631"/>
      <c r="O419" s="408"/>
    </row>
    <row r="420" spans="1:15" s="275" customFormat="1">
      <c r="A420" s="751" t="s">
        <v>2703</v>
      </c>
      <c r="B420" s="752" t="s">
        <v>2194</v>
      </c>
      <c r="C420" s="753"/>
      <c r="D420" s="753" t="s">
        <v>2192</v>
      </c>
      <c r="E420" s="830" t="s">
        <v>1738</v>
      </c>
      <c r="F420" s="975" t="s">
        <v>1536</v>
      </c>
      <c r="G420" s="832">
        <v>1</v>
      </c>
      <c r="H420" s="832">
        <v>50000</v>
      </c>
      <c r="I420" s="756">
        <f t="shared" si="72"/>
        <v>62465</v>
      </c>
      <c r="J420" s="756">
        <f t="shared" si="73"/>
        <v>62465</v>
      </c>
      <c r="K420" s="833"/>
      <c r="L420" s="501"/>
      <c r="M420" s="730"/>
      <c r="N420" s="631"/>
      <c r="O420" s="408"/>
    </row>
    <row r="421" spans="1:15" s="275" customFormat="1">
      <c r="A421" s="751" t="s">
        <v>2704</v>
      </c>
      <c r="B421" s="752" t="s">
        <v>1795</v>
      </c>
      <c r="C421" s="753"/>
      <c r="D421" s="753" t="s">
        <v>1794</v>
      </c>
      <c r="E421" s="830" t="s">
        <v>2196</v>
      </c>
      <c r="F421" s="975" t="s">
        <v>1536</v>
      </c>
      <c r="G421" s="832">
        <v>16</v>
      </c>
      <c r="H421" s="832">
        <v>608.31999999999994</v>
      </c>
      <c r="I421" s="756">
        <f t="shared" si="72"/>
        <v>759.97</v>
      </c>
      <c r="J421" s="756">
        <f t="shared" si="73"/>
        <v>12159.52</v>
      </c>
      <c r="K421" s="833"/>
      <c r="L421" s="501"/>
      <c r="M421" s="730"/>
      <c r="N421" s="631"/>
      <c r="O421" s="408"/>
    </row>
    <row r="422" spans="1:15" s="275" customFormat="1">
      <c r="A422" s="751" t="s">
        <v>2705</v>
      </c>
      <c r="B422" s="752" t="s">
        <v>605</v>
      </c>
      <c r="C422" s="753"/>
      <c r="D422" s="753" t="s">
        <v>2193</v>
      </c>
      <c r="E422" s="830" t="s">
        <v>1821</v>
      </c>
      <c r="F422" s="975" t="s">
        <v>1536</v>
      </c>
      <c r="G422" s="832">
        <v>1</v>
      </c>
      <c r="H422" s="832">
        <v>4436.3999999999996</v>
      </c>
      <c r="I422" s="756">
        <f t="shared" si="72"/>
        <v>5542.39</v>
      </c>
      <c r="J422" s="756">
        <f t="shared" si="73"/>
        <v>5542.39</v>
      </c>
      <c r="K422" s="833"/>
      <c r="L422" s="501"/>
      <c r="M422" s="730"/>
      <c r="N422" s="631"/>
      <c r="O422" s="408"/>
    </row>
    <row r="423" spans="1:15" s="275" customFormat="1">
      <c r="A423" s="751" t="s">
        <v>2706</v>
      </c>
      <c r="B423" s="752" t="s">
        <v>605</v>
      </c>
      <c r="C423" s="753"/>
      <c r="D423" s="753" t="s">
        <v>2207</v>
      </c>
      <c r="E423" s="830" t="s">
        <v>1739</v>
      </c>
      <c r="F423" s="975" t="s">
        <v>1536</v>
      </c>
      <c r="G423" s="832">
        <v>4</v>
      </c>
      <c r="H423" s="832">
        <v>771.2</v>
      </c>
      <c r="I423" s="756">
        <f t="shared" si="72"/>
        <v>963.46</v>
      </c>
      <c r="J423" s="756">
        <f t="shared" si="73"/>
        <v>3853.84</v>
      </c>
      <c r="K423" s="833"/>
      <c r="L423" s="501"/>
      <c r="M423" s="730"/>
      <c r="N423" s="631"/>
      <c r="O423" s="408"/>
    </row>
    <row r="424" spans="1:15" s="275" customFormat="1" ht="25.2">
      <c r="A424" s="751" t="s">
        <v>2707</v>
      </c>
      <c r="B424" s="752" t="s">
        <v>605</v>
      </c>
      <c r="C424" s="751"/>
      <c r="D424" s="753" t="s">
        <v>2208</v>
      </c>
      <c r="E424" s="830" t="s">
        <v>1741</v>
      </c>
      <c r="F424" s="975" t="s">
        <v>1536</v>
      </c>
      <c r="G424" s="832">
        <v>1</v>
      </c>
      <c r="H424" s="832">
        <v>3065.84</v>
      </c>
      <c r="I424" s="756">
        <f t="shared" si="72"/>
        <v>3830.15</v>
      </c>
      <c r="J424" s="756">
        <f t="shared" si="73"/>
        <v>3830.15</v>
      </c>
      <c r="K424" s="833"/>
      <c r="L424" s="501"/>
      <c r="M424" s="730"/>
      <c r="N424" s="631"/>
      <c r="O424" s="408"/>
    </row>
    <row r="425" spans="1:15" s="275" customFormat="1" ht="25.2">
      <c r="A425" s="751" t="s">
        <v>2708</v>
      </c>
      <c r="B425" s="752" t="s">
        <v>605</v>
      </c>
      <c r="C425" s="753"/>
      <c r="D425" s="753" t="s">
        <v>2234</v>
      </c>
      <c r="E425" s="830" t="s">
        <v>1742</v>
      </c>
      <c r="F425" s="975" t="s">
        <v>1536</v>
      </c>
      <c r="G425" s="832">
        <v>20</v>
      </c>
      <c r="H425" s="832">
        <v>76.539999999999992</v>
      </c>
      <c r="I425" s="756">
        <f t="shared" si="72"/>
        <v>95.62</v>
      </c>
      <c r="J425" s="756">
        <f t="shared" si="73"/>
        <v>1912.4</v>
      </c>
      <c r="K425" s="833"/>
      <c r="L425" s="501"/>
      <c r="M425" s="730"/>
      <c r="N425" s="631"/>
      <c r="O425" s="408"/>
    </row>
    <row r="426" spans="1:15" s="275" customFormat="1">
      <c r="A426" s="751" t="s">
        <v>2709</v>
      </c>
      <c r="B426" s="752" t="s">
        <v>605</v>
      </c>
      <c r="C426" s="753"/>
      <c r="D426" s="753" t="s">
        <v>2209</v>
      </c>
      <c r="E426" s="830" t="s">
        <v>1743</v>
      </c>
      <c r="F426" s="975" t="s">
        <v>1536</v>
      </c>
      <c r="G426" s="832">
        <v>1</v>
      </c>
      <c r="H426" s="832">
        <v>139.72999999999999</v>
      </c>
      <c r="I426" s="756">
        <f t="shared" si="72"/>
        <v>174.56</v>
      </c>
      <c r="J426" s="756">
        <f t="shared" si="73"/>
        <v>174.56</v>
      </c>
      <c r="K426" s="833"/>
      <c r="L426" s="501"/>
      <c r="M426" s="730"/>
      <c r="N426" s="631"/>
      <c r="O426" s="408"/>
    </row>
    <row r="427" spans="1:15" s="275" customFormat="1">
      <c r="A427" s="751" t="s">
        <v>2710</v>
      </c>
      <c r="B427" s="752" t="s">
        <v>605</v>
      </c>
      <c r="C427" s="753"/>
      <c r="D427" s="753" t="s">
        <v>2222</v>
      </c>
      <c r="E427" s="830" t="s">
        <v>2224</v>
      </c>
      <c r="F427" s="975" t="s">
        <v>1535</v>
      </c>
      <c r="G427" s="832">
        <v>314</v>
      </c>
      <c r="H427" s="832">
        <v>16.38</v>
      </c>
      <c r="I427" s="756">
        <f t="shared" si="72"/>
        <v>20.46</v>
      </c>
      <c r="J427" s="756">
        <f t="shared" si="73"/>
        <v>6424.44</v>
      </c>
      <c r="K427" s="833"/>
      <c r="L427" s="501"/>
      <c r="M427" s="730"/>
      <c r="N427" s="631"/>
      <c r="O427" s="408"/>
    </row>
    <row r="428" spans="1:15" s="275" customFormat="1">
      <c r="A428" s="751" t="s">
        <v>2711</v>
      </c>
      <c r="B428" s="752" t="s">
        <v>628</v>
      </c>
      <c r="C428" s="753"/>
      <c r="D428" s="753">
        <v>79462</v>
      </c>
      <c r="E428" s="830" t="s">
        <v>2225</v>
      </c>
      <c r="F428" s="975" t="s">
        <v>1535</v>
      </c>
      <c r="G428" s="832">
        <v>314</v>
      </c>
      <c r="H428" s="832">
        <v>30.3</v>
      </c>
      <c r="I428" s="756">
        <f t="shared" si="72"/>
        <v>37.85</v>
      </c>
      <c r="J428" s="756">
        <f t="shared" si="73"/>
        <v>11884.9</v>
      </c>
      <c r="K428" s="833"/>
      <c r="L428" s="501"/>
      <c r="M428" s="730"/>
      <c r="N428" s="631"/>
      <c r="O428" s="408"/>
    </row>
    <row r="429" spans="1:15" s="275" customFormat="1" ht="63">
      <c r="A429" s="751" t="s">
        <v>2712</v>
      </c>
      <c r="B429" s="752" t="s">
        <v>628</v>
      </c>
      <c r="C429" s="753"/>
      <c r="D429" s="753">
        <v>79465</v>
      </c>
      <c r="E429" s="830" t="s">
        <v>2191</v>
      </c>
      <c r="F429" s="975" t="s">
        <v>1535</v>
      </c>
      <c r="G429" s="832">
        <v>314</v>
      </c>
      <c r="H429" s="832">
        <v>34.92</v>
      </c>
      <c r="I429" s="756">
        <f t="shared" si="72"/>
        <v>43.63</v>
      </c>
      <c r="J429" s="756">
        <f t="shared" si="73"/>
        <v>13699.82</v>
      </c>
      <c r="K429" s="833"/>
      <c r="L429" s="501"/>
      <c r="M429" s="730"/>
      <c r="N429" s="631"/>
      <c r="O429" s="408"/>
    </row>
    <row r="430" spans="1:15" s="275" customFormat="1">
      <c r="A430" s="751" t="s">
        <v>2713</v>
      </c>
      <c r="B430" s="752" t="s">
        <v>605</v>
      </c>
      <c r="C430" s="753"/>
      <c r="D430" s="753" t="s">
        <v>2226</v>
      </c>
      <c r="E430" s="830" t="s">
        <v>1744</v>
      </c>
      <c r="F430" s="975" t="s">
        <v>1536</v>
      </c>
      <c r="G430" s="832">
        <v>1</v>
      </c>
      <c r="H430" s="832">
        <v>785.91</v>
      </c>
      <c r="I430" s="756">
        <f t="shared" si="72"/>
        <v>981.84</v>
      </c>
      <c r="J430" s="756">
        <f t="shared" si="73"/>
        <v>981.84</v>
      </c>
      <c r="K430" s="833"/>
      <c r="L430" s="501"/>
      <c r="M430" s="730"/>
      <c r="N430" s="631"/>
      <c r="O430" s="408"/>
    </row>
    <row r="431" spans="1:15" s="275" customFormat="1">
      <c r="A431" s="751" t="s">
        <v>2714</v>
      </c>
      <c r="B431" s="752" t="s">
        <v>605</v>
      </c>
      <c r="C431" s="753"/>
      <c r="D431" s="753" t="s">
        <v>2229</v>
      </c>
      <c r="E431" s="830" t="s">
        <v>1745</v>
      </c>
      <c r="F431" s="975" t="s">
        <v>1536</v>
      </c>
      <c r="G431" s="832">
        <v>2</v>
      </c>
      <c r="H431" s="832">
        <v>100.49</v>
      </c>
      <c r="I431" s="756">
        <f t="shared" si="72"/>
        <v>125.54</v>
      </c>
      <c r="J431" s="756">
        <f t="shared" si="73"/>
        <v>251.08</v>
      </c>
      <c r="K431" s="833"/>
      <c r="L431" s="501"/>
      <c r="M431" s="730"/>
      <c r="N431" s="631"/>
      <c r="O431" s="408"/>
    </row>
    <row r="432" spans="1:15" s="275" customFormat="1">
      <c r="A432" s="751" t="s">
        <v>2715</v>
      </c>
      <c r="B432" s="752" t="s">
        <v>605</v>
      </c>
      <c r="C432" s="753"/>
      <c r="D432" s="753" t="s">
        <v>2230</v>
      </c>
      <c r="E432" s="830" t="s">
        <v>1746</v>
      </c>
      <c r="F432" s="975" t="s">
        <v>1536</v>
      </c>
      <c r="G432" s="832">
        <v>2</v>
      </c>
      <c r="H432" s="832">
        <v>78.77</v>
      </c>
      <c r="I432" s="756">
        <f t="shared" si="72"/>
        <v>98.41</v>
      </c>
      <c r="J432" s="756">
        <f t="shared" si="73"/>
        <v>196.82</v>
      </c>
      <c r="K432" s="833"/>
      <c r="L432" s="501"/>
      <c r="M432" s="730"/>
      <c r="N432" s="631"/>
      <c r="O432" s="408"/>
    </row>
    <row r="433" spans="1:15" s="275" customFormat="1">
      <c r="A433" s="751" t="s">
        <v>2716</v>
      </c>
      <c r="B433" s="752" t="s">
        <v>605</v>
      </c>
      <c r="C433" s="753"/>
      <c r="D433" s="753" t="s">
        <v>2229</v>
      </c>
      <c r="E433" s="830" t="s">
        <v>1747</v>
      </c>
      <c r="F433" s="975" t="s">
        <v>1536</v>
      </c>
      <c r="G433" s="832">
        <v>1</v>
      </c>
      <c r="H433" s="832">
        <v>100.49</v>
      </c>
      <c r="I433" s="756">
        <f t="shared" si="72"/>
        <v>125.54</v>
      </c>
      <c r="J433" s="756">
        <f t="shared" si="73"/>
        <v>125.54</v>
      </c>
      <c r="K433" s="833"/>
      <c r="L433" s="501"/>
      <c r="M433" s="730"/>
      <c r="N433" s="631"/>
      <c r="O433" s="408"/>
    </row>
    <row r="434" spans="1:15" s="275" customFormat="1">
      <c r="A434" s="751" t="s">
        <v>2717</v>
      </c>
      <c r="B434" s="752" t="s">
        <v>605</v>
      </c>
      <c r="C434" s="753"/>
      <c r="D434" s="753" t="s">
        <v>2229</v>
      </c>
      <c r="E434" s="830" t="s">
        <v>1748</v>
      </c>
      <c r="F434" s="975" t="s">
        <v>1536</v>
      </c>
      <c r="G434" s="832">
        <v>2</v>
      </c>
      <c r="H434" s="832">
        <v>100.49</v>
      </c>
      <c r="I434" s="756">
        <f t="shared" si="72"/>
        <v>125.54</v>
      </c>
      <c r="J434" s="756">
        <f t="shared" si="73"/>
        <v>251.08</v>
      </c>
      <c r="K434" s="833"/>
      <c r="L434" s="501"/>
      <c r="M434" s="730"/>
      <c r="N434" s="631"/>
      <c r="O434" s="408"/>
    </row>
    <row r="435" spans="1:15" s="275" customFormat="1">
      <c r="A435" s="751" t="s">
        <v>2718</v>
      </c>
      <c r="B435" s="752" t="s">
        <v>605</v>
      </c>
      <c r="C435" s="753"/>
      <c r="D435" s="753" t="s">
        <v>2231</v>
      </c>
      <c r="E435" s="830" t="s">
        <v>1749</v>
      </c>
      <c r="F435" s="975" t="s">
        <v>1536</v>
      </c>
      <c r="G435" s="832">
        <v>43</v>
      </c>
      <c r="H435" s="832">
        <v>463.88</v>
      </c>
      <c r="I435" s="756">
        <f t="shared" si="72"/>
        <v>579.53</v>
      </c>
      <c r="J435" s="756">
        <f t="shared" si="73"/>
        <v>24919.79</v>
      </c>
      <c r="K435" s="833"/>
      <c r="L435" s="501"/>
      <c r="M435" s="730"/>
      <c r="N435" s="631"/>
      <c r="O435" s="408"/>
    </row>
    <row r="436" spans="1:15" s="275" customFormat="1">
      <c r="A436" s="751" t="s">
        <v>2719</v>
      </c>
      <c r="B436" s="752" t="s">
        <v>605</v>
      </c>
      <c r="C436" s="753"/>
      <c r="D436" s="753" t="s">
        <v>2231</v>
      </c>
      <c r="E436" s="830" t="s">
        <v>1750</v>
      </c>
      <c r="F436" s="975" t="s">
        <v>1536</v>
      </c>
      <c r="G436" s="832">
        <v>8</v>
      </c>
      <c r="H436" s="832">
        <v>463.88</v>
      </c>
      <c r="I436" s="756">
        <f t="shared" si="72"/>
        <v>579.53</v>
      </c>
      <c r="J436" s="756">
        <f t="shared" si="73"/>
        <v>4636.24</v>
      </c>
      <c r="K436" s="833"/>
      <c r="L436" s="501"/>
      <c r="M436" s="730"/>
      <c r="N436" s="631"/>
      <c r="O436" s="408"/>
    </row>
    <row r="437" spans="1:15" s="275" customFormat="1" ht="25.2">
      <c r="A437" s="751" t="s">
        <v>2720</v>
      </c>
      <c r="B437" s="752" t="s">
        <v>2194</v>
      </c>
      <c r="C437" s="753"/>
      <c r="D437" s="753" t="s">
        <v>2192</v>
      </c>
      <c r="E437" s="830" t="s">
        <v>1751</v>
      </c>
      <c r="F437" s="975" t="s">
        <v>1536</v>
      </c>
      <c r="G437" s="832">
        <v>1</v>
      </c>
      <c r="H437" s="832">
        <v>22000</v>
      </c>
      <c r="I437" s="756">
        <f t="shared" si="72"/>
        <v>27484.6</v>
      </c>
      <c r="J437" s="756">
        <f t="shared" si="73"/>
        <v>27484.6</v>
      </c>
      <c r="K437" s="833"/>
      <c r="L437" s="501"/>
      <c r="M437" s="730"/>
      <c r="N437" s="631"/>
      <c r="O437" s="408"/>
    </row>
    <row r="438" spans="1:15" s="275" customFormat="1" ht="16.2" customHeight="1" thickBot="1">
      <c r="A438" s="976" t="s">
        <v>2860</v>
      </c>
      <c r="B438" s="977"/>
      <c r="C438" s="978"/>
      <c r="D438" s="978"/>
      <c r="E438" s="978"/>
      <c r="F438" s="978"/>
      <c r="G438" s="832"/>
      <c r="H438" s="832"/>
      <c r="I438" s="832"/>
      <c r="J438" s="888">
        <f>SUBTOTAL(109,J419:J437)</f>
        <v>203281.40999999997</v>
      </c>
      <c r="K438" s="833"/>
      <c r="L438" s="501"/>
      <c r="M438" s="730">
        <f>'[22]Planilha Orç'!$J$438</f>
        <v>0</v>
      </c>
      <c r="N438" s="631">
        <f>+J438-M438</f>
        <v>203281.40999999997</v>
      </c>
      <c r="O438" s="408"/>
    </row>
    <row r="439" spans="1:15" s="275" customFormat="1">
      <c r="A439" s="945" t="s">
        <v>202</v>
      </c>
      <c r="B439" s="968" t="s">
        <v>1758</v>
      </c>
      <c r="C439" s="969"/>
      <c r="D439" s="970"/>
      <c r="E439" s="979"/>
      <c r="F439" s="945"/>
      <c r="G439" s="973"/>
      <c r="H439" s="973"/>
      <c r="I439" s="973"/>
      <c r="J439" s="973"/>
      <c r="K439" s="746">
        <f>+J451/$J$463</f>
        <v>2.1295387916994142E-3</v>
      </c>
      <c r="L439" s="501"/>
      <c r="M439" s="730"/>
      <c r="N439" s="631"/>
      <c r="O439" s="408"/>
    </row>
    <row r="440" spans="1:15" s="275" customFormat="1" ht="37.799999999999997">
      <c r="A440" s="751" t="s">
        <v>2721</v>
      </c>
      <c r="B440" s="752" t="s">
        <v>605</v>
      </c>
      <c r="C440" s="753"/>
      <c r="D440" s="753" t="s">
        <v>2237</v>
      </c>
      <c r="E440" s="830" t="s">
        <v>1752</v>
      </c>
      <c r="F440" s="975" t="s">
        <v>1536</v>
      </c>
      <c r="G440" s="832">
        <v>3</v>
      </c>
      <c r="H440" s="832">
        <v>3161.73</v>
      </c>
      <c r="I440" s="756">
        <f t="shared" ref="I440:I450" si="74">ROUND(H440*(1+$K$471),2)</f>
        <v>3949.95</v>
      </c>
      <c r="J440" s="756">
        <f t="shared" ref="J440:J450" si="75">ROUND(I440*G440,2)</f>
        <v>11849.85</v>
      </c>
      <c r="K440" s="833"/>
      <c r="L440" s="501"/>
      <c r="M440" s="730"/>
      <c r="N440" s="631"/>
      <c r="O440" s="408"/>
    </row>
    <row r="441" spans="1:15" s="275" customFormat="1" ht="25.2">
      <c r="A441" s="751" t="s">
        <v>2722</v>
      </c>
      <c r="B441" s="752" t="s">
        <v>605</v>
      </c>
      <c r="C441" s="753"/>
      <c r="D441" s="753" t="s">
        <v>2242</v>
      </c>
      <c r="E441" s="830" t="s">
        <v>1753</v>
      </c>
      <c r="F441" s="975" t="s">
        <v>1536</v>
      </c>
      <c r="G441" s="832">
        <v>3</v>
      </c>
      <c r="H441" s="832">
        <v>3072.8999999999996</v>
      </c>
      <c r="I441" s="756">
        <f t="shared" si="74"/>
        <v>3838.97</v>
      </c>
      <c r="J441" s="756">
        <f t="shared" si="75"/>
        <v>11516.91</v>
      </c>
      <c r="K441" s="833"/>
      <c r="L441" s="501"/>
      <c r="M441" s="730"/>
      <c r="N441" s="631"/>
      <c r="O441" s="408"/>
    </row>
    <row r="442" spans="1:15" s="275" customFormat="1" ht="37.799999999999997">
      <c r="A442" s="751" t="s">
        <v>2723</v>
      </c>
      <c r="B442" s="752" t="s">
        <v>605</v>
      </c>
      <c r="C442" s="753"/>
      <c r="D442" s="753" t="s">
        <v>2243</v>
      </c>
      <c r="E442" s="830" t="s">
        <v>1754</v>
      </c>
      <c r="F442" s="975" t="s">
        <v>1536</v>
      </c>
      <c r="G442" s="832">
        <v>6</v>
      </c>
      <c r="H442" s="832">
        <v>1066.04</v>
      </c>
      <c r="I442" s="756">
        <f t="shared" si="74"/>
        <v>1331.8</v>
      </c>
      <c r="J442" s="756">
        <f t="shared" si="75"/>
        <v>7990.8</v>
      </c>
      <c r="K442" s="833"/>
      <c r="L442" s="501"/>
      <c r="M442" s="730"/>
      <c r="N442" s="631"/>
      <c r="O442" s="408"/>
    </row>
    <row r="443" spans="1:15" s="275" customFormat="1" ht="25.2">
      <c r="A443" s="751" t="s">
        <v>2724</v>
      </c>
      <c r="B443" s="752" t="s">
        <v>605</v>
      </c>
      <c r="C443" s="753"/>
      <c r="D443" s="753" t="s">
        <v>2244</v>
      </c>
      <c r="E443" s="830" t="s">
        <v>1755</v>
      </c>
      <c r="F443" s="975" t="s">
        <v>1536</v>
      </c>
      <c r="G443" s="832">
        <v>6</v>
      </c>
      <c r="H443" s="832">
        <v>1066.04</v>
      </c>
      <c r="I443" s="756">
        <f t="shared" si="74"/>
        <v>1331.8</v>
      </c>
      <c r="J443" s="756">
        <f t="shared" si="75"/>
        <v>7990.8</v>
      </c>
      <c r="K443" s="833"/>
      <c r="L443" s="501"/>
      <c r="M443" s="730"/>
      <c r="N443" s="631"/>
      <c r="O443" s="408"/>
    </row>
    <row r="444" spans="1:15" s="275" customFormat="1" ht="42.6" customHeight="1">
      <c r="A444" s="751" t="s">
        <v>2725</v>
      </c>
      <c r="B444" s="752" t="s">
        <v>605</v>
      </c>
      <c r="C444" s="753"/>
      <c r="D444" s="753" t="s">
        <v>2245</v>
      </c>
      <c r="E444" s="830" t="s">
        <v>1756</v>
      </c>
      <c r="F444" s="975" t="s">
        <v>1536</v>
      </c>
      <c r="G444" s="832">
        <v>8</v>
      </c>
      <c r="H444" s="832">
        <v>444.19</v>
      </c>
      <c r="I444" s="756">
        <f t="shared" si="74"/>
        <v>554.92999999999995</v>
      </c>
      <c r="J444" s="756">
        <f t="shared" si="75"/>
        <v>4439.4399999999996</v>
      </c>
      <c r="K444" s="833"/>
      <c r="L444" s="501"/>
      <c r="M444" s="730"/>
      <c r="N444" s="631"/>
      <c r="O444" s="408"/>
    </row>
    <row r="445" spans="1:15" s="275" customFormat="1" ht="25.2">
      <c r="A445" s="751" t="s">
        <v>2726</v>
      </c>
      <c r="B445" s="752" t="s">
        <v>605</v>
      </c>
      <c r="C445" s="753"/>
      <c r="D445" s="753" t="s">
        <v>2246</v>
      </c>
      <c r="E445" s="830" t="s">
        <v>1757</v>
      </c>
      <c r="F445" s="975" t="s">
        <v>1536</v>
      </c>
      <c r="G445" s="832">
        <v>8</v>
      </c>
      <c r="H445" s="832">
        <v>355.35</v>
      </c>
      <c r="I445" s="756">
        <f t="shared" si="74"/>
        <v>443.94</v>
      </c>
      <c r="J445" s="756">
        <f t="shared" si="75"/>
        <v>3551.52</v>
      </c>
      <c r="K445" s="833"/>
      <c r="L445" s="501"/>
      <c r="M445" s="730"/>
      <c r="N445" s="631"/>
      <c r="O445" s="408"/>
    </row>
    <row r="446" spans="1:15" s="275" customFormat="1" ht="37.799999999999997">
      <c r="A446" s="751" t="s">
        <v>2727</v>
      </c>
      <c r="B446" s="752" t="s">
        <v>605</v>
      </c>
      <c r="C446" s="753"/>
      <c r="D446" s="753" t="s">
        <v>2247</v>
      </c>
      <c r="E446" s="830" t="s">
        <v>2896</v>
      </c>
      <c r="F446" s="975" t="s">
        <v>1536</v>
      </c>
      <c r="G446" s="832">
        <v>27</v>
      </c>
      <c r="H446" s="832">
        <v>191.84</v>
      </c>
      <c r="I446" s="756">
        <f t="shared" si="74"/>
        <v>239.67</v>
      </c>
      <c r="J446" s="756">
        <f t="shared" si="75"/>
        <v>6471.09</v>
      </c>
      <c r="K446" s="833"/>
      <c r="L446" s="501"/>
      <c r="M446" s="730"/>
      <c r="N446" s="631"/>
      <c r="O446" s="408"/>
    </row>
    <row r="447" spans="1:15" s="275" customFormat="1" ht="37.799999999999997">
      <c r="A447" s="751" t="s">
        <v>2728</v>
      </c>
      <c r="B447" s="752" t="s">
        <v>605</v>
      </c>
      <c r="C447" s="753"/>
      <c r="D447" s="753" t="s">
        <v>2249</v>
      </c>
      <c r="E447" s="830" t="s">
        <v>2897</v>
      </c>
      <c r="F447" s="975" t="s">
        <v>1536</v>
      </c>
      <c r="G447" s="832">
        <v>113</v>
      </c>
      <c r="H447" s="832">
        <v>734.62</v>
      </c>
      <c r="I447" s="756">
        <f t="shared" si="74"/>
        <v>917.76</v>
      </c>
      <c r="J447" s="756">
        <f t="shared" si="75"/>
        <v>103706.88</v>
      </c>
      <c r="K447" s="833"/>
      <c r="L447" s="501"/>
      <c r="M447" s="730"/>
      <c r="N447" s="631"/>
      <c r="O447" s="408"/>
    </row>
    <row r="448" spans="1:15" s="275" customFormat="1">
      <c r="A448" s="751" t="s">
        <v>2729</v>
      </c>
      <c r="B448" s="752" t="s">
        <v>628</v>
      </c>
      <c r="C448" s="933"/>
      <c r="D448" s="980">
        <v>84122</v>
      </c>
      <c r="E448" s="830" t="s">
        <v>2250</v>
      </c>
      <c r="F448" s="975" t="s">
        <v>630</v>
      </c>
      <c r="G448" s="832">
        <v>1</v>
      </c>
      <c r="H448" s="832">
        <v>556.74</v>
      </c>
      <c r="I448" s="756">
        <f t="shared" si="74"/>
        <v>695.54</v>
      </c>
      <c r="J448" s="756">
        <f t="shared" si="75"/>
        <v>695.54</v>
      </c>
      <c r="K448" s="833"/>
      <c r="L448" s="501"/>
      <c r="M448" s="730"/>
      <c r="N448" s="631"/>
      <c r="O448" s="408"/>
    </row>
    <row r="449" spans="1:15" s="275" customFormat="1">
      <c r="A449" s="751" t="s">
        <v>2730</v>
      </c>
      <c r="B449" s="752" t="s">
        <v>628</v>
      </c>
      <c r="C449" s="933"/>
      <c r="D449" s="934">
        <v>84121</v>
      </c>
      <c r="E449" s="830" t="s">
        <v>947</v>
      </c>
      <c r="F449" s="975" t="s">
        <v>630</v>
      </c>
      <c r="G449" s="832">
        <v>623</v>
      </c>
      <c r="H449" s="832">
        <v>50.33</v>
      </c>
      <c r="I449" s="756">
        <f t="shared" si="74"/>
        <v>62.88</v>
      </c>
      <c r="J449" s="756">
        <f t="shared" si="75"/>
        <v>39174.239999999998</v>
      </c>
      <c r="K449" s="833"/>
      <c r="L449" s="501"/>
      <c r="M449" s="730"/>
      <c r="N449" s="631"/>
      <c r="O449" s="408"/>
    </row>
    <row r="450" spans="1:15" s="275" customFormat="1">
      <c r="A450" s="751" t="s">
        <v>2731</v>
      </c>
      <c r="B450" s="752" t="s">
        <v>1060</v>
      </c>
      <c r="C450" s="753"/>
      <c r="D450" s="751">
        <v>7842</v>
      </c>
      <c r="E450" s="830" t="s">
        <v>2884</v>
      </c>
      <c r="F450" s="975" t="s">
        <v>1536</v>
      </c>
      <c r="G450" s="832">
        <v>38</v>
      </c>
      <c r="H450" s="832">
        <v>180</v>
      </c>
      <c r="I450" s="756">
        <f t="shared" si="74"/>
        <v>224.87</v>
      </c>
      <c r="J450" s="756">
        <f t="shared" si="75"/>
        <v>8545.06</v>
      </c>
      <c r="K450" s="833"/>
      <c r="L450" s="501"/>
      <c r="M450" s="730"/>
      <c r="N450" s="631"/>
      <c r="O450" s="408"/>
    </row>
    <row r="451" spans="1:15" s="275" customFormat="1" ht="16.2" customHeight="1" thickBot="1">
      <c r="A451" s="981" t="s">
        <v>1759</v>
      </c>
      <c r="B451" s="982"/>
      <c r="C451" s="983"/>
      <c r="D451" s="983"/>
      <c r="E451" s="983"/>
      <c r="F451" s="983"/>
      <c r="G451" s="832"/>
      <c r="H451" s="832"/>
      <c r="I451" s="832"/>
      <c r="J451" s="888">
        <f>SUBTOTAL(109,J440:J450)</f>
        <v>205932.13</v>
      </c>
      <c r="K451" s="833"/>
      <c r="L451" s="501"/>
      <c r="M451" s="730">
        <f>'[22]Planilha Orç'!$J$451</f>
        <v>190966.69</v>
      </c>
      <c r="N451" s="631">
        <f>+J451-M451</f>
        <v>14965.440000000002</v>
      </c>
      <c r="O451" s="408"/>
    </row>
    <row r="452" spans="1:15" s="275" customFormat="1">
      <c r="A452" s="984" t="s">
        <v>2732</v>
      </c>
      <c r="B452" s="985" t="s">
        <v>946</v>
      </c>
      <c r="C452" s="986"/>
      <c r="D452" s="986"/>
      <c r="E452" s="986"/>
      <c r="F452" s="986"/>
      <c r="G452" s="986"/>
      <c r="H452" s="986"/>
      <c r="I452" s="986"/>
      <c r="J452" s="987"/>
      <c r="K452" s="746">
        <f>+J460/$J$463</f>
        <v>6.2126592226309446E-3</v>
      </c>
      <c r="L452" s="501"/>
      <c r="M452" s="730"/>
      <c r="N452" s="631"/>
      <c r="O452" s="408"/>
    </row>
    <row r="453" spans="1:15" s="275" customFormat="1">
      <c r="A453" s="828" t="s">
        <v>2733</v>
      </c>
      <c r="B453" s="829" t="s">
        <v>628</v>
      </c>
      <c r="C453" s="830"/>
      <c r="D453" s="831" t="s">
        <v>2252</v>
      </c>
      <c r="E453" s="830" t="s">
        <v>2251</v>
      </c>
      <c r="F453" s="828" t="s">
        <v>654</v>
      </c>
      <c r="G453" s="832">
        <v>2693.81</v>
      </c>
      <c r="H453" s="832">
        <v>8.75</v>
      </c>
      <c r="I453" s="756">
        <f t="shared" ref="I453:I459" si="76">ROUND(H453*(1+$K$471),2)</f>
        <v>10.93</v>
      </c>
      <c r="J453" s="756">
        <f t="shared" ref="J453:J459" si="77">ROUND(I453*G453,2)</f>
        <v>29443.34</v>
      </c>
      <c r="K453" s="833"/>
      <c r="L453" s="501"/>
      <c r="M453" s="730"/>
      <c r="N453" s="631"/>
      <c r="O453" s="408"/>
    </row>
    <row r="454" spans="1:15" s="275" customFormat="1">
      <c r="A454" s="828" t="s">
        <v>2734</v>
      </c>
      <c r="B454" s="829" t="s">
        <v>628</v>
      </c>
      <c r="C454" s="830"/>
      <c r="D454" s="831" t="s">
        <v>2258</v>
      </c>
      <c r="E454" s="830" t="s">
        <v>2257</v>
      </c>
      <c r="F454" s="828" t="s">
        <v>654</v>
      </c>
      <c r="G454" s="832">
        <v>520</v>
      </c>
      <c r="H454" s="832">
        <v>19.510000000000002</v>
      </c>
      <c r="I454" s="756">
        <f t="shared" si="76"/>
        <v>24.37</v>
      </c>
      <c r="J454" s="756">
        <f t="shared" si="77"/>
        <v>12672.4</v>
      </c>
      <c r="K454" s="833"/>
      <c r="L454" s="501"/>
      <c r="M454" s="730"/>
      <c r="N454" s="631"/>
      <c r="O454" s="408"/>
    </row>
    <row r="455" spans="1:15" s="275" customFormat="1">
      <c r="A455" s="828" t="s">
        <v>2735</v>
      </c>
      <c r="B455" s="829" t="s">
        <v>628</v>
      </c>
      <c r="C455" s="830"/>
      <c r="D455" s="831" t="s">
        <v>2256</v>
      </c>
      <c r="E455" s="830" t="s">
        <v>2255</v>
      </c>
      <c r="F455" s="828" t="s">
        <v>654</v>
      </c>
      <c r="G455" s="832">
        <v>2129.63</v>
      </c>
      <c r="H455" s="832">
        <v>6.38</v>
      </c>
      <c r="I455" s="756">
        <f t="shared" si="76"/>
        <v>7.97</v>
      </c>
      <c r="J455" s="756">
        <f t="shared" si="77"/>
        <v>16973.150000000001</v>
      </c>
      <c r="K455" s="833"/>
      <c r="L455" s="501"/>
      <c r="M455" s="730"/>
      <c r="N455" s="631"/>
      <c r="O455" s="408"/>
    </row>
    <row r="456" spans="1:15" s="275" customFormat="1">
      <c r="A456" s="828" t="s">
        <v>2736</v>
      </c>
      <c r="B456" s="829" t="s">
        <v>628</v>
      </c>
      <c r="C456" s="830"/>
      <c r="D456" s="831">
        <v>84125</v>
      </c>
      <c r="E456" s="830" t="s">
        <v>2349</v>
      </c>
      <c r="F456" s="828" t="s">
        <v>654</v>
      </c>
      <c r="G456" s="832">
        <v>13735.9</v>
      </c>
      <c r="H456" s="832">
        <v>5.83</v>
      </c>
      <c r="I456" s="756">
        <f t="shared" si="76"/>
        <v>7.28</v>
      </c>
      <c r="J456" s="756">
        <f t="shared" si="77"/>
        <v>99997.35</v>
      </c>
      <c r="K456" s="833"/>
      <c r="L456" s="501"/>
      <c r="M456" s="730"/>
      <c r="N456" s="631"/>
      <c r="O456" s="408"/>
    </row>
    <row r="457" spans="1:15" s="275" customFormat="1">
      <c r="A457" s="828" t="s">
        <v>2737</v>
      </c>
      <c r="B457" s="829" t="s">
        <v>628</v>
      </c>
      <c r="C457" s="830"/>
      <c r="D457" s="831" t="s">
        <v>2254</v>
      </c>
      <c r="E457" s="830" t="s">
        <v>2253</v>
      </c>
      <c r="F457" s="828" t="s">
        <v>654</v>
      </c>
      <c r="G457" s="832">
        <v>18154.650000000001</v>
      </c>
      <c r="H457" s="832">
        <v>15.52</v>
      </c>
      <c r="I457" s="756">
        <f t="shared" si="76"/>
        <v>19.39</v>
      </c>
      <c r="J457" s="756">
        <f t="shared" si="77"/>
        <v>352018.66</v>
      </c>
      <c r="K457" s="833"/>
      <c r="L457" s="501"/>
      <c r="M457" s="730"/>
      <c r="N457" s="631"/>
      <c r="O457" s="408"/>
    </row>
    <row r="458" spans="1:15" s="275" customFormat="1">
      <c r="A458" s="828" t="s">
        <v>2738</v>
      </c>
      <c r="B458" s="829" t="s">
        <v>628</v>
      </c>
      <c r="C458" s="830"/>
      <c r="D458" s="831" t="s">
        <v>2351</v>
      </c>
      <c r="E458" s="830" t="s">
        <v>2350</v>
      </c>
      <c r="F458" s="828" t="s">
        <v>654</v>
      </c>
      <c r="G458" s="832">
        <v>1814.67</v>
      </c>
      <c r="H458" s="832">
        <v>6.97</v>
      </c>
      <c r="I458" s="756">
        <f t="shared" si="76"/>
        <v>8.7100000000000009</v>
      </c>
      <c r="J458" s="756">
        <f t="shared" si="77"/>
        <v>15805.78</v>
      </c>
      <c r="K458" s="833"/>
      <c r="L458" s="501"/>
      <c r="M458" s="730"/>
      <c r="N458" s="631"/>
      <c r="O458" s="408"/>
    </row>
    <row r="459" spans="1:15">
      <c r="A459" s="828" t="s">
        <v>2739</v>
      </c>
      <c r="B459" s="829" t="s">
        <v>628</v>
      </c>
      <c r="C459" s="830"/>
      <c r="D459" s="831">
        <v>9537</v>
      </c>
      <c r="E459" s="830" t="s">
        <v>946</v>
      </c>
      <c r="F459" s="828" t="s">
        <v>654</v>
      </c>
      <c r="G459" s="832">
        <v>36935.089999999997</v>
      </c>
      <c r="H459" s="832">
        <v>1.6</v>
      </c>
      <c r="I459" s="756">
        <f t="shared" si="76"/>
        <v>2</v>
      </c>
      <c r="J459" s="756">
        <f t="shared" si="77"/>
        <v>73870.179999999993</v>
      </c>
      <c r="K459" s="757"/>
      <c r="N459" s="631"/>
      <c r="O459" s="408"/>
    </row>
    <row r="460" spans="1:15" ht="16.2" customHeight="1">
      <c r="A460" s="988" t="s">
        <v>1760</v>
      </c>
      <c r="B460" s="989"/>
      <c r="C460" s="989"/>
      <c r="D460" s="989"/>
      <c r="E460" s="989"/>
      <c r="F460" s="989"/>
      <c r="G460" s="990"/>
      <c r="H460" s="990"/>
      <c r="I460" s="990"/>
      <c r="J460" s="991">
        <f>SUBTOTAL(109,J453:J459)</f>
        <v>600780.85999999987</v>
      </c>
      <c r="K460" s="992"/>
      <c r="M460" s="730">
        <f>'[22]Planilha Orç'!$J$460</f>
        <v>397830.18000000005</v>
      </c>
      <c r="N460" s="631">
        <f>+J460-M460</f>
        <v>202950.67999999982</v>
      </c>
      <c r="O460" s="408"/>
    </row>
    <row r="461" spans="1:15" ht="13.95" customHeight="1">
      <c r="A461" s="836" t="s">
        <v>2861</v>
      </c>
      <c r="B461" s="838"/>
      <c r="C461" s="838"/>
      <c r="D461" s="838"/>
      <c r="E461" s="838"/>
      <c r="F461" s="838"/>
      <c r="G461" s="838"/>
      <c r="H461" s="839"/>
      <c r="I461" s="839"/>
      <c r="J461" s="894">
        <f>SUBTOTAL(109,J419:J459)</f>
        <v>1009994.3999999999</v>
      </c>
      <c r="K461" s="993"/>
      <c r="N461" s="631"/>
      <c r="O461" s="408"/>
    </row>
    <row r="462" spans="1:15" s="706" customFormat="1" ht="4.5" customHeight="1">
      <c r="A462" s="709"/>
      <c r="B462" s="710"/>
      <c r="C462" s="710"/>
      <c r="D462" s="710"/>
      <c r="E462" s="710"/>
      <c r="F462" s="710"/>
      <c r="G462" s="710"/>
      <c r="H462" s="711"/>
      <c r="I462" s="711"/>
      <c r="J462" s="712"/>
      <c r="K462" s="713"/>
      <c r="L462" s="707"/>
      <c r="M462" s="735"/>
      <c r="N462" s="736"/>
      <c r="O462" s="708"/>
    </row>
    <row r="463" spans="1:15" s="702" customFormat="1" ht="13.95" customHeight="1" thickBot="1">
      <c r="A463" s="1070" t="s">
        <v>2915</v>
      </c>
      <c r="B463" s="1071"/>
      <c r="C463" s="1071"/>
      <c r="D463" s="1071"/>
      <c r="E463" s="1071"/>
      <c r="F463" s="1071"/>
      <c r="G463" s="1071"/>
      <c r="H463" s="1072"/>
      <c r="I463" s="703"/>
      <c r="J463" s="704">
        <f>SUBTOTAL(109,J13:J461)</f>
        <v>96702690.179999992</v>
      </c>
      <c r="K463" s="705">
        <f>SUBTOTAL(109,K11:K459)</f>
        <v>1</v>
      </c>
      <c r="L463" s="700"/>
      <c r="M463" s="704">
        <f>SUBTOTAL(109,M13:M461)</f>
        <v>74200306.890000015</v>
      </c>
      <c r="N463" s="704">
        <f>SUBTOTAL(109,N13:N461)</f>
        <v>22502383.289999999</v>
      </c>
      <c r="O463" s="701"/>
    </row>
    <row r="464" spans="1:15" ht="5.25" customHeight="1">
      <c r="A464" s="625"/>
      <c r="B464" s="626"/>
      <c r="C464" s="625"/>
      <c r="D464" s="626"/>
      <c r="E464" s="626"/>
      <c r="F464" s="626"/>
      <c r="G464" s="626"/>
      <c r="H464" s="626"/>
      <c r="I464" s="626"/>
      <c r="J464" s="698"/>
      <c r="K464" s="699"/>
      <c r="O464" s="408"/>
    </row>
    <row r="465" spans="1:15" ht="14.4" customHeight="1">
      <c r="A465" s="1043" t="s">
        <v>2825</v>
      </c>
      <c r="B465" s="1044"/>
      <c r="C465" s="1042">
        <f>J463</f>
        <v>96702690.179999992</v>
      </c>
      <c r="D465" s="1042"/>
      <c r="E465" s="1068" t="s">
        <v>2931</v>
      </c>
      <c r="F465" s="1068"/>
      <c r="G465" s="1068"/>
      <c r="H465" s="1068"/>
      <c r="I465" s="1068"/>
      <c r="J465" s="1068"/>
      <c r="K465" s="1069"/>
      <c r="L465" s="627"/>
      <c r="O465" s="408"/>
    </row>
    <row r="466" spans="1:15" ht="6" customHeight="1">
      <c r="A466" s="421"/>
      <c r="B466" s="422"/>
      <c r="C466" s="445"/>
      <c r="D466" s="423"/>
      <c r="E466" s="623"/>
      <c r="F466" s="423"/>
      <c r="G466" s="624"/>
      <c r="H466" s="624"/>
      <c r="I466" s="624"/>
      <c r="J466" s="404"/>
      <c r="K466" s="630"/>
    </row>
    <row r="467" spans="1:15" ht="73.95" customHeight="1">
      <c r="A467" s="1045" t="s">
        <v>2468</v>
      </c>
      <c r="B467" s="1046"/>
      <c r="C467" s="1046"/>
      <c r="D467" s="1046"/>
      <c r="E467" s="1046"/>
      <c r="F467" s="1046"/>
      <c r="G467" s="1046"/>
      <c r="H467" s="1046"/>
      <c r="I467" s="1046"/>
      <c r="J467" s="1046"/>
      <c r="K467" s="1047"/>
    </row>
    <row r="468" spans="1:15" ht="6" customHeight="1">
      <c r="A468" s="424"/>
      <c r="B468" s="425"/>
      <c r="C468" s="446"/>
      <c r="D468" s="425"/>
      <c r="E468" s="425"/>
      <c r="F468" s="425"/>
      <c r="G468" s="450"/>
      <c r="H468" s="459"/>
      <c r="I468" s="459"/>
      <c r="J468" s="450"/>
      <c r="K468" s="632"/>
    </row>
    <row r="469" spans="1:15">
      <c r="A469" s="1073" t="s">
        <v>2820</v>
      </c>
      <c r="B469" s="1074"/>
      <c r="C469" s="1074"/>
      <c r="D469" s="1074"/>
      <c r="E469" s="1074"/>
      <c r="F469" s="1074"/>
      <c r="G469" s="1074"/>
      <c r="H469" s="1074"/>
      <c r="I469" s="1048" t="s">
        <v>2916</v>
      </c>
      <c r="J469" s="1049"/>
      <c r="K469" s="1050"/>
    </row>
    <row r="470" spans="1:15">
      <c r="A470" s="1066" t="s">
        <v>949</v>
      </c>
      <c r="B470" s="1067"/>
      <c r="C470" s="1067"/>
      <c r="D470" s="1067"/>
      <c r="E470" s="1067"/>
      <c r="F470" s="1067"/>
      <c r="G470" s="1067"/>
      <c r="H470" s="1067"/>
      <c r="I470" s="688"/>
      <c r="J470" s="624"/>
      <c r="K470" s="633"/>
    </row>
    <row r="471" spans="1:15" ht="12" customHeight="1">
      <c r="A471" s="405"/>
      <c r="B471" s="409"/>
      <c r="C471" s="447"/>
      <c r="D471" s="412"/>
      <c r="E471" s="281"/>
      <c r="F471" s="281"/>
      <c r="G471" s="451"/>
      <c r="H471" s="460"/>
      <c r="I471" s="714" t="s">
        <v>2913</v>
      </c>
      <c r="J471" s="642"/>
      <c r="K471" s="715">
        <v>0.24929999999999999</v>
      </c>
    </row>
    <row r="472" spans="1:15">
      <c r="A472" s="406"/>
      <c r="B472" s="410"/>
      <c r="C472" s="448"/>
      <c r="D472" s="1041" t="s">
        <v>1828</v>
      </c>
      <c r="E472" s="1041"/>
      <c r="F472" s="1041"/>
      <c r="G472" s="1041"/>
      <c r="H472" s="1041"/>
      <c r="I472" s="716" t="s">
        <v>2914</v>
      </c>
      <c r="J472" s="642"/>
      <c r="K472" s="715">
        <v>0.15759999999999999</v>
      </c>
    </row>
    <row r="473" spans="1:15" ht="12" customHeight="1">
      <c r="A473" s="406"/>
      <c r="B473" s="410"/>
      <c r="C473" s="448"/>
      <c r="D473" s="1054" t="s">
        <v>1826</v>
      </c>
      <c r="E473" s="1054"/>
      <c r="F473" s="1054"/>
      <c r="G473" s="1054"/>
      <c r="H473" s="1054"/>
      <c r="I473" s="696"/>
      <c r="J473" s="624"/>
      <c r="K473" s="633"/>
    </row>
    <row r="474" spans="1:15" ht="12.6" customHeight="1">
      <c r="A474" s="406"/>
      <c r="B474" s="410"/>
      <c r="C474" s="448"/>
      <c r="D474" s="1054" t="s">
        <v>1827</v>
      </c>
      <c r="E474" s="1054"/>
      <c r="F474" s="1054"/>
      <c r="G474" s="1054"/>
      <c r="H474" s="1054"/>
      <c r="I474" s="696"/>
      <c r="J474" s="624"/>
      <c r="K474" s="633"/>
    </row>
    <row r="475" spans="1:15" ht="12" customHeight="1">
      <c r="A475" s="656"/>
      <c r="B475" s="657"/>
      <c r="C475" s="658"/>
      <c r="D475" s="659"/>
      <c r="E475" s="659"/>
      <c r="F475" s="659"/>
      <c r="G475" s="660"/>
      <c r="H475" s="661"/>
      <c r="I475" s="697"/>
      <c r="J475" s="407"/>
      <c r="K475" s="634"/>
    </row>
    <row r="476" spans="1:15">
      <c r="A476" s="667"/>
      <c r="B476" s="410"/>
      <c r="C476" s="448"/>
      <c r="D476" s="1041"/>
      <c r="E476" s="1041"/>
      <c r="F476" s="1041"/>
      <c r="G476" s="1041"/>
      <c r="H476" s="1041"/>
      <c r="I476" s="686"/>
      <c r="J476" s="624"/>
      <c r="K476" s="668"/>
    </row>
    <row r="477" spans="1:15" ht="9" customHeight="1">
      <c r="A477" s="667"/>
      <c r="B477" s="410"/>
      <c r="C477" s="448"/>
      <c r="D477" s="1054"/>
      <c r="E477" s="1054"/>
      <c r="F477" s="1054"/>
      <c r="G477" s="1054"/>
      <c r="H477" s="1054"/>
      <c r="I477" s="687"/>
      <c r="J477" s="624"/>
      <c r="K477" s="668"/>
    </row>
    <row r="478" spans="1:15" ht="10.199999999999999" customHeight="1">
      <c r="A478" s="423"/>
      <c r="B478" s="422"/>
      <c r="C478" s="445"/>
      <c r="D478" s="1054"/>
      <c r="E478" s="1054"/>
      <c r="F478" s="1054"/>
      <c r="G478" s="1054"/>
      <c r="H478" s="1054"/>
      <c r="I478" s="687"/>
      <c r="J478" s="624"/>
      <c r="K478" s="668"/>
    </row>
    <row r="479" spans="1:15" ht="7.2" customHeight="1">
      <c r="A479" s="423"/>
      <c r="B479" s="422"/>
      <c r="C479" s="445"/>
      <c r="D479" s="423"/>
      <c r="E479" s="623"/>
      <c r="F479" s="423"/>
      <c r="G479" s="624"/>
      <c r="H479" s="624"/>
      <c r="I479" s="624"/>
      <c r="J479" s="624"/>
      <c r="K479" s="668"/>
    </row>
    <row r="480" spans="1:15">
      <c r="A480" s="423"/>
      <c r="B480" s="422"/>
      <c r="C480" s="445"/>
      <c r="D480" s="423"/>
      <c r="E480" s="623"/>
      <c r="F480" s="423"/>
      <c r="G480" s="624"/>
      <c r="H480" s="624"/>
      <c r="I480" s="624"/>
      <c r="J480" s="624"/>
      <c r="K480" s="668"/>
    </row>
    <row r="481" spans="1:11">
      <c r="F481" s="665" t="s">
        <v>2811</v>
      </c>
      <c r="G481" s="666"/>
      <c r="H481" s="666"/>
      <c r="I481" s="666"/>
      <c r="J481" s="666">
        <f>Planilha1!B23</f>
        <v>26881.360000000008</v>
      </c>
    </row>
    <row r="482" spans="1:11">
      <c r="F482" s="641" t="s">
        <v>2812</v>
      </c>
      <c r="G482" s="642"/>
      <c r="H482" s="642"/>
      <c r="I482" s="642"/>
      <c r="J482" s="642">
        <f>+J463/J481</f>
        <v>3597.3883084784388</v>
      </c>
    </row>
    <row r="483" spans="1:11">
      <c r="F483" s="641" t="s">
        <v>2813</v>
      </c>
      <c r="G483" s="640"/>
      <c r="H483" s="640"/>
      <c r="I483" s="640"/>
      <c r="J483" s="642">
        <f>+J463/J481</f>
        <v>3597.3883084784388</v>
      </c>
    </row>
    <row r="487" spans="1:11">
      <c r="H487" s="282">
        <f>+'[23]Planilha Orç'!$I$465</f>
        <v>74508535.640000001</v>
      </c>
      <c r="J487" s="282">
        <f>'[23]Planilha Orç'!$I$462</f>
        <v>59719209.090000004</v>
      </c>
    </row>
    <row r="488" spans="1:11">
      <c r="H488" s="282">
        <f>+'[24]Planilha Orç'!$I$465</f>
        <v>22531948.469999999</v>
      </c>
      <c r="J488" s="282">
        <f>'[24]Planilha Orç'!$I$462</f>
        <v>18098416.689999998</v>
      </c>
    </row>
    <row r="489" spans="1:11">
      <c r="H489" s="282">
        <f>+H488+H487</f>
        <v>97040484.109999999</v>
      </c>
      <c r="J489" s="282">
        <f>+J488+J487</f>
        <v>77817625.780000001</v>
      </c>
    </row>
    <row r="490" spans="1:11">
      <c r="H490" s="282" t="e">
        <f>+#REF!-H489</f>
        <v>#REF!</v>
      </c>
      <c r="J490" s="282">
        <f>+J463-J489</f>
        <v>18885064.399999991</v>
      </c>
    </row>
    <row r="495" spans="1:11" ht="26.4">
      <c r="A495" s="491" t="s">
        <v>2735</v>
      </c>
      <c r="B495" s="662" t="s">
        <v>628</v>
      </c>
      <c r="C495" s="628"/>
      <c r="D495" s="639">
        <v>88037</v>
      </c>
      <c r="E495" s="628" t="s">
        <v>2919</v>
      </c>
      <c r="F495" s="491" t="s">
        <v>1687</v>
      </c>
      <c r="G495" s="664">
        <v>4633.79</v>
      </c>
      <c r="H495" s="664">
        <v>29.29</v>
      </c>
      <c r="I495" s="663">
        <f>ROUND(H495*(1+$K$471),2)</f>
        <v>36.590000000000003</v>
      </c>
      <c r="J495" s="663">
        <f t="shared" ref="J495:J496" si="78">ROUND(I495*G495,2)</f>
        <v>169550.38</v>
      </c>
      <c r="K495" s="278"/>
    </row>
    <row r="496" spans="1:11" ht="26.4">
      <c r="A496" s="491" t="s">
        <v>2736</v>
      </c>
      <c r="B496" s="662" t="s">
        <v>628</v>
      </c>
      <c r="C496" s="628"/>
      <c r="D496" s="639">
        <v>88049</v>
      </c>
      <c r="E496" s="628" t="s">
        <v>2923</v>
      </c>
      <c r="F496" s="491" t="s">
        <v>630</v>
      </c>
      <c r="G496" s="664">
        <v>1087852.78</v>
      </c>
      <c r="H496" s="664">
        <v>0.08</v>
      </c>
      <c r="I496" s="663">
        <f>ROUND(H496*(1+$K$471),2)</f>
        <v>0.1</v>
      </c>
      <c r="J496" s="663">
        <f t="shared" si="78"/>
        <v>108785.28</v>
      </c>
      <c r="K496" s="278"/>
    </row>
    <row r="497" spans="1:11" ht="27.6">
      <c r="A497" s="717"/>
      <c r="B497" s="662" t="s">
        <v>628</v>
      </c>
      <c r="C497" s="719"/>
      <c r="D497" s="717">
        <v>88076</v>
      </c>
      <c r="E497" s="720" t="s">
        <v>2922</v>
      </c>
      <c r="F497" s="717" t="s">
        <v>654</v>
      </c>
      <c r="G497" s="640">
        <v>36253.61</v>
      </c>
      <c r="H497" s="640">
        <v>0.48</v>
      </c>
      <c r="I497" s="663">
        <f t="shared" ref="I497:I498" si="79">ROUND(H497*(1+$K$471),2)</f>
        <v>0.6</v>
      </c>
      <c r="J497" s="663">
        <f t="shared" ref="J497:J498" si="80">ROUND(I497*G497,2)</f>
        <v>21752.17</v>
      </c>
      <c r="K497" s="630"/>
    </row>
    <row r="498" spans="1:11">
      <c r="A498" s="717"/>
      <c r="B498" s="662" t="s">
        <v>628</v>
      </c>
      <c r="C498" s="719"/>
      <c r="D498" s="717">
        <v>89181</v>
      </c>
      <c r="E498" s="720" t="s">
        <v>2921</v>
      </c>
      <c r="F498" s="717" t="s">
        <v>2920</v>
      </c>
      <c r="G498" s="640">
        <v>253.61</v>
      </c>
      <c r="H498" s="640">
        <v>13.25</v>
      </c>
      <c r="I498" s="663">
        <f t="shared" si="79"/>
        <v>16.55</v>
      </c>
      <c r="J498" s="663">
        <f t="shared" si="80"/>
        <v>4197.25</v>
      </c>
      <c r="K498" s="630"/>
    </row>
    <row r="499" spans="1:11">
      <c r="A499" s="717"/>
      <c r="B499" s="718"/>
      <c r="C499" s="719"/>
      <c r="D499" s="717"/>
      <c r="E499" s="720"/>
      <c r="F499" s="717"/>
      <c r="G499" s="640"/>
      <c r="H499" s="640"/>
      <c r="I499" s="640"/>
      <c r="J499" s="640">
        <f>SUM(J495:J498)</f>
        <v>304285.08</v>
      </c>
      <c r="K499" s="630"/>
    </row>
  </sheetData>
  <mergeCells count="21">
    <mergeCell ref="E1:K1"/>
    <mergeCell ref="E2:K2"/>
    <mergeCell ref="E3:K3"/>
    <mergeCell ref="D478:H478"/>
    <mergeCell ref="A4:J4"/>
    <mergeCell ref="H5:J5"/>
    <mergeCell ref="A8:J8"/>
    <mergeCell ref="B9:D9"/>
    <mergeCell ref="D477:H477"/>
    <mergeCell ref="D476:H476"/>
    <mergeCell ref="D474:H474"/>
    <mergeCell ref="D473:H473"/>
    <mergeCell ref="A470:H470"/>
    <mergeCell ref="E465:K465"/>
    <mergeCell ref="A463:H463"/>
    <mergeCell ref="A469:H469"/>
    <mergeCell ref="D472:H472"/>
    <mergeCell ref="C465:D465"/>
    <mergeCell ref="A465:B465"/>
    <mergeCell ref="A467:K467"/>
    <mergeCell ref="I469:K469"/>
  </mergeCells>
  <pageMargins left="0.70866141732283472" right="0.6692913385826772" top="0.86614173228346458" bottom="0.59055118110236227" header="0.31496062992125984" footer="0.31496062992125984"/>
  <pageSetup paperSize="9" scale="74" fitToHeight="0" orientation="landscape" r:id="rId1"/>
  <headerFooter>
    <oddFooter xml:space="preserve">&amp;C                              &amp;R&amp;10NOVA MATERNIDADE - PLANILHA GERAL - Página &amp;P/&amp;N
</oddFooter>
  </headerFooter>
  <drawing r:id="rId2"/>
</worksheet>
</file>

<file path=xl/worksheets/sheet9.xml><?xml version="1.0" encoding="utf-8"?>
<worksheet xmlns="http://schemas.openxmlformats.org/spreadsheetml/2006/main" xmlns:r="http://schemas.openxmlformats.org/officeDocument/2006/relationships">
  <dimension ref="A1:FX174"/>
  <sheetViews>
    <sheetView topLeftCell="A146" zoomScale="70" zoomScaleNormal="70" workbookViewId="0">
      <selection activeCell="P150" sqref="P150"/>
    </sheetView>
  </sheetViews>
  <sheetFormatPr defaultRowHeight="19.95" customHeight="1"/>
  <cols>
    <col min="2" max="2" width="43.19921875" customWidth="1"/>
    <col min="4" max="4" width="11.3984375" bestFit="1" customWidth="1"/>
    <col min="6" max="6" width="9.8984375" bestFit="1" customWidth="1"/>
    <col min="8" max="8" width="9.8984375" bestFit="1" customWidth="1"/>
    <col min="16" max="16" width="12.09765625" bestFit="1" customWidth="1"/>
    <col min="17" max="17" width="40.69921875" customWidth="1"/>
  </cols>
  <sheetData>
    <row r="1" spans="1:17" ht="19.95" customHeight="1">
      <c r="A1" s="1075" t="s">
        <v>597</v>
      </c>
      <c r="B1" s="1076"/>
      <c r="C1" s="1076"/>
      <c r="D1" s="1076"/>
      <c r="E1" s="1076"/>
      <c r="F1" s="1076"/>
      <c r="G1" s="1076"/>
      <c r="H1" s="1076"/>
      <c r="I1" s="1076"/>
      <c r="J1" s="1076"/>
      <c r="K1" s="1076"/>
      <c r="L1" s="1076"/>
      <c r="M1" s="1076"/>
      <c r="N1" s="1076"/>
      <c r="O1" s="1076"/>
      <c r="P1" s="1076"/>
      <c r="Q1" s="293"/>
    </row>
    <row r="2" spans="1:17" ht="19.95" customHeight="1">
      <c r="A2" s="294" t="s">
        <v>1604</v>
      </c>
      <c r="B2" s="295"/>
      <c r="C2" s="296"/>
      <c r="D2" s="296"/>
      <c r="E2" s="296"/>
      <c r="F2" s="297"/>
      <c r="G2" s="298"/>
      <c r="H2" s="298"/>
      <c r="I2" s="298"/>
      <c r="J2" s="298"/>
      <c r="K2" s="298"/>
      <c r="L2" s="297"/>
      <c r="M2" s="297"/>
      <c r="N2" s="297"/>
      <c r="O2" s="298"/>
      <c r="P2" s="299"/>
      <c r="Q2" s="300"/>
    </row>
    <row r="3" spans="1:17" ht="19.95" customHeight="1">
      <c r="A3" s="301" t="s">
        <v>1605</v>
      </c>
      <c r="B3" s="302"/>
      <c r="C3" s="296"/>
      <c r="D3" s="296"/>
      <c r="E3" s="296"/>
      <c r="F3" s="303"/>
      <c r="G3" s="303"/>
      <c r="H3" s="303"/>
      <c r="I3" s="303"/>
      <c r="J3" s="303"/>
      <c r="K3" s="303"/>
      <c r="L3" s="303"/>
      <c r="M3" s="303"/>
      <c r="N3" s="303"/>
      <c r="O3" s="303"/>
      <c r="P3" s="304"/>
      <c r="Q3" s="300"/>
    </row>
    <row r="4" spans="1:17" ht="19.95" customHeight="1" thickBot="1">
      <c r="A4" s="294" t="s">
        <v>1606</v>
      </c>
      <c r="B4" s="305"/>
      <c r="C4" s="306"/>
      <c r="D4" s="306"/>
      <c r="E4" s="306"/>
      <c r="F4" s="307"/>
      <c r="G4" s="307"/>
      <c r="H4" s="307"/>
      <c r="I4" s="307"/>
      <c r="J4" s="307"/>
      <c r="K4" s="307"/>
      <c r="L4" s="307"/>
      <c r="M4" s="307"/>
      <c r="N4" s="307"/>
      <c r="O4" s="307"/>
      <c r="P4" s="308"/>
      <c r="Q4" s="309"/>
    </row>
    <row r="5" spans="1:17" ht="19.95" customHeight="1">
      <c r="A5" s="1077" t="s">
        <v>989</v>
      </c>
      <c r="B5" s="1078"/>
      <c r="C5" s="1078"/>
      <c r="D5" s="1078"/>
      <c r="E5" s="1078"/>
      <c r="F5" s="1078"/>
      <c r="G5" s="1078"/>
      <c r="H5" s="1078"/>
      <c r="I5" s="1078"/>
      <c r="J5" s="1078"/>
      <c r="K5" s="1078"/>
      <c r="L5" s="1078"/>
      <c r="M5" s="1078"/>
      <c r="N5" s="1078"/>
      <c r="O5" s="1078"/>
      <c r="P5" s="1078"/>
      <c r="Q5" s="1079"/>
    </row>
    <row r="6" spans="1:17" ht="19.95" customHeight="1">
      <c r="A6" s="1080"/>
      <c r="B6" s="1081"/>
      <c r="C6" s="1081"/>
      <c r="D6" s="1081"/>
      <c r="E6" s="1081"/>
      <c r="F6" s="1081"/>
      <c r="G6" s="1081"/>
      <c r="H6" s="1081"/>
      <c r="I6" s="1081"/>
      <c r="J6" s="1081"/>
      <c r="K6" s="1081"/>
      <c r="L6" s="1081"/>
      <c r="M6" s="1081"/>
      <c r="N6" s="1081"/>
      <c r="O6" s="1081"/>
      <c r="P6" s="1081"/>
      <c r="Q6" s="1082"/>
    </row>
    <row r="7" spans="1:17" ht="19.95" customHeight="1" thickBot="1">
      <c r="A7" s="310" t="s">
        <v>599</v>
      </c>
      <c r="B7" s="311" t="s">
        <v>600</v>
      </c>
      <c r="C7" s="311" t="s">
        <v>601</v>
      </c>
      <c r="D7" s="1083" t="s">
        <v>990</v>
      </c>
      <c r="E7" s="1083"/>
      <c r="F7" s="1083"/>
      <c r="G7" s="1083"/>
      <c r="H7" s="1083"/>
      <c r="I7" s="1083"/>
      <c r="J7" s="1083"/>
      <c r="K7" s="1083"/>
      <c r="L7" s="1083"/>
      <c r="M7" s="1083"/>
      <c r="N7" s="1083"/>
      <c r="O7" s="1083"/>
      <c r="P7" s="1083"/>
      <c r="Q7" s="312" t="s">
        <v>991</v>
      </c>
    </row>
    <row r="8" spans="1:17" ht="19.95" customHeight="1">
      <c r="A8" s="314">
        <v>1</v>
      </c>
      <c r="B8" s="315" t="s">
        <v>602</v>
      </c>
      <c r="C8" s="316"/>
      <c r="D8" s="316"/>
      <c r="E8" s="316"/>
      <c r="F8" s="317"/>
      <c r="G8" s="317"/>
      <c r="H8" s="317"/>
      <c r="I8" s="317"/>
      <c r="J8" s="317"/>
      <c r="K8" s="317"/>
      <c r="L8" s="317"/>
      <c r="M8" s="317"/>
      <c r="N8" s="317"/>
      <c r="O8" s="317"/>
      <c r="P8" s="317"/>
      <c r="Q8" s="318"/>
    </row>
    <row r="9" spans="1:17" ht="19.95" customHeight="1">
      <c r="A9" s="319" t="s">
        <v>176</v>
      </c>
      <c r="B9" s="320" t="s">
        <v>603</v>
      </c>
      <c r="C9" s="321"/>
      <c r="D9" s="321"/>
      <c r="E9" s="321"/>
      <c r="F9" s="321"/>
      <c r="G9" s="321"/>
      <c r="H9" s="321"/>
      <c r="I9" s="321"/>
      <c r="J9" s="321"/>
      <c r="K9" s="321"/>
      <c r="L9" s="321"/>
      <c r="M9" s="321"/>
      <c r="N9" s="321"/>
      <c r="O9" s="321"/>
      <c r="P9" s="321"/>
      <c r="Q9" s="292"/>
    </row>
    <row r="10" spans="1:17" ht="43.2">
      <c r="A10" s="322" t="s">
        <v>604</v>
      </c>
      <c r="B10" s="323" t="s">
        <v>606</v>
      </c>
      <c r="C10" s="324" t="s">
        <v>607</v>
      </c>
      <c r="D10" s="325">
        <v>26881.360000000001</v>
      </c>
      <c r="E10" s="324"/>
      <c r="F10" s="325"/>
      <c r="G10" s="325"/>
      <c r="H10" s="325"/>
      <c r="I10" s="325"/>
      <c r="J10" s="325"/>
      <c r="K10" s="325"/>
      <c r="L10" s="325"/>
      <c r="M10" s="325"/>
      <c r="N10" s="325"/>
      <c r="O10" s="326" t="s">
        <v>992</v>
      </c>
      <c r="P10" s="325">
        <v>26881.360000000001</v>
      </c>
      <c r="Q10" s="292" t="s">
        <v>993</v>
      </c>
    </row>
    <row r="11" spans="1:17" ht="28.8">
      <c r="A11" s="322" t="s">
        <v>608</v>
      </c>
      <c r="B11" s="323" t="s">
        <v>609</v>
      </c>
      <c r="C11" s="324" t="s">
        <v>607</v>
      </c>
      <c r="D11" s="325">
        <v>26881.360000000001</v>
      </c>
      <c r="E11" s="324"/>
      <c r="F11" s="325"/>
      <c r="G11" s="325"/>
      <c r="H11" s="325"/>
      <c r="I11" s="325"/>
      <c r="J11" s="325"/>
      <c r="K11" s="325"/>
      <c r="L11" s="325"/>
      <c r="M11" s="325"/>
      <c r="N11" s="325"/>
      <c r="O11" s="326" t="s">
        <v>992</v>
      </c>
      <c r="P11" s="325">
        <v>26881.360000000001</v>
      </c>
      <c r="Q11" s="292" t="s">
        <v>993</v>
      </c>
    </row>
    <row r="12" spans="1:17" ht="28.8">
      <c r="A12" s="322" t="s">
        <v>610</v>
      </c>
      <c r="B12" s="323" t="s">
        <v>994</v>
      </c>
      <c r="C12" s="324" t="s">
        <v>607</v>
      </c>
      <c r="D12" s="325">
        <v>26881.360000000001</v>
      </c>
      <c r="E12" s="324"/>
      <c r="F12" s="325"/>
      <c r="G12" s="325"/>
      <c r="H12" s="325"/>
      <c r="I12" s="325"/>
      <c r="J12" s="325"/>
      <c r="K12" s="325"/>
      <c r="L12" s="325"/>
      <c r="M12" s="325"/>
      <c r="N12" s="325"/>
      <c r="O12" s="326" t="s">
        <v>992</v>
      </c>
      <c r="P12" s="325">
        <v>26881.360000000001</v>
      </c>
      <c r="Q12" s="292" t="s">
        <v>993</v>
      </c>
    </row>
    <row r="13" spans="1:17" ht="57.6">
      <c r="A13" s="322" t="s">
        <v>611</v>
      </c>
      <c r="B13" s="323" t="s">
        <v>612</v>
      </c>
      <c r="C13" s="324" t="s">
        <v>607</v>
      </c>
      <c r="D13" s="325">
        <v>26881.360000000001</v>
      </c>
      <c r="E13" s="324"/>
      <c r="F13" s="325"/>
      <c r="G13" s="325"/>
      <c r="H13" s="325"/>
      <c r="I13" s="325"/>
      <c r="J13" s="325"/>
      <c r="K13" s="325"/>
      <c r="L13" s="325"/>
      <c r="M13" s="325"/>
      <c r="N13" s="325"/>
      <c r="O13" s="326" t="s">
        <v>992</v>
      </c>
      <c r="P13" s="325">
        <v>26881.360000000001</v>
      </c>
      <c r="Q13" s="292" t="s">
        <v>993</v>
      </c>
    </row>
    <row r="14" spans="1:17" ht="72">
      <c r="A14" s="322" t="s">
        <v>613</v>
      </c>
      <c r="B14" s="323" t="s">
        <v>614</v>
      </c>
      <c r="C14" s="324" t="s">
        <v>607</v>
      </c>
      <c r="D14" s="325">
        <v>26881.360000000001</v>
      </c>
      <c r="E14" s="324"/>
      <c r="F14" s="325"/>
      <c r="G14" s="325"/>
      <c r="H14" s="325"/>
      <c r="I14" s="325"/>
      <c r="J14" s="325"/>
      <c r="K14" s="325"/>
      <c r="L14" s="325"/>
      <c r="M14" s="325"/>
      <c r="N14" s="325"/>
      <c r="O14" s="326" t="s">
        <v>992</v>
      </c>
      <c r="P14" s="325">
        <v>26881.360000000001</v>
      </c>
      <c r="Q14" s="292" t="s">
        <v>993</v>
      </c>
    </row>
    <row r="15" spans="1:17" ht="72">
      <c r="A15" s="322" t="s">
        <v>615</v>
      </c>
      <c r="B15" s="323" t="s">
        <v>616</v>
      </c>
      <c r="C15" s="324" t="s">
        <v>607</v>
      </c>
      <c r="D15" s="325">
        <v>16773</v>
      </c>
      <c r="E15" s="324"/>
      <c r="F15" s="325"/>
      <c r="G15" s="325"/>
      <c r="H15" s="325"/>
      <c r="I15" s="325"/>
      <c r="J15" s="325"/>
      <c r="K15" s="325"/>
      <c r="L15" s="325"/>
      <c r="M15" s="325"/>
      <c r="N15" s="325"/>
      <c r="O15" s="326" t="s">
        <v>992</v>
      </c>
      <c r="P15" s="325">
        <v>16773</v>
      </c>
      <c r="Q15" s="292" t="s">
        <v>1607</v>
      </c>
    </row>
    <row r="16" spans="1:17" ht="19.95" customHeight="1">
      <c r="A16" s="322" t="s">
        <v>617</v>
      </c>
      <c r="B16" s="288" t="s">
        <v>1608</v>
      </c>
      <c r="C16" s="324" t="s">
        <v>607</v>
      </c>
      <c r="D16" s="325">
        <v>1</v>
      </c>
      <c r="E16" s="324"/>
      <c r="F16" s="325"/>
      <c r="G16" s="325"/>
      <c r="H16" s="325"/>
      <c r="I16" s="325"/>
      <c r="J16" s="325"/>
      <c r="K16" s="325"/>
      <c r="L16" s="325"/>
      <c r="M16" s="325"/>
      <c r="N16" s="325"/>
      <c r="O16" s="326" t="s">
        <v>992</v>
      </c>
      <c r="P16" s="325">
        <v>1</v>
      </c>
      <c r="Q16" s="292" t="s">
        <v>995</v>
      </c>
    </row>
    <row r="17" spans="1:17" ht="28.8">
      <c r="A17" s="322" t="s">
        <v>618</v>
      </c>
      <c r="B17" s="323" t="s">
        <v>619</v>
      </c>
      <c r="C17" s="324" t="s">
        <v>607</v>
      </c>
      <c r="D17" s="325">
        <v>26881.360000000001</v>
      </c>
      <c r="E17" s="324"/>
      <c r="F17" s="325"/>
      <c r="G17" s="325"/>
      <c r="H17" s="325"/>
      <c r="I17" s="325"/>
      <c r="J17" s="325"/>
      <c r="K17" s="325"/>
      <c r="L17" s="325"/>
      <c r="M17" s="325"/>
      <c r="N17" s="325"/>
      <c r="O17" s="326" t="s">
        <v>992</v>
      </c>
      <c r="P17" s="325">
        <v>26881.360000000001</v>
      </c>
      <c r="Q17" s="292" t="s">
        <v>993</v>
      </c>
    </row>
    <row r="18" spans="1:17" ht="28.8">
      <c r="A18" s="322" t="s">
        <v>620</v>
      </c>
      <c r="B18" s="323" t="s">
        <v>621</v>
      </c>
      <c r="C18" s="324" t="s">
        <v>607</v>
      </c>
      <c r="D18" s="325">
        <v>26881.360000000001</v>
      </c>
      <c r="E18" s="324"/>
      <c r="F18" s="325"/>
      <c r="G18" s="325"/>
      <c r="H18" s="325"/>
      <c r="I18" s="325"/>
      <c r="J18" s="325"/>
      <c r="K18" s="325"/>
      <c r="L18" s="325"/>
      <c r="M18" s="325"/>
      <c r="N18" s="325"/>
      <c r="O18" s="326" t="s">
        <v>992</v>
      </c>
      <c r="P18" s="325">
        <v>26881.360000000001</v>
      </c>
      <c r="Q18" s="292" t="s">
        <v>993</v>
      </c>
    </row>
    <row r="19" spans="1:17" ht="28.8">
      <c r="A19" s="322" t="s">
        <v>622</v>
      </c>
      <c r="B19" s="288" t="s">
        <v>623</v>
      </c>
      <c r="C19" s="324" t="s">
        <v>607</v>
      </c>
      <c r="D19" s="325">
        <v>26881.360000000001</v>
      </c>
      <c r="E19" s="324"/>
      <c r="F19" s="325"/>
      <c r="G19" s="325"/>
      <c r="H19" s="325"/>
      <c r="I19" s="325"/>
      <c r="J19" s="325"/>
      <c r="K19" s="325"/>
      <c r="L19" s="325"/>
      <c r="M19" s="325"/>
      <c r="N19" s="325"/>
      <c r="O19" s="326" t="s">
        <v>992</v>
      </c>
      <c r="P19" s="325">
        <v>26881.360000000001</v>
      </c>
      <c r="Q19" s="292" t="s">
        <v>993</v>
      </c>
    </row>
    <row r="20" spans="1:17" ht="19.95" customHeight="1">
      <c r="A20" s="322"/>
      <c r="B20" s="323"/>
      <c r="C20" s="324"/>
      <c r="D20" s="324"/>
      <c r="E20" s="324"/>
      <c r="F20" s="325"/>
      <c r="G20" s="325"/>
      <c r="H20" s="325"/>
      <c r="I20" s="325"/>
      <c r="J20" s="325"/>
      <c r="K20" s="325"/>
      <c r="L20" s="325"/>
      <c r="M20" s="325"/>
      <c r="N20" s="325"/>
      <c r="O20" s="325"/>
      <c r="P20" s="325"/>
      <c r="Q20" s="292"/>
    </row>
    <row r="21" spans="1:17" ht="15.6">
      <c r="A21" s="319" t="s">
        <v>177</v>
      </c>
      <c r="B21" s="320" t="s">
        <v>626</v>
      </c>
      <c r="C21" s="321"/>
      <c r="D21" s="321"/>
      <c r="E21" s="321"/>
      <c r="F21" s="321"/>
      <c r="G21" s="321"/>
      <c r="H21" s="321"/>
      <c r="I21" s="321"/>
      <c r="J21" s="321"/>
      <c r="K21" s="321"/>
      <c r="L21" s="321"/>
      <c r="M21" s="321"/>
      <c r="N21" s="321"/>
      <c r="O21" s="321"/>
      <c r="P21" s="321"/>
      <c r="Q21" s="292"/>
    </row>
    <row r="22" spans="1:17" ht="28.8">
      <c r="A22" s="322" t="s">
        <v>627</v>
      </c>
      <c r="B22" s="288" t="s">
        <v>629</v>
      </c>
      <c r="C22" s="327" t="s">
        <v>630</v>
      </c>
      <c r="D22" s="327">
        <v>10</v>
      </c>
      <c r="E22" s="327"/>
      <c r="F22" s="328"/>
      <c r="G22" s="328"/>
      <c r="H22" s="328"/>
      <c r="I22" s="328"/>
      <c r="J22" s="328"/>
      <c r="K22" s="328"/>
      <c r="L22" s="328"/>
      <c r="M22" s="328"/>
      <c r="N22" s="328"/>
      <c r="O22" s="328" t="s">
        <v>992</v>
      </c>
      <c r="P22" s="325">
        <v>10</v>
      </c>
      <c r="Q22" s="292" t="s">
        <v>996</v>
      </c>
    </row>
    <row r="23" spans="1:17" ht="28.8">
      <c r="A23" s="322" t="s">
        <v>631</v>
      </c>
      <c r="B23" s="288" t="s">
        <v>633</v>
      </c>
      <c r="C23" s="327" t="s">
        <v>630</v>
      </c>
      <c r="D23" s="327">
        <v>15</v>
      </c>
      <c r="E23" s="327" t="s">
        <v>957</v>
      </c>
      <c r="F23" s="328">
        <v>42</v>
      </c>
      <c r="G23" s="328"/>
      <c r="H23" s="328"/>
      <c r="I23" s="328"/>
      <c r="J23" s="328"/>
      <c r="K23" s="328"/>
      <c r="L23" s="328"/>
      <c r="M23" s="328"/>
      <c r="N23" s="328"/>
      <c r="O23" s="328" t="s">
        <v>992</v>
      </c>
      <c r="P23" s="325">
        <v>630</v>
      </c>
      <c r="Q23" s="292" t="s">
        <v>1609</v>
      </c>
    </row>
    <row r="24" spans="1:17" ht="19.95" customHeight="1">
      <c r="A24" s="322" t="s">
        <v>634</v>
      </c>
      <c r="B24" s="288" t="s">
        <v>636</v>
      </c>
      <c r="C24" s="327" t="s">
        <v>630</v>
      </c>
      <c r="D24" s="291">
        <v>15</v>
      </c>
      <c r="E24" s="327" t="s">
        <v>957</v>
      </c>
      <c r="F24" s="328">
        <v>6</v>
      </c>
      <c r="G24" s="328" t="s">
        <v>957</v>
      </c>
      <c r="H24" s="328">
        <v>9</v>
      </c>
      <c r="I24" s="328"/>
      <c r="J24" s="328"/>
      <c r="K24" s="328"/>
      <c r="L24" s="328"/>
      <c r="M24" s="328"/>
      <c r="N24" s="328"/>
      <c r="O24" s="328" t="s">
        <v>992</v>
      </c>
      <c r="P24" s="325">
        <v>810</v>
      </c>
      <c r="Q24" s="292" t="s">
        <v>1610</v>
      </c>
    </row>
    <row r="25" spans="1:17" ht="19.95" customHeight="1">
      <c r="A25" s="322" t="s">
        <v>637</v>
      </c>
      <c r="B25" s="288" t="s">
        <v>639</v>
      </c>
      <c r="C25" s="327" t="s">
        <v>630</v>
      </c>
      <c r="D25" s="291">
        <v>15</v>
      </c>
      <c r="E25" s="327" t="s">
        <v>957</v>
      </c>
      <c r="F25" s="328">
        <v>3</v>
      </c>
      <c r="G25" s="328" t="s">
        <v>957</v>
      </c>
      <c r="H25" s="328">
        <v>3</v>
      </c>
      <c r="I25" s="328"/>
      <c r="J25" s="328"/>
      <c r="K25" s="328"/>
      <c r="L25" s="328"/>
      <c r="M25" s="328"/>
      <c r="N25" s="328"/>
      <c r="O25" s="328" t="s">
        <v>992</v>
      </c>
      <c r="P25" s="325">
        <v>135</v>
      </c>
      <c r="Q25" s="292" t="s">
        <v>1611</v>
      </c>
    </row>
    <row r="26" spans="1:17" ht="19.95" customHeight="1">
      <c r="A26" s="322" t="s">
        <v>640</v>
      </c>
      <c r="B26" s="288" t="s">
        <v>642</v>
      </c>
      <c r="C26" s="327" t="s">
        <v>630</v>
      </c>
      <c r="D26" s="291">
        <v>15</v>
      </c>
      <c r="E26" s="327" t="s">
        <v>957</v>
      </c>
      <c r="F26" s="328">
        <v>3</v>
      </c>
      <c r="G26" s="328" t="s">
        <v>957</v>
      </c>
      <c r="H26" s="328">
        <v>9</v>
      </c>
      <c r="I26" s="328"/>
      <c r="J26" s="328"/>
      <c r="K26" s="328"/>
      <c r="L26" s="328"/>
      <c r="M26" s="328"/>
      <c r="N26" s="328"/>
      <c r="O26" s="328" t="s">
        <v>992</v>
      </c>
      <c r="P26" s="325">
        <v>405</v>
      </c>
      <c r="Q26" s="292" t="s">
        <v>1612</v>
      </c>
    </row>
    <row r="27" spans="1:17" ht="19.95" customHeight="1">
      <c r="A27" s="322" t="s">
        <v>643</v>
      </c>
      <c r="B27" s="329" t="s">
        <v>997</v>
      </c>
      <c r="C27" s="330" t="s">
        <v>998</v>
      </c>
      <c r="D27" s="331">
        <v>3739.95</v>
      </c>
      <c r="E27" s="327"/>
      <c r="F27" s="328"/>
      <c r="G27" s="328"/>
      <c r="H27" s="328"/>
      <c r="I27" s="328"/>
      <c r="J27" s="328"/>
      <c r="K27" s="328"/>
      <c r="L27" s="328"/>
      <c r="M27" s="328"/>
      <c r="N27" s="328"/>
      <c r="O27" s="328" t="s">
        <v>992</v>
      </c>
      <c r="P27" s="325">
        <v>3739.95</v>
      </c>
      <c r="Q27" s="332" t="s">
        <v>999</v>
      </c>
    </row>
    <row r="28" spans="1:17" ht="19.95" customHeight="1">
      <c r="A28" s="322" t="s">
        <v>647</v>
      </c>
      <c r="B28" s="288" t="s">
        <v>648</v>
      </c>
      <c r="C28" s="327" t="s">
        <v>630</v>
      </c>
      <c r="D28" s="327">
        <v>8</v>
      </c>
      <c r="E28" s="327" t="s">
        <v>957</v>
      </c>
      <c r="F28" s="328">
        <v>255</v>
      </c>
      <c r="G28" s="328"/>
      <c r="H28" s="328"/>
      <c r="I28" s="328"/>
      <c r="J28" s="328"/>
      <c r="K28" s="328"/>
      <c r="L28" s="328"/>
      <c r="M28" s="328"/>
      <c r="N28" s="328"/>
      <c r="O28" s="328" t="s">
        <v>992</v>
      </c>
      <c r="P28" s="325">
        <v>2040</v>
      </c>
      <c r="Q28" s="292" t="s">
        <v>1613</v>
      </c>
    </row>
    <row r="29" spans="1:17" ht="19.95" customHeight="1">
      <c r="A29" s="322"/>
      <c r="B29" s="288"/>
      <c r="C29" s="327"/>
      <c r="D29" s="327"/>
      <c r="E29" s="327"/>
      <c r="F29" s="328"/>
      <c r="G29" s="328"/>
      <c r="H29" s="328"/>
      <c r="I29" s="328"/>
      <c r="J29" s="328"/>
      <c r="K29" s="328"/>
      <c r="L29" s="328"/>
      <c r="M29" s="328"/>
      <c r="N29" s="328"/>
      <c r="O29" s="328"/>
      <c r="P29" s="325"/>
      <c r="Q29" s="292"/>
    </row>
    <row r="30" spans="1:17" ht="19.95" customHeight="1">
      <c r="A30" s="333" t="s">
        <v>649</v>
      </c>
      <c r="B30" s="334" t="s">
        <v>650</v>
      </c>
      <c r="C30" s="334"/>
      <c r="D30" s="334"/>
      <c r="E30" s="334"/>
      <c r="F30" s="334"/>
      <c r="G30" s="334"/>
      <c r="H30" s="334"/>
      <c r="I30" s="334"/>
      <c r="J30" s="334"/>
      <c r="K30" s="334"/>
      <c r="L30" s="334"/>
      <c r="M30" s="334"/>
      <c r="N30" s="334"/>
      <c r="O30" s="334"/>
      <c r="P30" s="334"/>
      <c r="Q30" s="335"/>
    </row>
    <row r="31" spans="1:17" ht="43.2">
      <c r="A31" s="322" t="s">
        <v>651</v>
      </c>
      <c r="B31" s="288" t="s">
        <v>653</v>
      </c>
      <c r="C31" s="327" t="s">
        <v>654</v>
      </c>
      <c r="D31" s="336">
        <v>481.68</v>
      </c>
      <c r="E31" s="327" t="s">
        <v>957</v>
      </c>
      <c r="F31" s="337">
        <v>2.1</v>
      </c>
      <c r="G31" s="328"/>
      <c r="H31" s="328"/>
      <c r="I31" s="328"/>
      <c r="J31" s="328"/>
      <c r="K31" s="328"/>
      <c r="L31" s="337"/>
      <c r="M31" s="337"/>
      <c r="N31" s="337"/>
      <c r="O31" s="328" t="s">
        <v>992</v>
      </c>
      <c r="P31" s="325">
        <v>1011.53</v>
      </c>
      <c r="Q31" s="292" t="s">
        <v>1614</v>
      </c>
    </row>
    <row r="32" spans="1:17" ht="72">
      <c r="A32" s="322" t="s">
        <v>655</v>
      </c>
      <c r="B32" s="288" t="s">
        <v>656</v>
      </c>
      <c r="C32" s="327" t="s">
        <v>654</v>
      </c>
      <c r="D32" s="327">
        <v>60</v>
      </c>
      <c r="E32" s="327" t="s">
        <v>1000</v>
      </c>
      <c r="F32" s="337">
        <v>75</v>
      </c>
      <c r="G32" s="328" t="s">
        <v>1000</v>
      </c>
      <c r="H32" s="328">
        <v>50</v>
      </c>
      <c r="I32" s="328" t="s">
        <v>1000</v>
      </c>
      <c r="J32" s="328">
        <v>90</v>
      </c>
      <c r="K32" s="328"/>
      <c r="L32" s="337"/>
      <c r="M32" s="337"/>
      <c r="N32" s="337"/>
      <c r="O32" s="328" t="s">
        <v>992</v>
      </c>
      <c r="P32" s="325">
        <v>275</v>
      </c>
      <c r="Q32" s="292" t="s">
        <v>1615</v>
      </c>
    </row>
    <row r="33" spans="1:17" ht="15.6">
      <c r="A33" s="322" t="s">
        <v>657</v>
      </c>
      <c r="B33" s="338" t="s">
        <v>659</v>
      </c>
      <c r="C33" s="327" t="s">
        <v>654</v>
      </c>
      <c r="D33" s="327">
        <v>4</v>
      </c>
      <c r="E33" s="327" t="s">
        <v>957</v>
      </c>
      <c r="F33" s="337">
        <v>2.5</v>
      </c>
      <c r="G33" s="328" t="s">
        <v>957</v>
      </c>
      <c r="H33" s="328">
        <v>2</v>
      </c>
      <c r="I33" s="328"/>
      <c r="J33" s="328"/>
      <c r="K33" s="328"/>
      <c r="L33" s="337"/>
      <c r="M33" s="337"/>
      <c r="N33" s="337"/>
      <c r="O33" s="328" t="s">
        <v>992</v>
      </c>
      <c r="P33" s="325">
        <v>20</v>
      </c>
      <c r="Q33" s="292" t="s">
        <v>1616</v>
      </c>
    </row>
    <row r="34" spans="1:17" ht="28.8">
      <c r="A34" s="322" t="s">
        <v>660</v>
      </c>
      <c r="B34" s="288" t="s">
        <v>661</v>
      </c>
      <c r="C34" s="327" t="s">
        <v>630</v>
      </c>
      <c r="D34" s="327">
        <v>1</v>
      </c>
      <c r="E34" s="327"/>
      <c r="F34" s="337"/>
      <c r="G34" s="328"/>
      <c r="H34" s="328"/>
      <c r="I34" s="328"/>
      <c r="J34" s="328"/>
      <c r="K34" s="328"/>
      <c r="L34" s="337"/>
      <c r="M34" s="337"/>
      <c r="N34" s="337"/>
      <c r="O34" s="328" t="s">
        <v>992</v>
      </c>
      <c r="P34" s="325">
        <v>1</v>
      </c>
      <c r="Q34" s="292" t="s">
        <v>1001</v>
      </c>
    </row>
    <row r="35" spans="1:17" ht="15.6">
      <c r="A35" s="322" t="s">
        <v>662</v>
      </c>
      <c r="B35" s="288" t="s">
        <v>663</v>
      </c>
      <c r="C35" s="327" t="s">
        <v>630</v>
      </c>
      <c r="D35" s="327">
        <v>1</v>
      </c>
      <c r="E35" s="327"/>
      <c r="F35" s="337"/>
      <c r="G35" s="328"/>
      <c r="H35" s="328"/>
      <c r="I35" s="328"/>
      <c r="J35" s="328"/>
      <c r="K35" s="328"/>
      <c r="L35" s="337"/>
      <c r="M35" s="337"/>
      <c r="N35" s="337"/>
      <c r="O35" s="328" t="s">
        <v>992</v>
      </c>
      <c r="P35" s="325">
        <v>1</v>
      </c>
      <c r="Q35" s="292" t="s">
        <v>1002</v>
      </c>
    </row>
    <row r="36" spans="1:17" ht="43.2">
      <c r="A36" s="322" t="s">
        <v>664</v>
      </c>
      <c r="B36" s="288" t="s">
        <v>665</v>
      </c>
      <c r="C36" s="327" t="s">
        <v>654</v>
      </c>
      <c r="D36" s="327">
        <v>8543.27</v>
      </c>
      <c r="E36" s="327"/>
      <c r="F36" s="337"/>
      <c r="G36" s="328"/>
      <c r="H36" s="339"/>
      <c r="I36" s="328"/>
      <c r="J36" s="328"/>
      <c r="K36" s="328"/>
      <c r="L36" s="337"/>
      <c r="M36" s="337"/>
      <c r="N36" s="337"/>
      <c r="O36" s="328" t="s">
        <v>992</v>
      </c>
      <c r="P36" s="325">
        <v>8543.27</v>
      </c>
      <c r="Q36" s="289" t="s">
        <v>1617</v>
      </c>
    </row>
    <row r="37" spans="1:17" ht="54.6" customHeight="1">
      <c r="A37" s="322"/>
      <c r="B37" s="288" t="s">
        <v>1618</v>
      </c>
      <c r="C37" s="327" t="s">
        <v>654</v>
      </c>
      <c r="D37" s="327">
        <v>1694.22</v>
      </c>
      <c r="E37" s="327"/>
      <c r="F37" s="337"/>
      <c r="G37" s="328"/>
      <c r="H37" s="339"/>
      <c r="I37" s="328"/>
      <c r="J37" s="328"/>
      <c r="K37" s="328"/>
      <c r="L37" s="337"/>
      <c r="M37" s="337"/>
      <c r="N37" s="337"/>
      <c r="O37" s="328" t="s">
        <v>1619</v>
      </c>
      <c r="P37" s="325">
        <v>1694.22</v>
      </c>
      <c r="Q37" s="289" t="s">
        <v>1620</v>
      </c>
    </row>
    <row r="38" spans="1:17" ht="57.6">
      <c r="A38" s="322" t="s">
        <v>666</v>
      </c>
      <c r="B38" s="288" t="s">
        <v>1621</v>
      </c>
      <c r="C38" s="327" t="s">
        <v>654</v>
      </c>
      <c r="D38" s="291">
        <v>2236.56</v>
      </c>
      <c r="E38" s="327" t="s">
        <v>1000</v>
      </c>
      <c r="F38" s="337">
        <v>17892.48</v>
      </c>
      <c r="G38" s="328" t="s">
        <v>1000</v>
      </c>
      <c r="H38" s="328">
        <v>701.07</v>
      </c>
      <c r="I38" s="328" t="s">
        <v>1622</v>
      </c>
      <c r="J38" s="328">
        <v>313.29000000000002</v>
      </c>
      <c r="K38" s="328"/>
      <c r="L38" s="337"/>
      <c r="M38" s="337"/>
      <c r="N38" s="337"/>
      <c r="O38" s="328" t="s">
        <v>992</v>
      </c>
      <c r="P38" s="325">
        <v>21143.4</v>
      </c>
      <c r="Q38" s="292" t="s">
        <v>1623</v>
      </c>
    </row>
    <row r="39" spans="1:17" ht="43.2">
      <c r="A39" s="322" t="s">
        <v>667</v>
      </c>
      <c r="B39" s="288" t="s">
        <v>1624</v>
      </c>
      <c r="C39" s="327" t="s">
        <v>654</v>
      </c>
      <c r="D39" s="339">
        <v>13389.4</v>
      </c>
      <c r="E39" s="327" t="s">
        <v>1625</v>
      </c>
      <c r="F39" s="339">
        <v>3648.96</v>
      </c>
      <c r="G39" s="328"/>
      <c r="H39" s="328"/>
      <c r="I39" s="328"/>
      <c r="J39" s="328"/>
      <c r="K39" s="328"/>
      <c r="L39" s="337"/>
      <c r="M39" s="337"/>
      <c r="N39" s="337"/>
      <c r="O39" s="328" t="s">
        <v>992</v>
      </c>
      <c r="P39" s="325">
        <v>9740.44</v>
      </c>
      <c r="Q39" s="292" t="s">
        <v>1626</v>
      </c>
    </row>
    <row r="40" spans="1:17" ht="19.95" customHeight="1">
      <c r="A40" s="322"/>
      <c r="B40" s="288"/>
      <c r="C40" s="327"/>
      <c r="D40" s="339"/>
      <c r="E40" s="327"/>
      <c r="F40" s="339"/>
      <c r="G40" s="328"/>
      <c r="H40" s="328"/>
      <c r="I40" s="328"/>
      <c r="J40" s="328"/>
      <c r="K40" s="328"/>
      <c r="L40" s="337"/>
      <c r="M40" s="337"/>
      <c r="N40" s="337"/>
      <c r="O40" s="328"/>
      <c r="P40" s="325"/>
      <c r="Q40" s="292"/>
    </row>
    <row r="41" spans="1:17" ht="15.6">
      <c r="A41" s="333" t="s">
        <v>668</v>
      </c>
      <c r="B41" s="334" t="s">
        <v>669</v>
      </c>
      <c r="C41" s="334"/>
      <c r="D41" s="334"/>
      <c r="E41" s="334"/>
      <c r="F41" s="334"/>
      <c r="G41" s="334"/>
      <c r="H41" s="334"/>
      <c r="I41" s="334"/>
      <c r="J41" s="334"/>
      <c r="K41" s="334"/>
      <c r="L41" s="334"/>
      <c r="M41" s="334"/>
      <c r="N41" s="334"/>
      <c r="O41" s="334"/>
      <c r="P41" s="334"/>
      <c r="Q41" s="335"/>
    </row>
    <row r="42" spans="1:17" ht="57.6">
      <c r="A42" s="322" t="s">
        <v>670</v>
      </c>
      <c r="B42" s="340" t="s">
        <v>1627</v>
      </c>
      <c r="C42" s="327" t="s">
        <v>654</v>
      </c>
      <c r="D42" s="327">
        <v>9000</v>
      </c>
      <c r="E42" s="327"/>
      <c r="F42" s="341"/>
      <c r="G42" s="328"/>
      <c r="H42" s="328"/>
      <c r="I42" s="328"/>
      <c r="J42" s="328"/>
      <c r="K42" s="328"/>
      <c r="L42" s="341"/>
      <c r="M42" s="341"/>
      <c r="N42" s="341"/>
      <c r="O42" s="328" t="s">
        <v>992</v>
      </c>
      <c r="P42" s="325">
        <v>9000</v>
      </c>
      <c r="Q42" s="292" t="s">
        <v>1628</v>
      </c>
    </row>
    <row r="43" spans="1:17" ht="43.2">
      <c r="A43" s="322" t="s">
        <v>672</v>
      </c>
      <c r="B43" s="340" t="s">
        <v>1003</v>
      </c>
      <c r="C43" s="327" t="s">
        <v>673</v>
      </c>
      <c r="D43" s="327">
        <v>28</v>
      </c>
      <c r="E43" s="327" t="s">
        <v>957</v>
      </c>
      <c r="F43" s="341">
        <v>220</v>
      </c>
      <c r="G43" s="328" t="s">
        <v>957</v>
      </c>
      <c r="H43" s="328">
        <v>3</v>
      </c>
      <c r="I43" s="328"/>
      <c r="J43" s="328"/>
      <c r="K43" s="328"/>
      <c r="L43" s="341"/>
      <c r="M43" s="341"/>
      <c r="N43" s="341"/>
      <c r="O43" s="328" t="s">
        <v>992</v>
      </c>
      <c r="P43" s="325">
        <f>+D43*F43</f>
        <v>6160</v>
      </c>
      <c r="Q43" s="292" t="s">
        <v>1004</v>
      </c>
    </row>
    <row r="44" spans="1:17" ht="72">
      <c r="A44" s="322" t="s">
        <v>1005</v>
      </c>
      <c r="B44" s="340" t="s">
        <v>1542</v>
      </c>
      <c r="C44" s="327" t="s">
        <v>673</v>
      </c>
      <c r="D44" s="327">
        <v>28</v>
      </c>
      <c r="E44" s="327" t="s">
        <v>957</v>
      </c>
      <c r="F44" s="341">
        <v>220</v>
      </c>
      <c r="G44" s="328"/>
      <c r="H44" s="328"/>
      <c r="I44" s="328"/>
      <c r="J44" s="328"/>
      <c r="K44" s="328"/>
      <c r="L44" s="341"/>
      <c r="M44" s="341"/>
      <c r="N44" s="341"/>
      <c r="O44" s="328" t="s">
        <v>992</v>
      </c>
      <c r="P44" s="325">
        <f>+D44*F44</f>
        <v>6160</v>
      </c>
      <c r="Q44" s="292" t="s">
        <v>1629</v>
      </c>
    </row>
    <row r="45" spans="1:17" ht="72">
      <c r="A45" s="322"/>
      <c r="B45" s="340" t="s">
        <v>1630</v>
      </c>
      <c r="C45" s="327"/>
      <c r="D45" s="327"/>
      <c r="E45" s="327"/>
      <c r="F45" s="341"/>
      <c r="G45" s="328"/>
      <c r="H45" s="328"/>
      <c r="I45" s="328"/>
      <c r="J45" s="328"/>
      <c r="K45" s="328"/>
      <c r="L45" s="341"/>
      <c r="M45" s="341"/>
      <c r="N45" s="341"/>
      <c r="O45" s="328"/>
      <c r="P45" s="325"/>
      <c r="Q45" s="292"/>
    </row>
    <row r="46" spans="1:17" ht="72">
      <c r="A46" s="322" t="s">
        <v>1006</v>
      </c>
      <c r="B46" s="340" t="s">
        <v>1007</v>
      </c>
      <c r="C46" s="327" t="s">
        <v>673</v>
      </c>
      <c r="D46" s="327">
        <v>2</v>
      </c>
      <c r="E46" s="327" t="s">
        <v>957</v>
      </c>
      <c r="F46" s="291">
        <v>3</v>
      </c>
      <c r="G46" s="290" t="s">
        <v>957</v>
      </c>
      <c r="H46" s="290">
        <v>220</v>
      </c>
      <c r="I46" s="328"/>
      <c r="J46" s="328"/>
      <c r="K46" s="328"/>
      <c r="L46" s="341"/>
      <c r="M46" s="341"/>
      <c r="N46" s="341"/>
      <c r="O46" s="328" t="s">
        <v>992</v>
      </c>
      <c r="P46" s="325">
        <v>1320</v>
      </c>
      <c r="Q46" s="292" t="s">
        <v>1008</v>
      </c>
    </row>
    <row r="47" spans="1:17" ht="57.6">
      <c r="A47" s="322" t="s">
        <v>1009</v>
      </c>
      <c r="B47" s="340" t="s">
        <v>1010</v>
      </c>
      <c r="C47" s="327" t="s">
        <v>673</v>
      </c>
      <c r="D47" s="327">
        <v>10</v>
      </c>
      <c r="E47" s="327" t="s">
        <v>957</v>
      </c>
      <c r="F47" s="341">
        <v>6</v>
      </c>
      <c r="G47" s="328" t="s">
        <v>952</v>
      </c>
      <c r="H47" s="328">
        <v>220</v>
      </c>
      <c r="I47" s="328"/>
      <c r="J47" s="328"/>
      <c r="K47" s="328"/>
      <c r="L47" s="341"/>
      <c r="M47" s="341"/>
      <c r="N47" s="341"/>
      <c r="O47" s="328" t="s">
        <v>992</v>
      </c>
      <c r="P47" s="325">
        <v>13200</v>
      </c>
      <c r="Q47" s="292" t="s">
        <v>1011</v>
      </c>
    </row>
    <row r="48" spans="1:17" ht="57.6">
      <c r="A48" s="322" t="s">
        <v>1012</v>
      </c>
      <c r="B48" s="340" t="s">
        <v>1013</v>
      </c>
      <c r="C48" s="327" t="s">
        <v>673</v>
      </c>
      <c r="D48" s="327">
        <v>10</v>
      </c>
      <c r="E48" s="327" t="s">
        <v>957</v>
      </c>
      <c r="F48" s="341">
        <v>2</v>
      </c>
      <c r="G48" s="328" t="s">
        <v>952</v>
      </c>
      <c r="H48" s="328">
        <v>220</v>
      </c>
      <c r="I48" s="328"/>
      <c r="J48" s="328"/>
      <c r="K48" s="328"/>
      <c r="L48" s="341"/>
      <c r="M48" s="341"/>
      <c r="N48" s="341"/>
      <c r="O48" s="328" t="s">
        <v>992</v>
      </c>
      <c r="P48" s="325">
        <v>4400</v>
      </c>
      <c r="Q48" s="292" t="s">
        <v>1014</v>
      </c>
    </row>
    <row r="49" spans="1:180" ht="43.2">
      <c r="A49" s="322" t="s">
        <v>1015</v>
      </c>
      <c r="B49" s="340" t="s">
        <v>1016</v>
      </c>
      <c r="C49" s="327" t="s">
        <v>673</v>
      </c>
      <c r="D49" s="327">
        <v>18</v>
      </c>
      <c r="E49" s="327" t="s">
        <v>957</v>
      </c>
      <c r="F49" s="341">
        <v>1</v>
      </c>
      <c r="G49" s="328" t="s">
        <v>952</v>
      </c>
      <c r="H49" s="328">
        <v>220</v>
      </c>
      <c r="I49" s="328"/>
      <c r="J49" s="328"/>
      <c r="K49" s="328"/>
      <c r="L49" s="341"/>
      <c r="M49" s="341"/>
      <c r="N49" s="341"/>
      <c r="O49" s="328" t="s">
        <v>992</v>
      </c>
      <c r="P49" s="325">
        <v>3960</v>
      </c>
      <c r="Q49" s="292" t="s">
        <v>1017</v>
      </c>
    </row>
    <row r="50" spans="1:180" ht="43.2">
      <c r="A50" s="322" t="s">
        <v>1019</v>
      </c>
      <c r="B50" s="340" t="s">
        <v>1020</v>
      </c>
      <c r="C50" s="327" t="s">
        <v>673</v>
      </c>
      <c r="D50" s="327">
        <v>18</v>
      </c>
      <c r="E50" s="327" t="s">
        <v>952</v>
      </c>
      <c r="F50" s="341">
        <v>220</v>
      </c>
      <c r="G50" s="328"/>
      <c r="H50" s="328"/>
      <c r="I50" s="328"/>
      <c r="J50" s="328"/>
      <c r="K50" s="328"/>
      <c r="L50" s="341"/>
      <c r="M50" s="341"/>
      <c r="N50" s="341"/>
      <c r="O50" s="328" t="s">
        <v>992</v>
      </c>
      <c r="P50" s="325">
        <v>3960</v>
      </c>
      <c r="Q50" s="292" t="s">
        <v>1021</v>
      </c>
    </row>
    <row r="51" spans="1:180" ht="19.95" customHeight="1">
      <c r="A51" s="322"/>
      <c r="B51" s="340"/>
      <c r="C51" s="327"/>
      <c r="D51" s="327"/>
      <c r="E51" s="327"/>
      <c r="F51" s="341"/>
      <c r="G51" s="328"/>
      <c r="H51" s="328"/>
      <c r="I51" s="328"/>
      <c r="J51" s="328"/>
      <c r="K51" s="328"/>
      <c r="L51" s="341"/>
      <c r="M51" s="341"/>
      <c r="N51" s="341"/>
      <c r="O51" s="328"/>
      <c r="P51" s="325"/>
      <c r="Q51" s="292"/>
    </row>
    <row r="52" spans="1:180" ht="19.95" customHeight="1">
      <c r="A52" s="342"/>
      <c r="B52" s="343" t="s">
        <v>1631</v>
      </c>
      <c r="C52" s="344"/>
      <c r="D52" s="344"/>
      <c r="E52" s="344"/>
      <c r="F52" s="345"/>
      <c r="G52" s="346"/>
      <c r="H52" s="346"/>
      <c r="I52" s="346"/>
      <c r="J52" s="346"/>
      <c r="K52" s="346"/>
      <c r="L52" s="345"/>
      <c r="M52" s="345"/>
      <c r="N52" s="345"/>
      <c r="O52" s="346"/>
      <c r="P52" s="347"/>
      <c r="Q52" s="335"/>
    </row>
    <row r="53" spans="1:180" ht="19.95" customHeight="1">
      <c r="A53" s="322"/>
      <c r="B53" s="340" t="s">
        <v>1632</v>
      </c>
      <c r="C53" s="327" t="s">
        <v>654</v>
      </c>
      <c r="D53" s="327"/>
      <c r="E53" s="327"/>
      <c r="F53" s="341"/>
      <c r="G53" s="328"/>
      <c r="H53" s="328"/>
      <c r="I53" s="328"/>
      <c r="J53" s="328"/>
      <c r="K53" s="328"/>
      <c r="L53" s="341"/>
      <c r="M53" s="341"/>
      <c r="N53" s="341"/>
      <c r="O53" s="328" t="s">
        <v>992</v>
      </c>
      <c r="P53" s="325">
        <v>2314.5</v>
      </c>
      <c r="Q53" s="292"/>
    </row>
    <row r="54" spans="1:180" ht="28.8">
      <c r="A54" s="322"/>
      <c r="B54" s="340" t="s">
        <v>1633</v>
      </c>
      <c r="C54" s="327" t="s">
        <v>654</v>
      </c>
      <c r="D54" s="327">
        <v>1</v>
      </c>
      <c r="E54" s="327" t="s">
        <v>1634</v>
      </c>
      <c r="F54" s="341">
        <v>1068</v>
      </c>
      <c r="G54" s="328"/>
      <c r="H54" s="328">
        <v>1068</v>
      </c>
      <c r="I54" s="328"/>
      <c r="J54" s="328"/>
      <c r="K54" s="328"/>
      <c r="L54" s="341"/>
      <c r="M54" s="341"/>
      <c r="N54" s="341"/>
      <c r="O54" s="328"/>
      <c r="P54" s="325"/>
      <c r="Q54" s="292" t="s">
        <v>1635</v>
      </c>
    </row>
    <row r="55" spans="1:180" ht="15.6">
      <c r="A55" s="322"/>
      <c r="B55" s="340" t="s">
        <v>1636</v>
      </c>
      <c r="C55" s="327" t="s">
        <v>654</v>
      </c>
      <c r="D55" s="327">
        <v>1</v>
      </c>
      <c r="E55" s="327" t="s">
        <v>1634</v>
      </c>
      <c r="F55" s="341">
        <v>150</v>
      </c>
      <c r="G55" s="328"/>
      <c r="H55" s="328">
        <v>150</v>
      </c>
      <c r="I55" s="328"/>
      <c r="J55" s="328"/>
      <c r="K55" s="328"/>
      <c r="L55" s="341"/>
      <c r="M55" s="341"/>
      <c r="N55" s="341"/>
      <c r="O55" s="328"/>
      <c r="P55" s="325"/>
      <c r="Q55" s="292" t="s">
        <v>1637</v>
      </c>
    </row>
    <row r="56" spans="1:180" ht="15.6">
      <c r="A56" s="322"/>
      <c r="B56" s="340" t="s">
        <v>1638</v>
      </c>
      <c r="C56" s="327" t="s">
        <v>654</v>
      </c>
      <c r="D56" s="327">
        <v>1</v>
      </c>
      <c r="E56" s="327" t="s">
        <v>1634</v>
      </c>
      <c r="F56" s="341">
        <v>405</v>
      </c>
      <c r="G56" s="328"/>
      <c r="H56" s="328">
        <v>405</v>
      </c>
      <c r="I56" s="328"/>
      <c r="J56" s="328"/>
      <c r="K56" s="328"/>
      <c r="L56" s="341"/>
      <c r="M56" s="341"/>
      <c r="N56" s="341"/>
      <c r="O56" s="328"/>
      <c r="P56" s="325"/>
      <c r="Q56" s="292" t="s">
        <v>1639</v>
      </c>
    </row>
    <row r="57" spans="1:180" ht="15.6">
      <c r="A57" s="322"/>
      <c r="B57" s="340" t="s">
        <v>1640</v>
      </c>
      <c r="C57" s="327" t="s">
        <v>654</v>
      </c>
      <c r="D57" s="327">
        <v>1</v>
      </c>
      <c r="E57" s="327" t="s">
        <v>1634</v>
      </c>
      <c r="F57" s="341">
        <v>576</v>
      </c>
      <c r="G57" s="328"/>
      <c r="H57" s="328">
        <v>576</v>
      </c>
      <c r="I57" s="328"/>
      <c r="J57" s="328"/>
      <c r="K57" s="328"/>
      <c r="L57" s="341"/>
      <c r="M57" s="341"/>
      <c r="N57" s="341"/>
      <c r="O57" s="328"/>
      <c r="P57" s="325"/>
      <c r="Q57" s="292" t="s">
        <v>1641</v>
      </c>
    </row>
    <row r="58" spans="1:180" ht="15.6">
      <c r="A58" s="322"/>
      <c r="B58" s="340" t="s">
        <v>1642</v>
      </c>
      <c r="C58" s="327" t="s">
        <v>654</v>
      </c>
      <c r="D58" s="327">
        <v>1</v>
      </c>
      <c r="E58" s="327" t="s">
        <v>1634</v>
      </c>
      <c r="F58" s="341">
        <v>102</v>
      </c>
      <c r="G58" s="328"/>
      <c r="H58" s="328">
        <v>102</v>
      </c>
      <c r="I58" s="328"/>
      <c r="J58" s="328"/>
      <c r="K58" s="328"/>
      <c r="L58" s="341"/>
      <c r="M58" s="341"/>
      <c r="N58" s="341"/>
      <c r="O58" s="328"/>
      <c r="P58" s="325"/>
      <c r="Q58" s="292" t="s">
        <v>1643</v>
      </c>
    </row>
    <row r="59" spans="1:180" ht="19.95" customHeight="1">
      <c r="A59" s="322"/>
      <c r="B59" s="340" t="s">
        <v>1644</v>
      </c>
      <c r="C59" s="327" t="s">
        <v>654</v>
      </c>
      <c r="D59" s="327">
        <v>1</v>
      </c>
      <c r="E59" s="327" t="s">
        <v>1634</v>
      </c>
      <c r="F59" s="341">
        <v>13.5</v>
      </c>
      <c r="G59" s="328"/>
      <c r="H59" s="328">
        <v>13.5</v>
      </c>
      <c r="I59" s="328"/>
      <c r="J59" s="328"/>
      <c r="K59" s="328"/>
      <c r="L59" s="341"/>
      <c r="M59" s="341"/>
      <c r="N59" s="341"/>
      <c r="O59" s="328"/>
      <c r="P59" s="325"/>
      <c r="Q59" s="292" t="s">
        <v>1645</v>
      </c>
    </row>
    <row r="60" spans="1:180" ht="19.95" customHeight="1">
      <c r="A60" s="322"/>
      <c r="B60" s="340"/>
      <c r="C60" s="327"/>
      <c r="D60" s="327"/>
      <c r="E60" s="327"/>
      <c r="F60" s="341"/>
      <c r="G60" s="328"/>
      <c r="H60" s="328"/>
      <c r="I60" s="328"/>
      <c r="J60" s="328"/>
      <c r="K60" s="328"/>
      <c r="L60" s="341"/>
      <c r="M60" s="341"/>
      <c r="N60" s="341"/>
      <c r="O60" s="328"/>
      <c r="P60" s="325"/>
      <c r="Q60" s="292"/>
    </row>
    <row r="61" spans="1:180" ht="28.8">
      <c r="A61" s="322"/>
      <c r="B61" s="340" t="s">
        <v>1646</v>
      </c>
      <c r="C61" s="327" t="s">
        <v>607</v>
      </c>
      <c r="D61" s="327">
        <v>1</v>
      </c>
      <c r="E61" s="327" t="s">
        <v>952</v>
      </c>
      <c r="F61" s="341">
        <v>229.73</v>
      </c>
      <c r="G61" s="328" t="s">
        <v>957</v>
      </c>
      <c r="H61" s="328">
        <v>2.2000000000000002</v>
      </c>
      <c r="I61" s="328"/>
      <c r="J61" s="328"/>
      <c r="K61" s="328"/>
      <c r="L61" s="341"/>
      <c r="M61" s="341"/>
      <c r="N61" s="341"/>
      <c r="O61" s="328" t="s">
        <v>1619</v>
      </c>
      <c r="P61" s="325">
        <f>+H61*F61</f>
        <v>505.40600000000001</v>
      </c>
      <c r="Q61" s="292" t="s">
        <v>1647</v>
      </c>
    </row>
    <row r="62" spans="1:180" ht="19.95" customHeight="1">
      <c r="A62" s="322"/>
      <c r="B62" s="340"/>
      <c r="C62" s="327"/>
      <c r="D62" s="327"/>
      <c r="E62" s="327"/>
      <c r="F62" s="341"/>
      <c r="G62" s="328"/>
      <c r="H62" s="328"/>
      <c r="I62" s="328"/>
      <c r="J62" s="328"/>
      <c r="K62" s="328"/>
      <c r="L62" s="341"/>
      <c r="M62" s="341"/>
      <c r="N62" s="341"/>
      <c r="O62" s="328"/>
      <c r="P62" s="325"/>
      <c r="Q62" s="292"/>
    </row>
    <row r="63" spans="1:180" ht="19.95" customHeight="1">
      <c r="A63" s="322"/>
      <c r="B63" s="340" t="s">
        <v>1648</v>
      </c>
      <c r="C63" s="327" t="s">
        <v>646</v>
      </c>
      <c r="D63" s="327">
        <v>728.81</v>
      </c>
      <c r="E63" s="327" t="s">
        <v>1649</v>
      </c>
      <c r="F63" s="341">
        <v>2</v>
      </c>
      <c r="G63" s="328"/>
      <c r="H63" s="328"/>
      <c r="I63" s="328"/>
      <c r="J63" s="328"/>
      <c r="K63" s="328"/>
      <c r="L63" s="341"/>
      <c r="M63" s="341"/>
      <c r="N63" s="341"/>
      <c r="O63" s="328" t="s">
        <v>1619</v>
      </c>
      <c r="P63" s="325">
        <v>1457.62</v>
      </c>
      <c r="Q63" s="292"/>
    </row>
    <row r="64" spans="1:180" ht="15.6">
      <c r="A64" s="322"/>
      <c r="B64" s="340" t="s">
        <v>1650</v>
      </c>
      <c r="C64" s="327" t="s">
        <v>646</v>
      </c>
      <c r="D64" s="327">
        <v>2314.5</v>
      </c>
      <c r="E64" s="327" t="s">
        <v>952</v>
      </c>
      <c r="F64" s="341">
        <v>0.3</v>
      </c>
      <c r="G64" s="328"/>
      <c r="H64" s="328"/>
      <c r="I64" s="328"/>
      <c r="J64" s="328"/>
      <c r="K64" s="328"/>
      <c r="L64" s="341"/>
      <c r="M64" s="341"/>
      <c r="N64" s="341"/>
      <c r="O64" s="328" t="s">
        <v>1619</v>
      </c>
      <c r="P64" s="325">
        <v>694.35</v>
      </c>
      <c r="Q64" s="292"/>
      <c r="R64" s="287"/>
      <c r="S64" s="287"/>
      <c r="T64" s="287"/>
      <c r="U64" s="287"/>
      <c r="V64" s="287"/>
      <c r="W64" s="287"/>
      <c r="X64" s="287"/>
      <c r="Y64" s="287"/>
      <c r="Z64" s="287"/>
      <c r="AA64" s="287"/>
      <c r="AB64" s="287"/>
      <c r="AC64" s="287"/>
      <c r="AD64" s="287"/>
      <c r="AE64" s="287"/>
      <c r="AF64" s="287"/>
      <c r="AG64" s="287"/>
      <c r="AH64" s="287"/>
      <c r="AI64" s="287"/>
      <c r="AJ64" s="287"/>
      <c r="AK64" s="287"/>
      <c r="AL64" s="287"/>
      <c r="AM64" s="287"/>
      <c r="AN64" s="287"/>
      <c r="AO64" s="287"/>
      <c r="AP64" s="287"/>
      <c r="AQ64" s="287"/>
      <c r="AR64" s="287"/>
      <c r="AS64" s="287"/>
      <c r="AT64" s="287"/>
      <c r="AU64" s="287"/>
      <c r="AV64" s="287"/>
      <c r="AW64" s="287"/>
      <c r="AX64" s="287"/>
      <c r="AY64" s="287"/>
      <c r="AZ64" s="287"/>
      <c r="BA64" s="287"/>
      <c r="BB64" s="287"/>
      <c r="BC64" s="287"/>
      <c r="BD64" s="287"/>
      <c r="BE64" s="287"/>
      <c r="BF64" s="287"/>
      <c r="BG64" s="287"/>
      <c r="BH64" s="287"/>
      <c r="BI64" s="287"/>
      <c r="BJ64" s="287"/>
      <c r="BK64" s="287"/>
      <c r="BL64" s="287"/>
      <c r="BM64" s="287"/>
      <c r="BN64" s="287"/>
      <c r="BO64" s="287"/>
      <c r="BP64" s="287"/>
      <c r="BQ64" s="287"/>
      <c r="BR64" s="287"/>
      <c r="BS64" s="287"/>
      <c r="BT64" s="287"/>
      <c r="BU64" s="287"/>
      <c r="BV64" s="287"/>
      <c r="BW64" s="287"/>
      <c r="BX64" s="287"/>
      <c r="BY64" s="287"/>
      <c r="BZ64" s="287"/>
      <c r="CA64" s="287"/>
      <c r="CB64" s="287"/>
      <c r="CC64" s="287"/>
      <c r="CD64" s="287"/>
      <c r="CE64" s="287"/>
      <c r="CF64" s="287"/>
      <c r="CG64" s="287"/>
      <c r="CH64" s="287"/>
      <c r="CI64" s="287"/>
      <c r="CJ64" s="287"/>
      <c r="CK64" s="287"/>
      <c r="CL64" s="287"/>
      <c r="CM64" s="287"/>
      <c r="CN64" s="287"/>
      <c r="CO64" s="287"/>
      <c r="CP64" s="287"/>
      <c r="CQ64" s="287"/>
      <c r="CR64" s="287"/>
      <c r="CS64" s="287"/>
      <c r="CT64" s="287"/>
      <c r="CU64" s="287"/>
      <c r="CV64" s="287"/>
      <c r="CW64" s="287"/>
      <c r="CX64" s="287"/>
      <c r="CY64" s="287"/>
      <c r="CZ64" s="287"/>
      <c r="DA64" s="287"/>
      <c r="DB64" s="287"/>
      <c r="DC64" s="287"/>
      <c r="DD64" s="287"/>
      <c r="DE64" s="287"/>
      <c r="DF64" s="287"/>
      <c r="DG64" s="287"/>
      <c r="DH64" s="287"/>
      <c r="DI64" s="287"/>
      <c r="DJ64" s="287"/>
      <c r="DK64" s="287"/>
      <c r="DL64" s="287"/>
      <c r="DM64" s="287"/>
      <c r="DN64" s="287"/>
      <c r="DO64" s="287"/>
      <c r="DP64" s="287"/>
      <c r="DQ64" s="287"/>
      <c r="DR64" s="287"/>
      <c r="DS64" s="287"/>
      <c r="DT64" s="287"/>
      <c r="DU64" s="287"/>
      <c r="DV64" s="287"/>
      <c r="DW64" s="287"/>
      <c r="DX64" s="287"/>
      <c r="DY64" s="287"/>
      <c r="DZ64" s="287"/>
      <c r="EA64" s="287"/>
      <c r="EB64" s="287"/>
      <c r="EC64" s="287"/>
      <c r="ED64" s="287"/>
      <c r="EE64" s="287"/>
      <c r="EF64" s="287"/>
      <c r="EG64" s="287"/>
      <c r="EH64" s="287"/>
      <c r="EI64" s="287"/>
      <c r="EJ64" s="287"/>
      <c r="EK64" s="287"/>
      <c r="EL64" s="287"/>
      <c r="EM64" s="287"/>
      <c r="EN64" s="287"/>
      <c r="EO64" s="287"/>
      <c r="EP64" s="287"/>
      <c r="EQ64" s="287"/>
      <c r="ER64" s="287"/>
      <c r="ES64" s="287"/>
      <c r="ET64" s="287"/>
      <c r="EU64" s="287"/>
      <c r="EV64" s="287"/>
      <c r="EW64" s="287"/>
      <c r="EX64" s="287"/>
      <c r="EY64" s="287"/>
      <c r="EZ64" s="287"/>
      <c r="FA64" s="287"/>
      <c r="FB64" s="287"/>
      <c r="FC64" s="287"/>
      <c r="FD64" s="287"/>
      <c r="FE64" s="287"/>
      <c r="FF64" s="287"/>
      <c r="FG64" s="287"/>
      <c r="FH64" s="287"/>
      <c r="FI64" s="287"/>
      <c r="FJ64" s="287"/>
      <c r="FK64" s="287"/>
      <c r="FL64" s="287"/>
      <c r="FM64" s="287"/>
      <c r="FN64" s="287"/>
      <c r="FO64" s="287"/>
      <c r="FP64" s="287"/>
      <c r="FQ64" s="287"/>
      <c r="FR64" s="287"/>
      <c r="FS64" s="287"/>
      <c r="FT64" s="287"/>
      <c r="FU64" s="287"/>
      <c r="FV64" s="287"/>
      <c r="FW64" s="287"/>
      <c r="FX64" s="287"/>
    </row>
    <row r="65" spans="1:180" ht="19.95" customHeight="1">
      <c r="A65" s="322"/>
      <c r="B65" s="340" t="s">
        <v>1651</v>
      </c>
      <c r="C65" s="327" t="s">
        <v>646</v>
      </c>
      <c r="D65" s="327">
        <v>229.73</v>
      </c>
      <c r="E65" s="327" t="s">
        <v>952</v>
      </c>
      <c r="F65" s="341">
        <v>0.15</v>
      </c>
      <c r="G65" s="328"/>
      <c r="H65" s="328"/>
      <c r="I65" s="328"/>
      <c r="J65" s="328"/>
      <c r="K65" s="328"/>
      <c r="L65" s="341"/>
      <c r="M65" s="341"/>
      <c r="N65" s="341"/>
      <c r="O65" s="328" t="s">
        <v>1619</v>
      </c>
      <c r="P65" s="325">
        <v>34.46</v>
      </c>
      <c r="Q65" s="292"/>
      <c r="R65" s="287"/>
      <c r="S65" s="287"/>
      <c r="T65" s="287"/>
      <c r="U65" s="287"/>
      <c r="V65" s="287"/>
      <c r="W65" s="287"/>
      <c r="X65" s="287"/>
      <c r="Y65" s="287"/>
      <c r="Z65" s="287"/>
      <c r="AA65" s="287"/>
      <c r="AB65" s="287"/>
      <c r="AC65" s="287"/>
      <c r="AD65" s="287"/>
      <c r="AE65" s="287"/>
      <c r="AF65" s="287"/>
      <c r="AG65" s="287"/>
      <c r="AH65" s="287"/>
      <c r="AI65" s="287"/>
      <c r="AJ65" s="287"/>
      <c r="AK65" s="287"/>
      <c r="AL65" s="287"/>
      <c r="AM65" s="287"/>
      <c r="AN65" s="287"/>
      <c r="AO65" s="287"/>
      <c r="AP65" s="287"/>
      <c r="AQ65" s="287"/>
      <c r="AR65" s="287"/>
      <c r="AS65" s="287"/>
      <c r="AT65" s="287"/>
      <c r="AU65" s="287"/>
      <c r="AV65" s="287"/>
      <c r="AW65" s="287"/>
      <c r="AX65" s="287"/>
      <c r="AY65" s="287"/>
      <c r="AZ65" s="287"/>
      <c r="BA65" s="287"/>
      <c r="BB65" s="287"/>
      <c r="BC65" s="287"/>
      <c r="BD65" s="287"/>
      <c r="BE65" s="287"/>
      <c r="BF65" s="287"/>
      <c r="BG65" s="287"/>
      <c r="BH65" s="287"/>
      <c r="BI65" s="287"/>
      <c r="BJ65" s="287"/>
      <c r="BK65" s="287"/>
      <c r="BL65" s="287"/>
      <c r="BM65" s="287"/>
      <c r="BN65" s="287"/>
      <c r="BO65" s="287"/>
      <c r="BP65" s="287"/>
      <c r="BQ65" s="287"/>
      <c r="BR65" s="287"/>
      <c r="BS65" s="287"/>
      <c r="BT65" s="287"/>
      <c r="BU65" s="287"/>
      <c r="BV65" s="287"/>
      <c r="BW65" s="287"/>
      <c r="BX65" s="287"/>
      <c r="BY65" s="287"/>
      <c r="BZ65" s="287"/>
      <c r="CA65" s="287"/>
      <c r="CB65" s="287"/>
      <c r="CC65" s="287"/>
      <c r="CD65" s="287"/>
      <c r="CE65" s="287"/>
      <c r="CF65" s="287"/>
      <c r="CG65" s="287"/>
      <c r="CH65" s="287"/>
      <c r="CI65" s="287"/>
      <c r="CJ65" s="287"/>
      <c r="CK65" s="287"/>
      <c r="CL65" s="287"/>
      <c r="CM65" s="287"/>
      <c r="CN65" s="287"/>
      <c r="CO65" s="287"/>
      <c r="CP65" s="287"/>
      <c r="CQ65" s="287"/>
      <c r="CR65" s="287"/>
      <c r="CS65" s="287"/>
      <c r="CT65" s="287"/>
      <c r="CU65" s="287"/>
      <c r="CV65" s="287"/>
      <c r="CW65" s="287"/>
      <c r="CX65" s="287"/>
      <c r="CY65" s="287"/>
      <c r="CZ65" s="287"/>
      <c r="DA65" s="287"/>
      <c r="DB65" s="287"/>
      <c r="DC65" s="287"/>
      <c r="DD65" s="287"/>
      <c r="DE65" s="287"/>
      <c r="DF65" s="287"/>
      <c r="DG65" s="287"/>
      <c r="DH65" s="287"/>
      <c r="DI65" s="287"/>
      <c r="DJ65" s="287"/>
      <c r="DK65" s="287"/>
      <c r="DL65" s="287"/>
      <c r="DM65" s="287"/>
      <c r="DN65" s="287"/>
      <c r="DO65" s="287"/>
      <c r="DP65" s="287"/>
      <c r="DQ65" s="287"/>
      <c r="DR65" s="287"/>
      <c r="DS65" s="287"/>
      <c r="DT65" s="287"/>
      <c r="DU65" s="287"/>
      <c r="DV65" s="287"/>
      <c r="DW65" s="287"/>
      <c r="DX65" s="287"/>
      <c r="DY65" s="287"/>
      <c r="DZ65" s="287"/>
      <c r="EA65" s="287"/>
      <c r="EB65" s="287"/>
      <c r="EC65" s="287"/>
      <c r="ED65" s="287"/>
      <c r="EE65" s="287"/>
      <c r="EF65" s="287"/>
      <c r="EG65" s="287"/>
      <c r="EH65" s="287"/>
      <c r="EI65" s="287"/>
      <c r="EJ65" s="287"/>
      <c r="EK65" s="287"/>
      <c r="EL65" s="287"/>
      <c r="EM65" s="287"/>
      <c r="EN65" s="287"/>
      <c r="EO65" s="287"/>
      <c r="EP65" s="287"/>
      <c r="EQ65" s="287"/>
      <c r="ER65" s="287"/>
      <c r="ES65" s="287"/>
      <c r="ET65" s="287"/>
      <c r="EU65" s="287"/>
      <c r="EV65" s="287"/>
      <c r="EW65" s="287"/>
      <c r="EX65" s="287"/>
      <c r="EY65" s="287"/>
      <c r="EZ65" s="287"/>
      <c r="FA65" s="287"/>
      <c r="FB65" s="287"/>
      <c r="FC65" s="287"/>
      <c r="FD65" s="287"/>
      <c r="FE65" s="287"/>
      <c r="FF65" s="287"/>
      <c r="FG65" s="287"/>
      <c r="FH65" s="287"/>
      <c r="FI65" s="287"/>
      <c r="FJ65" s="287"/>
      <c r="FK65" s="287"/>
      <c r="FL65" s="287"/>
      <c r="FM65" s="287"/>
      <c r="FN65" s="287"/>
      <c r="FO65" s="287"/>
      <c r="FP65" s="287"/>
      <c r="FQ65" s="287"/>
      <c r="FR65" s="287"/>
      <c r="FS65" s="287"/>
      <c r="FT65" s="287"/>
      <c r="FU65" s="287"/>
      <c r="FV65" s="287"/>
      <c r="FW65" s="287"/>
      <c r="FX65" s="287"/>
    </row>
    <row r="66" spans="1:180" ht="19.95" customHeight="1">
      <c r="A66" s="322"/>
      <c r="B66" s="340"/>
      <c r="C66" s="327"/>
      <c r="D66" s="327"/>
      <c r="E66" s="327"/>
      <c r="F66" s="341"/>
      <c r="G66" s="328"/>
      <c r="H66" s="328"/>
      <c r="I66" s="328"/>
      <c r="J66" s="328"/>
      <c r="K66" s="328"/>
      <c r="L66" s="341"/>
      <c r="M66" s="341"/>
      <c r="N66" s="341"/>
      <c r="O66" s="328"/>
      <c r="P66" s="325">
        <f>SUM(P63:P65)</f>
        <v>2186.4299999999998</v>
      </c>
      <c r="Q66" s="292"/>
      <c r="R66" s="287"/>
      <c r="S66" s="287"/>
      <c r="T66" s="287"/>
      <c r="U66" s="287"/>
      <c r="V66" s="287"/>
      <c r="W66" s="287"/>
      <c r="X66" s="287"/>
      <c r="Y66" s="287"/>
      <c r="Z66" s="287"/>
      <c r="AA66" s="287"/>
      <c r="AB66" s="287"/>
      <c r="AC66" s="287"/>
      <c r="AD66" s="287"/>
      <c r="AE66" s="287"/>
      <c r="AF66" s="287"/>
      <c r="AG66" s="287"/>
      <c r="AH66" s="287"/>
      <c r="AI66" s="287"/>
      <c r="AJ66" s="287"/>
      <c r="AK66" s="287"/>
      <c r="AL66" s="287"/>
      <c r="AM66" s="287"/>
      <c r="AN66" s="287"/>
      <c r="AO66" s="287"/>
      <c r="AP66" s="287"/>
      <c r="AQ66" s="287"/>
      <c r="AR66" s="287"/>
      <c r="AS66" s="287"/>
      <c r="AT66" s="287"/>
      <c r="AU66" s="287"/>
      <c r="AV66" s="287"/>
      <c r="AW66" s="287"/>
      <c r="AX66" s="287"/>
      <c r="AY66" s="287"/>
      <c r="AZ66" s="287"/>
      <c r="BA66" s="287"/>
      <c r="BB66" s="287"/>
      <c r="BC66" s="287"/>
      <c r="BD66" s="287"/>
      <c r="BE66" s="287"/>
      <c r="BF66" s="287"/>
      <c r="BG66" s="287"/>
      <c r="BH66" s="287"/>
      <c r="BI66" s="287"/>
      <c r="BJ66" s="287"/>
      <c r="BK66" s="287"/>
      <c r="BL66" s="287"/>
      <c r="BM66" s="287"/>
      <c r="BN66" s="287"/>
      <c r="BO66" s="287"/>
      <c r="BP66" s="287"/>
      <c r="BQ66" s="287"/>
      <c r="BR66" s="287"/>
      <c r="BS66" s="287"/>
      <c r="BT66" s="287"/>
      <c r="BU66" s="287"/>
      <c r="BV66" s="287"/>
      <c r="BW66" s="287"/>
      <c r="BX66" s="287"/>
      <c r="BY66" s="287"/>
      <c r="BZ66" s="287"/>
      <c r="CA66" s="287"/>
      <c r="CB66" s="287"/>
      <c r="CC66" s="287"/>
      <c r="CD66" s="287"/>
      <c r="CE66" s="287"/>
      <c r="CF66" s="287"/>
      <c r="CG66" s="287"/>
      <c r="CH66" s="287"/>
      <c r="CI66" s="287"/>
      <c r="CJ66" s="287"/>
      <c r="CK66" s="287"/>
      <c r="CL66" s="287"/>
      <c r="CM66" s="287"/>
      <c r="CN66" s="287"/>
      <c r="CO66" s="287"/>
      <c r="CP66" s="287"/>
      <c r="CQ66" s="287"/>
      <c r="CR66" s="287"/>
      <c r="CS66" s="287"/>
      <c r="CT66" s="287"/>
      <c r="CU66" s="287"/>
      <c r="CV66" s="287"/>
      <c r="CW66" s="287"/>
      <c r="CX66" s="287"/>
      <c r="CY66" s="287"/>
      <c r="CZ66" s="287"/>
      <c r="DA66" s="287"/>
      <c r="DB66" s="287"/>
      <c r="DC66" s="287"/>
      <c r="DD66" s="287"/>
      <c r="DE66" s="287"/>
      <c r="DF66" s="287"/>
      <c r="DG66" s="287"/>
      <c r="DH66" s="287"/>
      <c r="DI66" s="287"/>
      <c r="DJ66" s="287"/>
      <c r="DK66" s="287"/>
      <c r="DL66" s="287"/>
      <c r="DM66" s="287"/>
      <c r="DN66" s="287"/>
      <c r="DO66" s="287"/>
      <c r="DP66" s="287"/>
      <c r="DQ66" s="287"/>
      <c r="DR66" s="287"/>
      <c r="DS66" s="287"/>
      <c r="DT66" s="287"/>
      <c r="DU66" s="287"/>
      <c r="DV66" s="287"/>
      <c r="DW66" s="287"/>
      <c r="DX66" s="287"/>
      <c r="DY66" s="287"/>
      <c r="DZ66" s="287"/>
      <c r="EA66" s="287"/>
      <c r="EB66" s="287"/>
      <c r="EC66" s="287"/>
      <c r="ED66" s="287"/>
      <c r="EE66" s="287"/>
      <c r="EF66" s="287"/>
      <c r="EG66" s="287"/>
      <c r="EH66" s="287"/>
      <c r="EI66" s="287"/>
      <c r="EJ66" s="287"/>
      <c r="EK66" s="287"/>
      <c r="EL66" s="287"/>
      <c r="EM66" s="287"/>
      <c r="EN66" s="287"/>
      <c r="EO66" s="287"/>
      <c r="EP66" s="287"/>
      <c r="EQ66" s="287"/>
      <c r="ER66" s="287"/>
      <c r="ES66" s="287"/>
      <c r="ET66" s="287"/>
      <c r="EU66" s="287"/>
      <c r="EV66" s="287"/>
      <c r="EW66" s="287"/>
      <c r="EX66" s="287"/>
      <c r="EY66" s="287"/>
      <c r="EZ66" s="287"/>
      <c r="FA66" s="287"/>
      <c r="FB66" s="287"/>
      <c r="FC66" s="287"/>
      <c r="FD66" s="287"/>
      <c r="FE66" s="287"/>
      <c r="FF66" s="287"/>
      <c r="FG66" s="287"/>
      <c r="FH66" s="287"/>
      <c r="FI66" s="287"/>
      <c r="FJ66" s="287"/>
      <c r="FK66" s="287"/>
      <c r="FL66" s="287"/>
      <c r="FM66" s="287"/>
      <c r="FN66" s="287"/>
      <c r="FO66" s="287"/>
      <c r="FP66" s="287"/>
      <c r="FQ66" s="287"/>
      <c r="FR66" s="287"/>
      <c r="FS66" s="287"/>
      <c r="FT66" s="287"/>
      <c r="FU66" s="287"/>
      <c r="FV66" s="287"/>
      <c r="FW66" s="287"/>
      <c r="FX66" s="287"/>
    </row>
    <row r="67" spans="1:180" ht="19.95" customHeight="1">
      <c r="A67" s="322"/>
      <c r="B67" s="340" t="s">
        <v>1864</v>
      </c>
      <c r="C67" s="327" t="s">
        <v>1865</v>
      </c>
      <c r="D67" s="291">
        <f>P66</f>
        <v>2186.4299999999998</v>
      </c>
      <c r="E67" s="327" t="s">
        <v>952</v>
      </c>
      <c r="F67" s="341">
        <v>10</v>
      </c>
      <c r="G67" s="328"/>
      <c r="H67" s="328"/>
      <c r="I67" s="328"/>
      <c r="J67" s="328"/>
      <c r="K67" s="328"/>
      <c r="L67" s="341"/>
      <c r="M67" s="341"/>
      <c r="N67" s="341"/>
      <c r="O67" s="328"/>
      <c r="P67" s="325">
        <f>+F67*D67</f>
        <v>21864.3</v>
      </c>
      <c r="Q67" s="292"/>
      <c r="R67" s="287"/>
      <c r="S67" s="287"/>
      <c r="T67" s="287"/>
      <c r="U67" s="287"/>
      <c r="V67" s="287"/>
      <c r="W67" s="287"/>
      <c r="X67" s="287"/>
      <c r="Y67" s="287"/>
      <c r="Z67" s="287"/>
      <c r="AA67" s="287"/>
      <c r="AB67" s="287"/>
      <c r="AC67" s="287"/>
      <c r="AD67" s="287"/>
      <c r="AE67" s="287"/>
      <c r="AF67" s="287"/>
      <c r="AG67" s="287"/>
      <c r="AH67" s="287"/>
      <c r="AI67" s="287"/>
      <c r="AJ67" s="287"/>
      <c r="AK67" s="287"/>
      <c r="AL67" s="287"/>
      <c r="AM67" s="287"/>
      <c r="AN67" s="287"/>
      <c r="AO67" s="287"/>
      <c r="AP67" s="287"/>
      <c r="AQ67" s="287"/>
      <c r="AR67" s="287"/>
      <c r="AS67" s="287"/>
      <c r="AT67" s="287"/>
      <c r="AU67" s="287"/>
      <c r="AV67" s="287"/>
      <c r="AW67" s="287"/>
      <c r="AX67" s="287"/>
      <c r="AY67" s="287"/>
      <c r="AZ67" s="287"/>
      <c r="BA67" s="287"/>
      <c r="BB67" s="287"/>
      <c r="BC67" s="287"/>
      <c r="BD67" s="287"/>
      <c r="BE67" s="287"/>
      <c r="BF67" s="287"/>
      <c r="BG67" s="287"/>
      <c r="BH67" s="287"/>
      <c r="BI67" s="287"/>
      <c r="BJ67" s="287"/>
      <c r="BK67" s="287"/>
      <c r="BL67" s="287"/>
      <c r="BM67" s="287"/>
      <c r="BN67" s="287"/>
      <c r="BO67" s="287"/>
      <c r="BP67" s="287"/>
      <c r="BQ67" s="287"/>
      <c r="BR67" s="287"/>
      <c r="BS67" s="287"/>
      <c r="BT67" s="287"/>
      <c r="BU67" s="287"/>
      <c r="BV67" s="287"/>
      <c r="BW67" s="287"/>
      <c r="BX67" s="287"/>
      <c r="BY67" s="287"/>
      <c r="BZ67" s="287"/>
      <c r="CA67" s="287"/>
      <c r="CB67" s="287"/>
      <c r="CC67" s="287"/>
      <c r="CD67" s="287"/>
      <c r="CE67" s="287"/>
      <c r="CF67" s="287"/>
      <c r="CG67" s="287"/>
      <c r="CH67" s="287"/>
      <c r="CI67" s="287"/>
      <c r="CJ67" s="287"/>
      <c r="CK67" s="287"/>
      <c r="CL67" s="287"/>
      <c r="CM67" s="287"/>
      <c r="CN67" s="287"/>
      <c r="CO67" s="287"/>
      <c r="CP67" s="287"/>
      <c r="CQ67" s="287"/>
      <c r="CR67" s="287"/>
      <c r="CS67" s="287"/>
      <c r="CT67" s="287"/>
      <c r="CU67" s="287"/>
      <c r="CV67" s="287"/>
      <c r="CW67" s="287"/>
      <c r="CX67" s="287"/>
      <c r="CY67" s="287"/>
      <c r="CZ67" s="287"/>
      <c r="DA67" s="287"/>
      <c r="DB67" s="287"/>
      <c r="DC67" s="287"/>
      <c r="DD67" s="287"/>
      <c r="DE67" s="287"/>
      <c r="DF67" s="287"/>
      <c r="DG67" s="287"/>
      <c r="DH67" s="287"/>
      <c r="DI67" s="287"/>
      <c r="DJ67" s="287"/>
      <c r="DK67" s="287"/>
      <c r="DL67" s="287"/>
      <c r="DM67" s="287"/>
      <c r="DN67" s="287"/>
      <c r="DO67" s="287"/>
      <c r="DP67" s="287"/>
      <c r="DQ67" s="287"/>
      <c r="DR67" s="287"/>
      <c r="DS67" s="287"/>
      <c r="DT67" s="287"/>
      <c r="DU67" s="287"/>
      <c r="DV67" s="287"/>
      <c r="DW67" s="287"/>
      <c r="DX67" s="287"/>
      <c r="DY67" s="287"/>
      <c r="DZ67" s="287"/>
      <c r="EA67" s="287"/>
      <c r="EB67" s="287"/>
      <c r="EC67" s="287"/>
      <c r="ED67" s="287"/>
      <c r="EE67" s="287"/>
      <c r="EF67" s="287"/>
      <c r="EG67" s="287"/>
      <c r="EH67" s="287"/>
      <c r="EI67" s="287"/>
      <c r="EJ67" s="287"/>
      <c r="EK67" s="287"/>
      <c r="EL67" s="287"/>
      <c r="EM67" s="287"/>
      <c r="EN67" s="287"/>
      <c r="EO67" s="287"/>
      <c r="EP67" s="287"/>
      <c r="EQ67" s="287"/>
      <c r="ER67" s="287"/>
      <c r="ES67" s="287"/>
      <c r="ET67" s="287"/>
      <c r="EU67" s="287"/>
      <c r="EV67" s="287"/>
      <c r="EW67" s="287"/>
      <c r="EX67" s="287"/>
      <c r="EY67" s="287"/>
      <c r="EZ67" s="287"/>
      <c r="FA67" s="287"/>
      <c r="FB67" s="287"/>
      <c r="FC67" s="287"/>
      <c r="FD67" s="287"/>
      <c r="FE67" s="287"/>
      <c r="FF67" s="287"/>
      <c r="FG67" s="287"/>
      <c r="FH67" s="287"/>
      <c r="FI67" s="287"/>
      <c r="FJ67" s="287"/>
      <c r="FK67" s="287"/>
      <c r="FL67" s="287"/>
      <c r="FM67" s="287"/>
      <c r="FN67" s="287"/>
      <c r="FO67" s="287"/>
      <c r="FP67" s="287"/>
      <c r="FQ67" s="287"/>
      <c r="FR67" s="287"/>
      <c r="FS67" s="287"/>
      <c r="FT67" s="287"/>
      <c r="FU67" s="287"/>
      <c r="FV67" s="287"/>
      <c r="FW67" s="287"/>
      <c r="FX67" s="287"/>
    </row>
    <row r="68" spans="1:180" ht="19.95" customHeight="1">
      <c r="A68" s="322"/>
      <c r="B68" s="340"/>
      <c r="C68" s="327"/>
      <c r="D68" s="327"/>
      <c r="E68" s="327"/>
      <c r="F68" s="341"/>
      <c r="G68" s="328"/>
      <c r="H68" s="328"/>
      <c r="I68" s="328"/>
      <c r="J68" s="328"/>
      <c r="K68" s="328"/>
      <c r="L68" s="341"/>
      <c r="M68" s="341"/>
      <c r="N68" s="341"/>
      <c r="O68" s="328"/>
      <c r="P68" s="325"/>
      <c r="Q68" s="292"/>
      <c r="R68" s="287"/>
      <c r="S68" s="287"/>
      <c r="T68" s="287"/>
      <c r="U68" s="287"/>
      <c r="V68" s="287"/>
      <c r="W68" s="287"/>
      <c r="X68" s="287"/>
      <c r="Y68" s="287"/>
      <c r="Z68" s="287"/>
      <c r="AA68" s="287"/>
      <c r="AB68" s="287"/>
      <c r="AC68" s="287"/>
      <c r="AD68" s="287"/>
      <c r="AE68" s="287"/>
      <c r="AF68" s="287"/>
      <c r="AG68" s="287"/>
      <c r="AH68" s="287"/>
      <c r="AI68" s="287"/>
      <c r="AJ68" s="287"/>
      <c r="AK68" s="287"/>
      <c r="AL68" s="287"/>
      <c r="AM68" s="287"/>
      <c r="AN68" s="287"/>
      <c r="AO68" s="287"/>
      <c r="AP68" s="287"/>
      <c r="AQ68" s="287"/>
      <c r="AR68" s="287"/>
      <c r="AS68" s="287"/>
      <c r="AT68" s="287"/>
      <c r="AU68" s="287"/>
      <c r="AV68" s="287"/>
      <c r="AW68" s="287"/>
      <c r="AX68" s="287"/>
      <c r="AY68" s="287"/>
      <c r="AZ68" s="287"/>
      <c r="BA68" s="287"/>
      <c r="BB68" s="287"/>
      <c r="BC68" s="287"/>
      <c r="BD68" s="287"/>
      <c r="BE68" s="287"/>
      <c r="BF68" s="287"/>
      <c r="BG68" s="287"/>
      <c r="BH68" s="287"/>
      <c r="BI68" s="287"/>
      <c r="BJ68" s="287"/>
      <c r="BK68" s="287"/>
      <c r="BL68" s="287"/>
      <c r="BM68" s="287"/>
      <c r="BN68" s="287"/>
      <c r="BO68" s="287"/>
      <c r="BP68" s="287"/>
      <c r="BQ68" s="287"/>
      <c r="BR68" s="287"/>
      <c r="BS68" s="287"/>
      <c r="BT68" s="287"/>
      <c r="BU68" s="287"/>
      <c r="BV68" s="287"/>
      <c r="BW68" s="287"/>
      <c r="BX68" s="287"/>
      <c r="BY68" s="287"/>
      <c r="BZ68" s="287"/>
      <c r="CA68" s="287"/>
      <c r="CB68" s="287"/>
      <c r="CC68" s="287"/>
      <c r="CD68" s="287"/>
      <c r="CE68" s="287"/>
      <c r="CF68" s="287"/>
      <c r="CG68" s="287"/>
      <c r="CH68" s="287"/>
      <c r="CI68" s="287"/>
      <c r="CJ68" s="287"/>
      <c r="CK68" s="287"/>
      <c r="CL68" s="287"/>
      <c r="CM68" s="287"/>
      <c r="CN68" s="287"/>
      <c r="CO68" s="287"/>
      <c r="CP68" s="287"/>
      <c r="CQ68" s="287"/>
      <c r="CR68" s="287"/>
      <c r="CS68" s="287"/>
      <c r="CT68" s="287"/>
      <c r="CU68" s="287"/>
      <c r="CV68" s="287"/>
      <c r="CW68" s="287"/>
      <c r="CX68" s="287"/>
      <c r="CY68" s="287"/>
      <c r="CZ68" s="287"/>
      <c r="DA68" s="287"/>
      <c r="DB68" s="287"/>
      <c r="DC68" s="287"/>
      <c r="DD68" s="287"/>
      <c r="DE68" s="287"/>
      <c r="DF68" s="287"/>
      <c r="DG68" s="287"/>
      <c r="DH68" s="287"/>
      <c r="DI68" s="287"/>
      <c r="DJ68" s="287"/>
      <c r="DK68" s="287"/>
      <c r="DL68" s="287"/>
      <c r="DM68" s="287"/>
      <c r="DN68" s="287"/>
      <c r="DO68" s="287"/>
      <c r="DP68" s="287"/>
      <c r="DQ68" s="287"/>
      <c r="DR68" s="287"/>
      <c r="DS68" s="287"/>
      <c r="DT68" s="287"/>
      <c r="DU68" s="287"/>
      <c r="DV68" s="287"/>
      <c r="DW68" s="287"/>
      <c r="DX68" s="287"/>
      <c r="DY68" s="287"/>
      <c r="DZ68" s="287"/>
      <c r="EA68" s="287"/>
      <c r="EB68" s="287"/>
      <c r="EC68" s="287"/>
      <c r="ED68" s="287"/>
      <c r="EE68" s="287"/>
      <c r="EF68" s="287"/>
      <c r="EG68" s="287"/>
      <c r="EH68" s="287"/>
      <c r="EI68" s="287"/>
      <c r="EJ68" s="287"/>
      <c r="EK68" s="287"/>
      <c r="EL68" s="287"/>
      <c r="EM68" s="287"/>
      <c r="EN68" s="287"/>
      <c r="EO68" s="287"/>
      <c r="EP68" s="287"/>
      <c r="EQ68" s="287"/>
      <c r="ER68" s="287"/>
      <c r="ES68" s="287"/>
      <c r="ET68" s="287"/>
      <c r="EU68" s="287"/>
      <c r="EV68" s="287"/>
      <c r="EW68" s="287"/>
      <c r="EX68" s="287"/>
      <c r="EY68" s="287"/>
      <c r="EZ68" s="287"/>
      <c r="FA68" s="287"/>
      <c r="FB68" s="287"/>
      <c r="FC68" s="287"/>
      <c r="FD68" s="287"/>
      <c r="FE68" s="287"/>
      <c r="FF68" s="287"/>
      <c r="FG68" s="287"/>
      <c r="FH68" s="287"/>
      <c r="FI68" s="287"/>
      <c r="FJ68" s="287"/>
      <c r="FK68" s="287"/>
      <c r="FL68" s="287"/>
      <c r="FM68" s="287"/>
      <c r="FN68" s="287"/>
      <c r="FO68" s="287"/>
      <c r="FP68" s="287"/>
      <c r="FQ68" s="287"/>
      <c r="FR68" s="287"/>
      <c r="FS68" s="287"/>
      <c r="FT68" s="287"/>
      <c r="FU68" s="287"/>
      <c r="FV68" s="287"/>
      <c r="FW68" s="287"/>
      <c r="FX68" s="287"/>
    </row>
    <row r="69" spans="1:180" ht="19.95" customHeight="1">
      <c r="A69" s="322"/>
      <c r="B69" s="340"/>
      <c r="C69" s="327"/>
      <c r="D69" s="327"/>
      <c r="E69" s="327"/>
      <c r="F69" s="341"/>
      <c r="G69" s="328"/>
      <c r="H69" s="328"/>
      <c r="I69" s="328"/>
      <c r="J69" s="328"/>
      <c r="K69" s="328"/>
      <c r="L69" s="341"/>
      <c r="M69" s="341"/>
      <c r="N69" s="341"/>
      <c r="O69" s="328"/>
      <c r="P69" s="325"/>
      <c r="Q69" s="292"/>
      <c r="R69" s="287"/>
      <c r="S69" s="287"/>
      <c r="T69" s="287"/>
      <c r="U69" s="287"/>
      <c r="V69" s="287"/>
      <c r="W69" s="287"/>
      <c r="X69" s="287"/>
      <c r="Y69" s="287"/>
      <c r="Z69" s="287"/>
      <c r="AA69" s="287"/>
      <c r="AB69" s="287"/>
      <c r="AC69" s="287"/>
      <c r="AD69" s="287"/>
      <c r="AE69" s="287"/>
      <c r="AF69" s="287"/>
      <c r="AG69" s="287"/>
      <c r="AH69" s="287"/>
      <c r="AI69" s="287"/>
      <c r="AJ69" s="287"/>
      <c r="AK69" s="287"/>
      <c r="AL69" s="287"/>
      <c r="AM69" s="287"/>
      <c r="AN69" s="287"/>
      <c r="AO69" s="287"/>
      <c r="AP69" s="287"/>
      <c r="AQ69" s="287"/>
      <c r="AR69" s="287"/>
      <c r="AS69" s="287"/>
      <c r="AT69" s="287"/>
      <c r="AU69" s="287"/>
      <c r="AV69" s="287"/>
      <c r="AW69" s="287"/>
      <c r="AX69" s="287"/>
      <c r="AY69" s="287"/>
      <c r="AZ69" s="287"/>
      <c r="BA69" s="287"/>
      <c r="BB69" s="287"/>
      <c r="BC69" s="287"/>
      <c r="BD69" s="287"/>
      <c r="BE69" s="287"/>
      <c r="BF69" s="287"/>
      <c r="BG69" s="287"/>
      <c r="BH69" s="287"/>
      <c r="BI69" s="287"/>
      <c r="BJ69" s="287"/>
      <c r="BK69" s="287"/>
      <c r="BL69" s="287"/>
      <c r="BM69" s="287"/>
      <c r="BN69" s="287"/>
      <c r="BO69" s="287"/>
      <c r="BP69" s="287"/>
      <c r="BQ69" s="287"/>
      <c r="BR69" s="287"/>
      <c r="BS69" s="287"/>
      <c r="BT69" s="287"/>
      <c r="BU69" s="287"/>
      <c r="BV69" s="287"/>
      <c r="BW69" s="287"/>
      <c r="BX69" s="287"/>
      <c r="BY69" s="287"/>
      <c r="BZ69" s="287"/>
      <c r="CA69" s="287"/>
      <c r="CB69" s="287"/>
      <c r="CC69" s="287"/>
      <c r="CD69" s="287"/>
      <c r="CE69" s="287"/>
      <c r="CF69" s="287"/>
      <c r="CG69" s="287"/>
      <c r="CH69" s="287"/>
      <c r="CI69" s="287"/>
      <c r="CJ69" s="287"/>
      <c r="CK69" s="287"/>
      <c r="CL69" s="287"/>
      <c r="CM69" s="287"/>
      <c r="CN69" s="287"/>
      <c r="CO69" s="287"/>
      <c r="CP69" s="287"/>
      <c r="CQ69" s="287"/>
      <c r="CR69" s="287"/>
      <c r="CS69" s="287"/>
      <c r="CT69" s="287"/>
      <c r="CU69" s="287"/>
      <c r="CV69" s="287"/>
      <c r="CW69" s="287"/>
      <c r="CX69" s="287"/>
      <c r="CY69" s="287"/>
      <c r="CZ69" s="287"/>
      <c r="DA69" s="287"/>
      <c r="DB69" s="287"/>
      <c r="DC69" s="287"/>
      <c r="DD69" s="287"/>
      <c r="DE69" s="287"/>
      <c r="DF69" s="287"/>
      <c r="DG69" s="287"/>
      <c r="DH69" s="287"/>
      <c r="DI69" s="287"/>
      <c r="DJ69" s="287"/>
      <c r="DK69" s="287"/>
      <c r="DL69" s="287"/>
      <c r="DM69" s="287"/>
      <c r="DN69" s="287"/>
      <c r="DO69" s="287"/>
      <c r="DP69" s="287"/>
      <c r="DQ69" s="287"/>
      <c r="DR69" s="287"/>
      <c r="DS69" s="287"/>
      <c r="DT69" s="287"/>
      <c r="DU69" s="287"/>
      <c r="DV69" s="287"/>
      <c r="DW69" s="287"/>
      <c r="DX69" s="287"/>
      <c r="DY69" s="287"/>
      <c r="DZ69" s="287"/>
      <c r="EA69" s="287"/>
      <c r="EB69" s="287"/>
      <c r="EC69" s="287"/>
      <c r="ED69" s="287"/>
      <c r="EE69" s="287"/>
      <c r="EF69" s="287"/>
      <c r="EG69" s="287"/>
      <c r="EH69" s="287"/>
      <c r="EI69" s="287"/>
      <c r="EJ69" s="287"/>
      <c r="EK69" s="287"/>
      <c r="EL69" s="287"/>
      <c r="EM69" s="287"/>
      <c r="EN69" s="287"/>
      <c r="EO69" s="287"/>
      <c r="EP69" s="287"/>
      <c r="EQ69" s="287"/>
      <c r="ER69" s="287"/>
      <c r="ES69" s="287"/>
      <c r="ET69" s="287"/>
      <c r="EU69" s="287"/>
      <c r="EV69" s="287"/>
      <c r="EW69" s="287"/>
      <c r="EX69" s="287"/>
      <c r="EY69" s="287"/>
      <c r="EZ69" s="287"/>
      <c r="FA69" s="287"/>
      <c r="FB69" s="287"/>
      <c r="FC69" s="287"/>
      <c r="FD69" s="287"/>
      <c r="FE69" s="287"/>
      <c r="FF69" s="287"/>
      <c r="FG69" s="287"/>
      <c r="FH69" s="287"/>
      <c r="FI69" s="287"/>
      <c r="FJ69" s="287"/>
      <c r="FK69" s="287"/>
      <c r="FL69" s="287"/>
      <c r="FM69" s="287"/>
      <c r="FN69" s="287"/>
      <c r="FO69" s="287"/>
      <c r="FP69" s="287"/>
      <c r="FQ69" s="287"/>
      <c r="FR69" s="287"/>
      <c r="FS69" s="287"/>
      <c r="FT69" s="287"/>
      <c r="FU69" s="287"/>
      <c r="FV69" s="287"/>
      <c r="FW69" s="287"/>
      <c r="FX69" s="287"/>
    </row>
    <row r="70" spans="1:180" ht="19.95" customHeight="1">
      <c r="A70" s="333" t="s">
        <v>674</v>
      </c>
      <c r="B70" s="334" t="s">
        <v>675</v>
      </c>
      <c r="C70" s="334"/>
      <c r="D70" s="334"/>
      <c r="E70" s="334"/>
      <c r="F70" s="334"/>
      <c r="G70" s="334"/>
      <c r="H70" s="334"/>
      <c r="I70" s="334"/>
      <c r="J70" s="334"/>
      <c r="K70" s="334"/>
      <c r="L70" s="334"/>
      <c r="M70" s="334"/>
      <c r="N70" s="334"/>
      <c r="O70" s="334"/>
      <c r="P70" s="334"/>
      <c r="Q70" s="335"/>
      <c r="R70" s="287"/>
      <c r="S70" s="287"/>
      <c r="T70" s="287"/>
      <c r="U70" s="287"/>
      <c r="V70" s="287"/>
      <c r="W70" s="287"/>
      <c r="X70" s="287"/>
      <c r="Y70" s="287"/>
      <c r="Z70" s="287"/>
      <c r="AA70" s="287"/>
      <c r="AB70" s="287"/>
      <c r="AC70" s="287"/>
      <c r="AD70" s="287"/>
      <c r="AE70" s="287"/>
      <c r="AF70" s="287"/>
      <c r="AG70" s="287"/>
      <c r="AH70" s="287"/>
      <c r="AI70" s="287"/>
      <c r="AJ70" s="287"/>
      <c r="AK70" s="287"/>
      <c r="AL70" s="287"/>
      <c r="AM70" s="287"/>
      <c r="AN70" s="287"/>
      <c r="AO70" s="287"/>
      <c r="AP70" s="287"/>
      <c r="AQ70" s="287"/>
      <c r="AR70" s="287"/>
      <c r="AS70" s="287"/>
      <c r="AT70" s="287"/>
      <c r="AU70" s="287"/>
      <c r="AV70" s="287"/>
      <c r="AW70" s="287"/>
      <c r="AX70" s="287"/>
      <c r="AY70" s="287"/>
      <c r="AZ70" s="287"/>
      <c r="BA70" s="287"/>
      <c r="BB70" s="287"/>
      <c r="BC70" s="287"/>
      <c r="BD70" s="287"/>
      <c r="BE70" s="287"/>
      <c r="BF70" s="287"/>
      <c r="BG70" s="287"/>
      <c r="BH70" s="287"/>
      <c r="BI70" s="287"/>
      <c r="BJ70" s="287"/>
      <c r="BK70" s="287"/>
      <c r="BL70" s="287"/>
      <c r="BM70" s="287"/>
      <c r="BN70" s="287"/>
      <c r="BO70" s="287"/>
      <c r="BP70" s="287"/>
      <c r="BQ70" s="287"/>
      <c r="BR70" s="287"/>
      <c r="BS70" s="287"/>
      <c r="BT70" s="287"/>
      <c r="BU70" s="287"/>
      <c r="BV70" s="287"/>
      <c r="BW70" s="287"/>
      <c r="BX70" s="287"/>
      <c r="BY70" s="287"/>
      <c r="BZ70" s="287"/>
      <c r="CA70" s="287"/>
      <c r="CB70" s="287"/>
      <c r="CC70" s="287"/>
      <c r="CD70" s="287"/>
      <c r="CE70" s="287"/>
      <c r="CF70" s="287"/>
      <c r="CG70" s="287"/>
      <c r="CH70" s="287"/>
      <c r="CI70" s="287"/>
      <c r="CJ70" s="287"/>
      <c r="CK70" s="287"/>
      <c r="CL70" s="287"/>
      <c r="CM70" s="287"/>
      <c r="CN70" s="287"/>
      <c r="CO70" s="287"/>
      <c r="CP70" s="287"/>
      <c r="CQ70" s="287"/>
      <c r="CR70" s="287"/>
      <c r="CS70" s="287"/>
      <c r="CT70" s="287"/>
      <c r="CU70" s="287"/>
      <c r="CV70" s="287"/>
      <c r="CW70" s="287"/>
      <c r="CX70" s="287"/>
      <c r="CY70" s="287"/>
      <c r="CZ70" s="287"/>
      <c r="DA70" s="287"/>
      <c r="DB70" s="287"/>
      <c r="DC70" s="287"/>
      <c r="DD70" s="287"/>
      <c r="DE70" s="287"/>
      <c r="DF70" s="287"/>
      <c r="DG70" s="287"/>
      <c r="DH70" s="287"/>
      <c r="DI70" s="287"/>
      <c r="DJ70" s="287"/>
      <c r="DK70" s="287"/>
      <c r="DL70" s="287"/>
      <c r="DM70" s="287"/>
      <c r="DN70" s="287"/>
      <c r="DO70" s="287"/>
      <c r="DP70" s="287"/>
      <c r="DQ70" s="287"/>
      <c r="DR70" s="287"/>
      <c r="DS70" s="287"/>
      <c r="DT70" s="287"/>
      <c r="DU70" s="287"/>
      <c r="DV70" s="287"/>
      <c r="DW70" s="287"/>
      <c r="DX70" s="287"/>
      <c r="DY70" s="287"/>
      <c r="DZ70" s="287"/>
      <c r="EA70" s="287"/>
      <c r="EB70" s="287"/>
      <c r="EC70" s="287"/>
      <c r="ED70" s="287"/>
      <c r="EE70" s="287"/>
      <c r="EF70" s="287"/>
      <c r="EG70" s="287"/>
      <c r="EH70" s="287"/>
      <c r="EI70" s="287"/>
      <c r="EJ70" s="287"/>
      <c r="EK70" s="287"/>
      <c r="EL70" s="287"/>
      <c r="EM70" s="287"/>
      <c r="EN70" s="287"/>
      <c r="EO70" s="287"/>
      <c r="EP70" s="287"/>
      <c r="EQ70" s="287"/>
      <c r="ER70" s="287"/>
      <c r="ES70" s="287"/>
      <c r="ET70" s="287"/>
      <c r="EU70" s="287"/>
      <c r="EV70" s="287"/>
      <c r="EW70" s="287"/>
      <c r="EX70" s="287"/>
      <c r="EY70" s="287"/>
      <c r="EZ70" s="287"/>
      <c r="FA70" s="287"/>
      <c r="FB70" s="287"/>
      <c r="FC70" s="287"/>
      <c r="FD70" s="287"/>
      <c r="FE70" s="287"/>
      <c r="FF70" s="287"/>
      <c r="FG70" s="287"/>
      <c r="FH70" s="287"/>
      <c r="FI70" s="287"/>
      <c r="FJ70" s="287"/>
      <c r="FK70" s="287"/>
      <c r="FL70" s="287"/>
      <c r="FM70" s="287"/>
      <c r="FN70" s="287"/>
      <c r="FO70" s="287"/>
      <c r="FP70" s="287"/>
      <c r="FQ70" s="287"/>
      <c r="FR70" s="287"/>
      <c r="FS70" s="287"/>
      <c r="FT70" s="287"/>
      <c r="FU70" s="287"/>
      <c r="FV70" s="287"/>
      <c r="FW70" s="287"/>
      <c r="FX70" s="287"/>
    </row>
    <row r="71" spans="1:180" ht="19.95" customHeight="1">
      <c r="A71" s="322" t="s">
        <v>676</v>
      </c>
      <c r="B71" s="288" t="s">
        <v>677</v>
      </c>
      <c r="C71" s="348" t="s">
        <v>678</v>
      </c>
      <c r="D71" s="348">
        <v>36</v>
      </c>
      <c r="E71" s="348" t="s">
        <v>957</v>
      </c>
      <c r="F71" s="341">
        <v>220</v>
      </c>
      <c r="G71" s="328"/>
      <c r="H71" s="328"/>
      <c r="I71" s="328"/>
      <c r="J71" s="328"/>
      <c r="K71" s="328"/>
      <c r="L71" s="341"/>
      <c r="M71" s="341"/>
      <c r="N71" s="341"/>
      <c r="O71" s="328" t="s">
        <v>992</v>
      </c>
      <c r="P71" s="325">
        <f>+F71*D71</f>
        <v>7920</v>
      </c>
      <c r="Q71" s="349" t="s">
        <v>1652</v>
      </c>
      <c r="R71" s="350"/>
      <c r="S71" s="350"/>
      <c r="T71" s="350"/>
      <c r="U71" s="350"/>
      <c r="V71" s="350"/>
      <c r="W71" s="350"/>
      <c r="X71" s="350"/>
      <c r="Y71" s="350"/>
      <c r="Z71" s="350"/>
      <c r="AA71" s="350"/>
      <c r="AB71" s="350"/>
      <c r="AC71" s="350"/>
      <c r="AD71" s="350"/>
      <c r="AE71" s="350"/>
      <c r="AF71" s="350"/>
      <c r="AG71" s="350"/>
      <c r="AH71" s="350"/>
      <c r="AI71" s="350"/>
      <c r="AJ71" s="350"/>
      <c r="AK71" s="350"/>
      <c r="AL71" s="350"/>
      <c r="AM71" s="350"/>
      <c r="AN71" s="350"/>
      <c r="AO71" s="350"/>
      <c r="AP71" s="350"/>
      <c r="AQ71" s="350"/>
      <c r="AR71" s="350"/>
      <c r="AS71" s="350"/>
      <c r="AT71" s="350"/>
      <c r="AU71" s="350"/>
      <c r="AV71" s="350"/>
      <c r="AW71" s="350"/>
      <c r="AX71" s="350"/>
      <c r="AY71" s="350"/>
      <c r="AZ71" s="350"/>
      <c r="BA71" s="350"/>
      <c r="BB71" s="350"/>
      <c r="BC71" s="350"/>
      <c r="BD71" s="350"/>
      <c r="BE71" s="350"/>
      <c r="BF71" s="350"/>
      <c r="BG71" s="350"/>
      <c r="BH71" s="350"/>
      <c r="BI71" s="350"/>
      <c r="BJ71" s="350"/>
      <c r="BK71" s="350"/>
      <c r="BL71" s="350"/>
      <c r="BM71" s="350"/>
      <c r="BN71" s="350"/>
      <c r="BO71" s="350"/>
      <c r="BP71" s="350"/>
      <c r="BQ71" s="350"/>
      <c r="BR71" s="350"/>
      <c r="BS71" s="350"/>
      <c r="BT71" s="350"/>
      <c r="BU71" s="350"/>
      <c r="BV71" s="350"/>
      <c r="BW71" s="350"/>
      <c r="BX71" s="350"/>
      <c r="BY71" s="350"/>
      <c r="BZ71" s="350"/>
      <c r="CA71" s="350"/>
      <c r="CB71" s="350"/>
      <c r="CC71" s="350"/>
      <c r="CD71" s="350"/>
      <c r="CE71" s="350"/>
      <c r="CF71" s="350"/>
      <c r="CG71" s="350"/>
      <c r="CH71" s="350"/>
      <c r="CI71" s="350"/>
      <c r="CJ71" s="350"/>
      <c r="CK71" s="350"/>
      <c r="CL71" s="350"/>
      <c r="CM71" s="350"/>
      <c r="CN71" s="350"/>
      <c r="CO71" s="350"/>
      <c r="CP71" s="350"/>
      <c r="CQ71" s="350"/>
      <c r="CR71" s="350"/>
      <c r="CS71" s="350"/>
      <c r="CT71" s="350"/>
      <c r="CU71" s="350"/>
      <c r="CV71" s="350"/>
      <c r="CW71" s="350"/>
      <c r="CX71" s="350"/>
      <c r="CY71" s="350"/>
      <c r="CZ71" s="350"/>
      <c r="DA71" s="350"/>
      <c r="DB71" s="350"/>
      <c r="DC71" s="350"/>
      <c r="DD71" s="350"/>
      <c r="DE71" s="350"/>
      <c r="DF71" s="350"/>
      <c r="DG71" s="350"/>
      <c r="DH71" s="350"/>
      <c r="DI71" s="350"/>
      <c r="DJ71" s="350"/>
      <c r="DK71" s="350"/>
      <c r="DL71" s="350"/>
      <c r="DM71" s="350"/>
      <c r="DN71" s="350"/>
      <c r="DO71" s="350"/>
      <c r="DP71" s="350"/>
      <c r="DQ71" s="350"/>
      <c r="DR71" s="350"/>
      <c r="DS71" s="350"/>
      <c r="DT71" s="350"/>
      <c r="DU71" s="350"/>
      <c r="DV71" s="350"/>
      <c r="DW71" s="350"/>
      <c r="DX71" s="350"/>
      <c r="DY71" s="350"/>
      <c r="DZ71" s="350"/>
      <c r="EA71" s="350"/>
      <c r="EB71" s="350"/>
      <c r="EC71" s="350"/>
      <c r="ED71" s="350"/>
      <c r="EE71" s="350"/>
      <c r="EF71" s="350"/>
      <c r="EG71" s="350"/>
      <c r="EH71" s="350"/>
      <c r="EI71" s="350"/>
      <c r="EJ71" s="350"/>
      <c r="EK71" s="350"/>
      <c r="EL71" s="350"/>
      <c r="EM71" s="350"/>
      <c r="EN71" s="350"/>
      <c r="EO71" s="350"/>
      <c r="EP71" s="350"/>
      <c r="EQ71" s="350"/>
      <c r="ER71" s="350"/>
      <c r="ES71" s="350"/>
      <c r="ET71" s="350"/>
      <c r="EU71" s="350"/>
      <c r="EV71" s="350"/>
      <c r="EW71" s="350"/>
      <c r="EX71" s="350"/>
      <c r="EY71" s="350"/>
      <c r="EZ71" s="350"/>
      <c r="FA71" s="350"/>
      <c r="FB71" s="350"/>
      <c r="FC71" s="350"/>
      <c r="FD71" s="350"/>
      <c r="FE71" s="350"/>
      <c r="FF71" s="350"/>
      <c r="FG71" s="350"/>
      <c r="FH71" s="350"/>
      <c r="FI71" s="350"/>
      <c r="FJ71" s="350"/>
      <c r="FK71" s="350"/>
      <c r="FL71" s="350"/>
      <c r="FM71" s="350"/>
      <c r="FN71" s="350"/>
      <c r="FO71" s="350"/>
      <c r="FP71" s="350"/>
      <c r="FQ71" s="350"/>
      <c r="FR71" s="350"/>
      <c r="FS71" s="350"/>
      <c r="FT71" s="350"/>
      <c r="FU71" s="350"/>
      <c r="FV71" s="350"/>
      <c r="FW71" s="350"/>
      <c r="FX71" s="351"/>
    </row>
    <row r="72" spans="1:180" ht="19.95" customHeight="1">
      <c r="A72" s="322" t="s">
        <v>679</v>
      </c>
      <c r="B72" s="288" t="s">
        <v>680</v>
      </c>
      <c r="C72" s="348" t="s">
        <v>678</v>
      </c>
      <c r="D72" s="348">
        <v>30</v>
      </c>
      <c r="E72" s="348" t="s">
        <v>957</v>
      </c>
      <c r="F72" s="341">
        <v>220</v>
      </c>
      <c r="G72" s="328" t="s">
        <v>952</v>
      </c>
      <c r="H72" s="328">
        <v>2</v>
      </c>
      <c r="I72" s="328"/>
      <c r="J72" s="328"/>
      <c r="K72" s="328"/>
      <c r="L72" s="341"/>
      <c r="M72" s="341"/>
      <c r="N72" s="341"/>
      <c r="O72" s="328" t="s">
        <v>992</v>
      </c>
      <c r="P72" s="325">
        <f>+H72*F72*D72</f>
        <v>13200</v>
      </c>
      <c r="Q72" s="349" t="s">
        <v>1715</v>
      </c>
      <c r="R72" s="287"/>
      <c r="S72" s="287"/>
      <c r="T72" s="287"/>
      <c r="U72" s="287"/>
      <c r="V72" s="287"/>
      <c r="W72" s="287"/>
      <c r="X72" s="287"/>
      <c r="Y72" s="287"/>
      <c r="Z72" s="287"/>
      <c r="AA72" s="287"/>
      <c r="AB72" s="287"/>
      <c r="AC72" s="287"/>
      <c r="AD72" s="287"/>
      <c r="AE72" s="287"/>
      <c r="AF72" s="287"/>
      <c r="AG72" s="287"/>
      <c r="AH72" s="287"/>
      <c r="AI72" s="287"/>
      <c r="AJ72" s="287"/>
      <c r="AK72" s="287"/>
      <c r="AL72" s="287"/>
      <c r="AM72" s="287"/>
      <c r="AN72" s="287"/>
      <c r="AO72" s="287"/>
      <c r="AP72" s="287"/>
      <c r="AQ72" s="287"/>
      <c r="AR72" s="287"/>
      <c r="AS72" s="287"/>
      <c r="AT72" s="287"/>
      <c r="AU72" s="287"/>
      <c r="AV72" s="287"/>
      <c r="AW72" s="287"/>
      <c r="AX72" s="287"/>
      <c r="AY72" s="287"/>
      <c r="AZ72" s="287"/>
      <c r="BA72" s="287"/>
      <c r="BB72" s="287"/>
      <c r="BC72" s="287"/>
      <c r="BD72" s="287"/>
      <c r="BE72" s="287"/>
      <c r="BF72" s="287"/>
      <c r="BG72" s="287"/>
      <c r="BH72" s="287"/>
      <c r="BI72" s="287"/>
      <c r="BJ72" s="287"/>
      <c r="BK72" s="287"/>
      <c r="BL72" s="287"/>
      <c r="BM72" s="287"/>
      <c r="BN72" s="287"/>
      <c r="BO72" s="287"/>
      <c r="BP72" s="287"/>
      <c r="BQ72" s="287"/>
      <c r="BR72" s="287"/>
      <c r="BS72" s="287"/>
      <c r="BT72" s="287"/>
      <c r="BU72" s="287"/>
      <c r="BV72" s="287"/>
      <c r="BW72" s="287"/>
      <c r="BX72" s="287"/>
      <c r="BY72" s="287"/>
      <c r="BZ72" s="287"/>
      <c r="CA72" s="287"/>
      <c r="CB72" s="287"/>
      <c r="CC72" s="287"/>
      <c r="CD72" s="287"/>
      <c r="CE72" s="287"/>
      <c r="CF72" s="287"/>
      <c r="CG72" s="287"/>
      <c r="CH72" s="287"/>
      <c r="CI72" s="287"/>
      <c r="CJ72" s="287"/>
      <c r="CK72" s="287"/>
      <c r="CL72" s="287"/>
      <c r="CM72" s="287"/>
      <c r="CN72" s="287"/>
      <c r="CO72" s="287"/>
      <c r="CP72" s="287"/>
      <c r="CQ72" s="287"/>
      <c r="CR72" s="287"/>
      <c r="CS72" s="287"/>
      <c r="CT72" s="287"/>
      <c r="CU72" s="287"/>
      <c r="CV72" s="287"/>
      <c r="CW72" s="287"/>
      <c r="CX72" s="287"/>
      <c r="CY72" s="287"/>
      <c r="CZ72" s="287"/>
      <c r="DA72" s="287"/>
      <c r="DB72" s="287"/>
      <c r="DC72" s="287"/>
      <c r="DD72" s="287"/>
      <c r="DE72" s="287"/>
      <c r="DF72" s="287"/>
      <c r="DG72" s="287"/>
      <c r="DH72" s="287"/>
      <c r="DI72" s="287"/>
      <c r="DJ72" s="287"/>
      <c r="DK72" s="287"/>
      <c r="DL72" s="287"/>
      <c r="DM72" s="287"/>
      <c r="DN72" s="287"/>
      <c r="DO72" s="287"/>
      <c r="DP72" s="287"/>
      <c r="DQ72" s="287"/>
      <c r="DR72" s="287"/>
      <c r="DS72" s="287"/>
      <c r="DT72" s="287"/>
      <c r="DU72" s="287"/>
      <c r="DV72" s="287"/>
      <c r="DW72" s="287"/>
      <c r="DX72" s="287"/>
      <c r="DY72" s="287"/>
      <c r="DZ72" s="287"/>
      <c r="EA72" s="287"/>
      <c r="EB72" s="287"/>
      <c r="EC72" s="287"/>
      <c r="ED72" s="287"/>
      <c r="EE72" s="287"/>
      <c r="EF72" s="287"/>
      <c r="EG72" s="287"/>
      <c r="EH72" s="287"/>
      <c r="EI72" s="287"/>
      <c r="EJ72" s="287"/>
      <c r="EK72" s="287"/>
      <c r="EL72" s="287"/>
      <c r="EM72" s="287"/>
      <c r="EN72" s="287"/>
      <c r="EO72" s="287"/>
      <c r="EP72" s="287"/>
      <c r="EQ72" s="287"/>
      <c r="ER72" s="287"/>
      <c r="ES72" s="287"/>
      <c r="ET72" s="287"/>
      <c r="EU72" s="287"/>
      <c r="EV72" s="287"/>
      <c r="EW72" s="287"/>
      <c r="EX72" s="287"/>
      <c r="EY72" s="287"/>
      <c r="EZ72" s="287"/>
      <c r="FA72" s="287"/>
      <c r="FB72" s="287"/>
      <c r="FC72" s="287"/>
      <c r="FD72" s="287"/>
      <c r="FE72" s="287"/>
      <c r="FF72" s="287"/>
      <c r="FG72" s="287"/>
      <c r="FH72" s="287"/>
      <c r="FI72" s="287"/>
      <c r="FJ72" s="287"/>
      <c r="FK72" s="287"/>
      <c r="FL72" s="287"/>
      <c r="FM72" s="287"/>
      <c r="FN72" s="287"/>
      <c r="FO72" s="287"/>
      <c r="FP72" s="287"/>
      <c r="FQ72" s="287"/>
      <c r="FR72" s="287"/>
      <c r="FS72" s="287"/>
      <c r="FT72" s="287"/>
      <c r="FU72" s="287"/>
      <c r="FV72" s="287"/>
      <c r="FW72" s="287"/>
      <c r="FX72" s="352"/>
    </row>
    <row r="73" spans="1:180" ht="19.95" customHeight="1">
      <c r="A73" s="322" t="s">
        <v>681</v>
      </c>
      <c r="B73" s="288" t="s">
        <v>682</v>
      </c>
      <c r="C73" s="348" t="s">
        <v>678</v>
      </c>
      <c r="D73" s="348">
        <v>20</v>
      </c>
      <c r="E73" s="348" t="s">
        <v>957</v>
      </c>
      <c r="F73" s="341">
        <v>220</v>
      </c>
      <c r="G73" s="328"/>
      <c r="H73" s="328"/>
      <c r="I73" s="328"/>
      <c r="J73" s="328"/>
      <c r="K73" s="328"/>
      <c r="L73" s="341"/>
      <c r="M73" s="341"/>
      <c r="N73" s="341"/>
      <c r="O73" s="328" t="s">
        <v>992</v>
      </c>
      <c r="P73" s="325">
        <f>+F73*D73</f>
        <v>4400</v>
      </c>
      <c r="Q73" s="349" t="s">
        <v>1022</v>
      </c>
      <c r="R73" s="287"/>
      <c r="S73" s="287"/>
      <c r="T73" s="287"/>
      <c r="U73" s="287"/>
      <c r="V73" s="287"/>
      <c r="W73" s="287"/>
      <c r="X73" s="287"/>
      <c r="Y73" s="287"/>
      <c r="Z73" s="287"/>
      <c r="AA73" s="287"/>
      <c r="AB73" s="287"/>
      <c r="AC73" s="287"/>
      <c r="AD73" s="287"/>
      <c r="AE73" s="287"/>
      <c r="AF73" s="287"/>
      <c r="AG73" s="287"/>
      <c r="AH73" s="287"/>
      <c r="AI73" s="287"/>
      <c r="AJ73" s="287"/>
      <c r="AK73" s="287"/>
      <c r="AL73" s="287"/>
      <c r="AM73" s="287"/>
      <c r="AN73" s="287"/>
      <c r="AO73" s="287"/>
      <c r="AP73" s="287"/>
      <c r="AQ73" s="287"/>
      <c r="AR73" s="287"/>
      <c r="AS73" s="287"/>
      <c r="AT73" s="287"/>
      <c r="AU73" s="287"/>
      <c r="AV73" s="287"/>
      <c r="AW73" s="287"/>
      <c r="AX73" s="287"/>
      <c r="AY73" s="287"/>
      <c r="AZ73" s="287"/>
      <c r="BA73" s="287"/>
      <c r="BB73" s="287"/>
      <c r="BC73" s="287"/>
      <c r="BD73" s="287"/>
      <c r="BE73" s="287"/>
      <c r="BF73" s="287"/>
      <c r="BG73" s="287"/>
      <c r="BH73" s="287"/>
      <c r="BI73" s="287"/>
      <c r="BJ73" s="287"/>
      <c r="BK73" s="287"/>
      <c r="BL73" s="287"/>
      <c r="BM73" s="287"/>
      <c r="BN73" s="287"/>
      <c r="BO73" s="287"/>
      <c r="BP73" s="287"/>
      <c r="BQ73" s="287"/>
      <c r="BR73" s="287"/>
      <c r="BS73" s="287"/>
      <c r="BT73" s="287"/>
      <c r="BU73" s="287"/>
      <c r="BV73" s="287"/>
      <c r="BW73" s="287"/>
      <c r="BX73" s="287"/>
      <c r="BY73" s="287"/>
      <c r="BZ73" s="287"/>
      <c r="CA73" s="287"/>
      <c r="CB73" s="287"/>
      <c r="CC73" s="287"/>
      <c r="CD73" s="287"/>
      <c r="CE73" s="287"/>
      <c r="CF73" s="287"/>
      <c r="CG73" s="287"/>
      <c r="CH73" s="287"/>
      <c r="CI73" s="287"/>
      <c r="CJ73" s="287"/>
      <c r="CK73" s="287"/>
      <c r="CL73" s="287"/>
      <c r="CM73" s="287"/>
      <c r="CN73" s="287"/>
      <c r="CO73" s="287"/>
      <c r="CP73" s="287"/>
      <c r="CQ73" s="287"/>
      <c r="CR73" s="287"/>
      <c r="CS73" s="287"/>
      <c r="CT73" s="287"/>
      <c r="CU73" s="287"/>
      <c r="CV73" s="287"/>
      <c r="CW73" s="287"/>
      <c r="CX73" s="287"/>
      <c r="CY73" s="287"/>
      <c r="CZ73" s="287"/>
      <c r="DA73" s="287"/>
      <c r="DB73" s="287"/>
      <c r="DC73" s="287"/>
      <c r="DD73" s="287"/>
      <c r="DE73" s="287"/>
      <c r="DF73" s="287"/>
      <c r="DG73" s="287"/>
      <c r="DH73" s="287"/>
      <c r="DI73" s="287"/>
      <c r="DJ73" s="287"/>
      <c r="DK73" s="287"/>
      <c r="DL73" s="287"/>
      <c r="DM73" s="287"/>
      <c r="DN73" s="287"/>
      <c r="DO73" s="287"/>
      <c r="DP73" s="287"/>
      <c r="DQ73" s="287"/>
      <c r="DR73" s="287"/>
      <c r="DS73" s="287"/>
      <c r="DT73" s="287"/>
      <c r="DU73" s="287"/>
      <c r="DV73" s="287"/>
      <c r="DW73" s="287"/>
      <c r="DX73" s="287"/>
      <c r="DY73" s="287"/>
      <c r="DZ73" s="287"/>
      <c r="EA73" s="287"/>
      <c r="EB73" s="287"/>
      <c r="EC73" s="287"/>
      <c r="ED73" s="287"/>
      <c r="EE73" s="287"/>
      <c r="EF73" s="287"/>
      <c r="EG73" s="287"/>
      <c r="EH73" s="287"/>
      <c r="EI73" s="287"/>
      <c r="EJ73" s="287"/>
      <c r="EK73" s="287"/>
      <c r="EL73" s="287"/>
      <c r="EM73" s="287"/>
      <c r="EN73" s="287"/>
      <c r="EO73" s="287"/>
      <c r="EP73" s="287"/>
      <c r="EQ73" s="287"/>
      <c r="ER73" s="287"/>
      <c r="ES73" s="287"/>
      <c r="ET73" s="287"/>
      <c r="EU73" s="287"/>
      <c r="EV73" s="287"/>
      <c r="EW73" s="287"/>
      <c r="EX73" s="287"/>
      <c r="EY73" s="287"/>
      <c r="EZ73" s="287"/>
      <c r="FA73" s="287"/>
      <c r="FB73" s="287"/>
      <c r="FC73" s="287"/>
      <c r="FD73" s="287"/>
      <c r="FE73" s="287"/>
      <c r="FF73" s="287"/>
      <c r="FG73" s="287"/>
      <c r="FH73" s="287"/>
      <c r="FI73" s="287"/>
      <c r="FJ73" s="287"/>
      <c r="FK73" s="287"/>
      <c r="FL73" s="287"/>
      <c r="FM73" s="287"/>
      <c r="FN73" s="287"/>
      <c r="FO73" s="287"/>
      <c r="FP73" s="287"/>
      <c r="FQ73" s="287"/>
      <c r="FR73" s="287"/>
      <c r="FS73" s="287"/>
      <c r="FT73" s="287"/>
      <c r="FU73" s="287"/>
      <c r="FV73" s="287"/>
      <c r="FW73" s="287"/>
      <c r="FX73" s="351"/>
    </row>
    <row r="74" spans="1:180" ht="19.95" customHeight="1">
      <c r="A74" s="322" t="s">
        <v>683</v>
      </c>
      <c r="B74" s="288" t="s">
        <v>684</v>
      </c>
      <c r="C74" s="348" t="s">
        <v>678</v>
      </c>
      <c r="D74" s="348">
        <v>30</v>
      </c>
      <c r="E74" s="348" t="s">
        <v>957</v>
      </c>
      <c r="F74" s="341">
        <v>110</v>
      </c>
      <c r="G74" s="328"/>
      <c r="H74" s="328"/>
      <c r="I74" s="328"/>
      <c r="J74" s="328"/>
      <c r="K74" s="328"/>
      <c r="L74" s="341"/>
      <c r="M74" s="341"/>
      <c r="N74" s="341"/>
      <c r="O74" s="328" t="s">
        <v>992</v>
      </c>
      <c r="P74" s="325">
        <f>+F74*D74</f>
        <v>3300</v>
      </c>
      <c r="Q74" s="349" t="s">
        <v>1653</v>
      </c>
      <c r="R74" s="287"/>
      <c r="S74" s="287"/>
      <c r="T74" s="287"/>
      <c r="U74" s="287"/>
      <c r="V74" s="287"/>
      <c r="W74" s="287"/>
      <c r="X74" s="287"/>
      <c r="Y74" s="287"/>
      <c r="Z74" s="287"/>
      <c r="AA74" s="287"/>
      <c r="AB74" s="287"/>
      <c r="AC74" s="287"/>
      <c r="AD74" s="287"/>
      <c r="AE74" s="287"/>
      <c r="AF74" s="287"/>
      <c r="AG74" s="287"/>
      <c r="AH74" s="287"/>
      <c r="AI74" s="287"/>
      <c r="AJ74" s="287"/>
      <c r="AK74" s="287"/>
      <c r="AL74" s="287"/>
      <c r="AM74" s="287"/>
      <c r="AN74" s="287"/>
      <c r="AO74" s="287"/>
      <c r="AP74" s="287"/>
      <c r="AQ74" s="287"/>
      <c r="AR74" s="287"/>
      <c r="AS74" s="287"/>
      <c r="AT74" s="287"/>
      <c r="AU74" s="287"/>
      <c r="AV74" s="287"/>
      <c r="AW74" s="287"/>
      <c r="AX74" s="287"/>
      <c r="AY74" s="287"/>
      <c r="AZ74" s="287"/>
      <c r="BA74" s="287"/>
      <c r="BB74" s="287"/>
      <c r="BC74" s="287"/>
      <c r="BD74" s="287"/>
      <c r="BE74" s="287"/>
      <c r="BF74" s="287"/>
      <c r="BG74" s="287"/>
      <c r="BH74" s="287"/>
      <c r="BI74" s="287"/>
      <c r="BJ74" s="287"/>
      <c r="BK74" s="287"/>
      <c r="BL74" s="287"/>
      <c r="BM74" s="287"/>
      <c r="BN74" s="287"/>
      <c r="BO74" s="287"/>
      <c r="BP74" s="287"/>
      <c r="BQ74" s="287"/>
      <c r="BR74" s="287"/>
      <c r="BS74" s="287"/>
      <c r="BT74" s="287"/>
      <c r="BU74" s="287"/>
      <c r="BV74" s="287"/>
      <c r="BW74" s="287"/>
      <c r="BX74" s="287"/>
      <c r="BY74" s="287"/>
      <c r="BZ74" s="287"/>
      <c r="CA74" s="287"/>
      <c r="CB74" s="287"/>
      <c r="CC74" s="287"/>
      <c r="CD74" s="287"/>
      <c r="CE74" s="287"/>
      <c r="CF74" s="287"/>
      <c r="CG74" s="287"/>
      <c r="CH74" s="287"/>
      <c r="CI74" s="287"/>
      <c r="CJ74" s="287"/>
      <c r="CK74" s="287"/>
      <c r="CL74" s="287"/>
      <c r="CM74" s="287"/>
      <c r="CN74" s="287"/>
      <c r="CO74" s="287"/>
      <c r="CP74" s="287"/>
      <c r="CQ74" s="287"/>
      <c r="CR74" s="287"/>
      <c r="CS74" s="287"/>
      <c r="CT74" s="287"/>
      <c r="CU74" s="287"/>
      <c r="CV74" s="287"/>
      <c r="CW74" s="287"/>
      <c r="CX74" s="287"/>
      <c r="CY74" s="287"/>
      <c r="CZ74" s="287"/>
      <c r="DA74" s="287"/>
      <c r="DB74" s="287"/>
      <c r="DC74" s="287"/>
      <c r="DD74" s="287"/>
      <c r="DE74" s="287"/>
      <c r="DF74" s="287"/>
      <c r="DG74" s="287"/>
      <c r="DH74" s="287"/>
      <c r="DI74" s="287"/>
      <c r="DJ74" s="287"/>
      <c r="DK74" s="287"/>
      <c r="DL74" s="287"/>
      <c r="DM74" s="287"/>
      <c r="DN74" s="287"/>
      <c r="DO74" s="287"/>
      <c r="DP74" s="287"/>
      <c r="DQ74" s="287"/>
      <c r="DR74" s="287"/>
      <c r="DS74" s="287"/>
      <c r="DT74" s="287"/>
      <c r="DU74" s="287"/>
      <c r="DV74" s="287"/>
      <c r="DW74" s="287"/>
      <c r="DX74" s="287"/>
      <c r="DY74" s="287"/>
      <c r="DZ74" s="287"/>
      <c r="EA74" s="287"/>
      <c r="EB74" s="287"/>
      <c r="EC74" s="287"/>
      <c r="ED74" s="287"/>
      <c r="EE74" s="287"/>
      <c r="EF74" s="287"/>
      <c r="EG74" s="287"/>
      <c r="EH74" s="287"/>
      <c r="EI74" s="287"/>
      <c r="EJ74" s="287"/>
      <c r="EK74" s="287"/>
      <c r="EL74" s="287"/>
      <c r="EM74" s="287"/>
      <c r="EN74" s="287"/>
      <c r="EO74" s="287"/>
      <c r="EP74" s="287"/>
      <c r="EQ74" s="287"/>
      <c r="ER74" s="287"/>
      <c r="ES74" s="287"/>
      <c r="ET74" s="287"/>
      <c r="EU74" s="287"/>
      <c r="EV74" s="287"/>
      <c r="EW74" s="287"/>
      <c r="EX74" s="287"/>
      <c r="EY74" s="287"/>
      <c r="EZ74" s="287"/>
      <c r="FA74" s="287"/>
      <c r="FB74" s="287"/>
      <c r="FC74" s="287"/>
      <c r="FD74" s="287"/>
      <c r="FE74" s="287"/>
      <c r="FF74" s="287"/>
      <c r="FG74" s="287"/>
      <c r="FH74" s="287"/>
      <c r="FI74" s="287"/>
      <c r="FJ74" s="287"/>
      <c r="FK74" s="287"/>
      <c r="FL74" s="287"/>
      <c r="FM74" s="287"/>
      <c r="FN74" s="287"/>
      <c r="FO74" s="287"/>
      <c r="FP74" s="287"/>
      <c r="FQ74" s="287"/>
      <c r="FR74" s="287"/>
      <c r="FS74" s="287"/>
      <c r="FT74" s="287"/>
      <c r="FU74" s="287"/>
      <c r="FV74" s="287"/>
      <c r="FW74" s="287"/>
      <c r="FX74" s="352"/>
    </row>
    <row r="75" spans="1:180" ht="19.95" customHeight="1">
      <c r="A75" s="322" t="s">
        <v>685</v>
      </c>
      <c r="B75" s="338" t="s">
        <v>686</v>
      </c>
      <c r="C75" s="348" t="s">
        <v>678</v>
      </c>
      <c r="D75" s="348">
        <v>30</v>
      </c>
      <c r="E75" s="348" t="s">
        <v>957</v>
      </c>
      <c r="F75" s="341">
        <v>220</v>
      </c>
      <c r="G75" s="328"/>
      <c r="H75" s="328"/>
      <c r="I75" s="328"/>
      <c r="J75" s="328"/>
      <c r="K75" s="328"/>
      <c r="L75" s="341"/>
      <c r="M75" s="341"/>
      <c r="N75" s="341"/>
      <c r="O75" s="328" t="s">
        <v>992</v>
      </c>
      <c r="P75" s="325">
        <v>6600</v>
      </c>
      <c r="Q75" s="349" t="s">
        <v>1654</v>
      </c>
      <c r="R75" s="287"/>
      <c r="S75" s="287"/>
      <c r="T75" s="287"/>
      <c r="U75" s="287"/>
      <c r="V75" s="287"/>
      <c r="W75" s="287"/>
      <c r="X75" s="287"/>
      <c r="Y75" s="287"/>
      <c r="Z75" s="287"/>
      <c r="AA75" s="287"/>
      <c r="AB75" s="287"/>
      <c r="AC75" s="287"/>
      <c r="AD75" s="287"/>
      <c r="AE75" s="287"/>
      <c r="AF75" s="287"/>
      <c r="AG75" s="287"/>
      <c r="AH75" s="287"/>
      <c r="AI75" s="287"/>
      <c r="AJ75" s="287"/>
      <c r="AK75" s="287"/>
      <c r="AL75" s="287"/>
      <c r="AM75" s="287"/>
      <c r="AN75" s="287"/>
      <c r="AO75" s="287"/>
      <c r="AP75" s="287"/>
      <c r="AQ75" s="287"/>
      <c r="AR75" s="287"/>
      <c r="AS75" s="287"/>
      <c r="AT75" s="287"/>
      <c r="AU75" s="287"/>
      <c r="AV75" s="287"/>
      <c r="AW75" s="287"/>
      <c r="AX75" s="287"/>
      <c r="AY75" s="287"/>
      <c r="AZ75" s="287"/>
      <c r="BA75" s="287"/>
      <c r="BB75" s="287"/>
      <c r="BC75" s="287"/>
      <c r="BD75" s="287"/>
      <c r="BE75" s="287"/>
      <c r="BF75" s="287"/>
      <c r="BG75" s="287"/>
      <c r="BH75" s="287"/>
      <c r="BI75" s="287"/>
      <c r="BJ75" s="287"/>
      <c r="BK75" s="287"/>
      <c r="BL75" s="287"/>
      <c r="BM75" s="287"/>
      <c r="BN75" s="287"/>
      <c r="BO75" s="287"/>
      <c r="BP75" s="287"/>
      <c r="BQ75" s="287"/>
      <c r="BR75" s="287"/>
      <c r="BS75" s="287"/>
      <c r="BT75" s="287"/>
      <c r="BU75" s="287"/>
      <c r="BV75" s="287"/>
      <c r="BW75" s="287"/>
      <c r="BX75" s="287"/>
      <c r="BY75" s="287"/>
      <c r="BZ75" s="287"/>
      <c r="CA75" s="287"/>
      <c r="CB75" s="287"/>
      <c r="CC75" s="287"/>
      <c r="CD75" s="287"/>
      <c r="CE75" s="287"/>
      <c r="CF75" s="287"/>
      <c r="CG75" s="287"/>
      <c r="CH75" s="287"/>
      <c r="CI75" s="287"/>
      <c r="CJ75" s="287"/>
      <c r="CK75" s="287"/>
      <c r="CL75" s="287"/>
      <c r="CM75" s="287"/>
      <c r="CN75" s="287"/>
      <c r="CO75" s="287"/>
      <c r="CP75" s="287"/>
      <c r="CQ75" s="287"/>
      <c r="CR75" s="287"/>
      <c r="CS75" s="287"/>
      <c r="CT75" s="287"/>
      <c r="CU75" s="287"/>
      <c r="CV75" s="287"/>
      <c r="CW75" s="287"/>
      <c r="CX75" s="287"/>
      <c r="CY75" s="287"/>
      <c r="CZ75" s="287"/>
      <c r="DA75" s="287"/>
      <c r="DB75" s="287"/>
      <c r="DC75" s="287"/>
      <c r="DD75" s="287"/>
      <c r="DE75" s="287"/>
      <c r="DF75" s="287"/>
      <c r="DG75" s="287"/>
      <c r="DH75" s="287"/>
      <c r="DI75" s="287"/>
      <c r="DJ75" s="287"/>
      <c r="DK75" s="287"/>
      <c r="DL75" s="287"/>
      <c r="DM75" s="287"/>
      <c r="DN75" s="287"/>
      <c r="DO75" s="287"/>
      <c r="DP75" s="287"/>
      <c r="DQ75" s="287"/>
      <c r="DR75" s="287"/>
      <c r="DS75" s="287"/>
      <c r="DT75" s="287"/>
      <c r="DU75" s="287"/>
      <c r="DV75" s="287"/>
      <c r="DW75" s="287"/>
      <c r="DX75" s="287"/>
      <c r="DY75" s="287"/>
      <c r="DZ75" s="287"/>
      <c r="EA75" s="287"/>
      <c r="EB75" s="287"/>
      <c r="EC75" s="287"/>
      <c r="ED75" s="287"/>
      <c r="EE75" s="287"/>
      <c r="EF75" s="287"/>
      <c r="EG75" s="287"/>
      <c r="EH75" s="287"/>
      <c r="EI75" s="287"/>
      <c r="EJ75" s="287"/>
      <c r="EK75" s="287"/>
      <c r="EL75" s="287"/>
      <c r="EM75" s="287"/>
      <c r="EN75" s="287"/>
      <c r="EO75" s="287"/>
      <c r="EP75" s="287"/>
      <c r="EQ75" s="287"/>
      <c r="ER75" s="287"/>
      <c r="ES75" s="287"/>
      <c r="ET75" s="287"/>
      <c r="EU75" s="287"/>
      <c r="EV75" s="287"/>
      <c r="EW75" s="287"/>
      <c r="EX75" s="287"/>
      <c r="EY75" s="287"/>
      <c r="EZ75" s="287"/>
      <c r="FA75" s="287"/>
      <c r="FB75" s="287"/>
      <c r="FC75" s="287"/>
      <c r="FD75" s="287"/>
      <c r="FE75" s="287"/>
      <c r="FF75" s="287"/>
      <c r="FG75" s="287"/>
      <c r="FH75" s="287"/>
      <c r="FI75" s="287"/>
      <c r="FJ75" s="287"/>
      <c r="FK75" s="287"/>
      <c r="FL75" s="287"/>
      <c r="FM75" s="287"/>
      <c r="FN75" s="287"/>
      <c r="FO75" s="287"/>
      <c r="FP75" s="287"/>
      <c r="FQ75" s="287"/>
      <c r="FR75" s="287"/>
      <c r="FS75" s="287"/>
      <c r="FT75" s="287"/>
      <c r="FU75" s="287"/>
      <c r="FV75" s="287"/>
      <c r="FW75" s="287"/>
      <c r="FX75" s="352"/>
    </row>
    <row r="76" spans="1:180" ht="19.95" customHeight="1">
      <c r="A76" s="322" t="s">
        <v>687</v>
      </c>
      <c r="B76" s="338" t="s">
        <v>688</v>
      </c>
      <c r="C76" s="348" t="s">
        <v>678</v>
      </c>
      <c r="D76" s="348">
        <v>30</v>
      </c>
      <c r="E76" s="348" t="s">
        <v>957</v>
      </c>
      <c r="F76" s="341">
        <v>220</v>
      </c>
      <c r="G76" s="328" t="s">
        <v>957</v>
      </c>
      <c r="H76" s="328">
        <v>2</v>
      </c>
      <c r="I76" s="328"/>
      <c r="J76" s="328"/>
      <c r="K76" s="328"/>
      <c r="L76" s="341"/>
      <c r="M76" s="341"/>
      <c r="N76" s="341"/>
      <c r="O76" s="328" t="s">
        <v>992</v>
      </c>
      <c r="P76" s="325">
        <v>13200</v>
      </c>
      <c r="Q76" s="349" t="s">
        <v>1655</v>
      </c>
      <c r="R76" s="287"/>
      <c r="S76" s="287"/>
      <c r="T76" s="287"/>
      <c r="U76" s="287"/>
      <c r="V76" s="287"/>
      <c r="W76" s="287"/>
      <c r="X76" s="287"/>
      <c r="Y76" s="287"/>
      <c r="Z76" s="287"/>
      <c r="AA76" s="287"/>
      <c r="AB76" s="287"/>
      <c r="AC76" s="287"/>
      <c r="AD76" s="287"/>
      <c r="AE76" s="287"/>
      <c r="AF76" s="287"/>
      <c r="AG76" s="287"/>
      <c r="AH76" s="287"/>
      <c r="AI76" s="287"/>
      <c r="AJ76" s="287"/>
      <c r="AK76" s="287"/>
      <c r="AL76" s="287"/>
      <c r="AM76" s="287"/>
      <c r="AN76" s="287"/>
      <c r="AO76" s="287"/>
      <c r="AP76" s="287"/>
      <c r="AQ76" s="287"/>
      <c r="AR76" s="287"/>
      <c r="AS76" s="287"/>
      <c r="AT76" s="287"/>
      <c r="AU76" s="287"/>
      <c r="AV76" s="287"/>
      <c r="AW76" s="287"/>
      <c r="AX76" s="287"/>
      <c r="AY76" s="287"/>
      <c r="AZ76" s="287"/>
      <c r="BA76" s="287"/>
      <c r="BB76" s="287"/>
      <c r="BC76" s="287"/>
      <c r="BD76" s="287"/>
      <c r="BE76" s="287"/>
      <c r="BF76" s="287"/>
      <c r="BG76" s="287"/>
      <c r="BH76" s="287"/>
      <c r="BI76" s="287"/>
      <c r="BJ76" s="287"/>
      <c r="BK76" s="287"/>
      <c r="BL76" s="287"/>
      <c r="BM76" s="287"/>
      <c r="BN76" s="287"/>
      <c r="BO76" s="287"/>
      <c r="BP76" s="287"/>
      <c r="BQ76" s="287"/>
      <c r="BR76" s="287"/>
      <c r="BS76" s="287"/>
      <c r="BT76" s="287"/>
      <c r="BU76" s="287"/>
      <c r="BV76" s="287"/>
      <c r="BW76" s="287"/>
      <c r="BX76" s="287"/>
      <c r="BY76" s="287"/>
      <c r="BZ76" s="287"/>
      <c r="CA76" s="287"/>
      <c r="CB76" s="287"/>
      <c r="CC76" s="287"/>
      <c r="CD76" s="287"/>
      <c r="CE76" s="287"/>
      <c r="CF76" s="287"/>
      <c r="CG76" s="287"/>
      <c r="CH76" s="287"/>
      <c r="CI76" s="287"/>
      <c r="CJ76" s="287"/>
      <c r="CK76" s="287"/>
      <c r="CL76" s="287"/>
      <c r="CM76" s="287"/>
      <c r="CN76" s="287"/>
      <c r="CO76" s="287"/>
      <c r="CP76" s="287"/>
      <c r="CQ76" s="287"/>
      <c r="CR76" s="287"/>
      <c r="CS76" s="287"/>
      <c r="CT76" s="287"/>
      <c r="CU76" s="287"/>
      <c r="CV76" s="287"/>
      <c r="CW76" s="287"/>
      <c r="CX76" s="287"/>
      <c r="CY76" s="287"/>
      <c r="CZ76" s="287"/>
      <c r="DA76" s="287"/>
      <c r="DB76" s="287"/>
      <c r="DC76" s="287"/>
      <c r="DD76" s="287"/>
      <c r="DE76" s="287"/>
      <c r="DF76" s="287"/>
      <c r="DG76" s="287"/>
      <c r="DH76" s="287"/>
      <c r="DI76" s="287"/>
      <c r="DJ76" s="287"/>
      <c r="DK76" s="287"/>
      <c r="DL76" s="287"/>
      <c r="DM76" s="287"/>
      <c r="DN76" s="287"/>
      <c r="DO76" s="287"/>
      <c r="DP76" s="287"/>
      <c r="DQ76" s="287"/>
      <c r="DR76" s="287"/>
      <c r="DS76" s="287"/>
      <c r="DT76" s="287"/>
      <c r="DU76" s="287"/>
      <c r="DV76" s="287"/>
      <c r="DW76" s="287"/>
      <c r="DX76" s="287"/>
      <c r="DY76" s="287"/>
      <c r="DZ76" s="287"/>
      <c r="EA76" s="287"/>
      <c r="EB76" s="287"/>
      <c r="EC76" s="287"/>
      <c r="ED76" s="287"/>
      <c r="EE76" s="287"/>
      <c r="EF76" s="287"/>
      <c r="EG76" s="287"/>
      <c r="EH76" s="287"/>
      <c r="EI76" s="287"/>
      <c r="EJ76" s="287"/>
      <c r="EK76" s="287"/>
      <c r="EL76" s="287"/>
      <c r="EM76" s="287"/>
      <c r="EN76" s="287"/>
      <c r="EO76" s="287"/>
      <c r="EP76" s="287"/>
      <c r="EQ76" s="287"/>
      <c r="ER76" s="287"/>
      <c r="ES76" s="287"/>
      <c r="ET76" s="287"/>
      <c r="EU76" s="287"/>
      <c r="EV76" s="287"/>
      <c r="EW76" s="287"/>
      <c r="EX76" s="287"/>
      <c r="EY76" s="287"/>
      <c r="EZ76" s="287"/>
      <c r="FA76" s="287"/>
      <c r="FB76" s="287"/>
      <c r="FC76" s="287"/>
      <c r="FD76" s="287"/>
      <c r="FE76" s="287"/>
      <c r="FF76" s="287"/>
      <c r="FG76" s="287"/>
      <c r="FH76" s="287"/>
      <c r="FI76" s="287"/>
      <c r="FJ76" s="287"/>
      <c r="FK76" s="287"/>
      <c r="FL76" s="287"/>
      <c r="FM76" s="287"/>
      <c r="FN76" s="287"/>
      <c r="FO76" s="287"/>
      <c r="FP76" s="287"/>
      <c r="FQ76" s="287"/>
      <c r="FR76" s="287"/>
      <c r="FS76" s="287"/>
      <c r="FT76" s="287"/>
      <c r="FU76" s="287"/>
      <c r="FV76" s="287"/>
      <c r="FW76" s="287"/>
      <c r="FX76" s="352"/>
    </row>
    <row r="77" spans="1:180" ht="19.95" customHeight="1">
      <c r="A77" s="322" t="s">
        <v>689</v>
      </c>
      <c r="B77" s="338" t="s">
        <v>1023</v>
      </c>
      <c r="C77" s="348" t="s">
        <v>678</v>
      </c>
      <c r="D77" s="348">
        <v>30</v>
      </c>
      <c r="E77" s="348" t="s">
        <v>957</v>
      </c>
      <c r="F77" s="341">
        <v>220</v>
      </c>
      <c r="G77" s="328" t="s">
        <v>957</v>
      </c>
      <c r="H77" s="328">
        <v>2</v>
      </c>
      <c r="I77" s="328"/>
      <c r="J77" s="328"/>
      <c r="K77" s="328"/>
      <c r="L77" s="341"/>
      <c r="M77" s="341"/>
      <c r="N77" s="341"/>
      <c r="O77" s="328" t="s">
        <v>992</v>
      </c>
      <c r="P77" s="325">
        <v>13200</v>
      </c>
      <c r="Q77" s="349" t="s">
        <v>1656</v>
      </c>
      <c r="R77" s="287"/>
      <c r="S77" s="287"/>
      <c r="T77" s="287"/>
      <c r="U77" s="287"/>
      <c r="V77" s="287"/>
      <c r="W77" s="287"/>
      <c r="X77" s="287"/>
      <c r="Y77" s="287"/>
      <c r="Z77" s="287"/>
      <c r="AA77" s="287"/>
      <c r="AB77" s="287"/>
      <c r="AC77" s="287"/>
      <c r="AD77" s="287"/>
      <c r="AE77" s="287"/>
      <c r="AF77" s="287"/>
      <c r="AG77" s="287"/>
      <c r="AH77" s="287"/>
      <c r="AI77" s="287"/>
      <c r="AJ77" s="287"/>
      <c r="AK77" s="287"/>
      <c r="AL77" s="287"/>
      <c r="AM77" s="287"/>
      <c r="AN77" s="287"/>
      <c r="AO77" s="287"/>
      <c r="AP77" s="287"/>
      <c r="AQ77" s="287"/>
      <c r="AR77" s="287"/>
      <c r="AS77" s="287"/>
      <c r="AT77" s="287"/>
      <c r="AU77" s="287"/>
      <c r="AV77" s="287"/>
      <c r="AW77" s="287"/>
      <c r="AX77" s="287"/>
      <c r="AY77" s="287"/>
      <c r="AZ77" s="287"/>
      <c r="BA77" s="287"/>
      <c r="BB77" s="287"/>
      <c r="BC77" s="287"/>
      <c r="BD77" s="287"/>
      <c r="BE77" s="287"/>
      <c r="BF77" s="287"/>
      <c r="BG77" s="287"/>
      <c r="BH77" s="287"/>
      <c r="BI77" s="287"/>
      <c r="BJ77" s="287"/>
      <c r="BK77" s="287"/>
      <c r="BL77" s="287"/>
      <c r="BM77" s="287"/>
      <c r="BN77" s="287"/>
      <c r="BO77" s="287"/>
      <c r="BP77" s="287"/>
      <c r="BQ77" s="287"/>
      <c r="BR77" s="287"/>
      <c r="BS77" s="287"/>
      <c r="BT77" s="287"/>
      <c r="BU77" s="287"/>
      <c r="BV77" s="287"/>
      <c r="BW77" s="287"/>
      <c r="BX77" s="287"/>
      <c r="BY77" s="287"/>
      <c r="BZ77" s="287"/>
      <c r="CA77" s="287"/>
      <c r="CB77" s="287"/>
      <c r="CC77" s="287"/>
      <c r="CD77" s="287"/>
      <c r="CE77" s="287"/>
      <c r="CF77" s="287"/>
      <c r="CG77" s="287"/>
      <c r="CH77" s="287"/>
      <c r="CI77" s="287"/>
      <c r="CJ77" s="287"/>
      <c r="CK77" s="287"/>
      <c r="CL77" s="287"/>
      <c r="CM77" s="287"/>
      <c r="CN77" s="287"/>
      <c r="CO77" s="287"/>
      <c r="CP77" s="287"/>
      <c r="CQ77" s="287"/>
      <c r="CR77" s="287"/>
      <c r="CS77" s="287"/>
      <c r="CT77" s="287"/>
      <c r="CU77" s="287"/>
      <c r="CV77" s="287"/>
      <c r="CW77" s="287"/>
      <c r="CX77" s="287"/>
      <c r="CY77" s="287"/>
      <c r="CZ77" s="287"/>
      <c r="DA77" s="287"/>
      <c r="DB77" s="287"/>
      <c r="DC77" s="287"/>
      <c r="DD77" s="287"/>
      <c r="DE77" s="287"/>
      <c r="DF77" s="287"/>
      <c r="DG77" s="287"/>
      <c r="DH77" s="287"/>
      <c r="DI77" s="287"/>
      <c r="DJ77" s="287"/>
      <c r="DK77" s="287"/>
      <c r="DL77" s="287"/>
      <c r="DM77" s="287"/>
      <c r="DN77" s="287"/>
      <c r="DO77" s="287"/>
      <c r="DP77" s="287"/>
      <c r="DQ77" s="287"/>
      <c r="DR77" s="287"/>
      <c r="DS77" s="287"/>
      <c r="DT77" s="287"/>
      <c r="DU77" s="287"/>
      <c r="DV77" s="287"/>
      <c r="DW77" s="287"/>
      <c r="DX77" s="287"/>
      <c r="DY77" s="287"/>
      <c r="DZ77" s="287"/>
      <c r="EA77" s="287"/>
      <c r="EB77" s="287"/>
      <c r="EC77" s="287"/>
      <c r="ED77" s="287"/>
      <c r="EE77" s="287"/>
      <c r="EF77" s="287"/>
      <c r="EG77" s="287"/>
      <c r="EH77" s="287"/>
      <c r="EI77" s="287"/>
      <c r="EJ77" s="287"/>
      <c r="EK77" s="287"/>
      <c r="EL77" s="287"/>
      <c r="EM77" s="287"/>
      <c r="EN77" s="287"/>
      <c r="EO77" s="287"/>
      <c r="EP77" s="287"/>
      <c r="EQ77" s="287"/>
      <c r="ER77" s="287"/>
      <c r="ES77" s="287"/>
      <c r="ET77" s="287"/>
      <c r="EU77" s="287"/>
      <c r="EV77" s="287"/>
      <c r="EW77" s="287"/>
      <c r="EX77" s="287"/>
      <c r="EY77" s="287"/>
      <c r="EZ77" s="287"/>
      <c r="FA77" s="287"/>
      <c r="FB77" s="287"/>
      <c r="FC77" s="287"/>
      <c r="FD77" s="287"/>
      <c r="FE77" s="287"/>
      <c r="FF77" s="287"/>
      <c r="FG77" s="287"/>
      <c r="FH77" s="287"/>
      <c r="FI77" s="287"/>
      <c r="FJ77" s="287"/>
      <c r="FK77" s="287"/>
      <c r="FL77" s="287"/>
      <c r="FM77" s="287"/>
      <c r="FN77" s="287"/>
      <c r="FO77" s="287"/>
      <c r="FP77" s="287"/>
      <c r="FQ77" s="287"/>
      <c r="FR77" s="287"/>
      <c r="FS77" s="287"/>
      <c r="FT77" s="287"/>
      <c r="FU77" s="287"/>
      <c r="FV77" s="287"/>
      <c r="FW77" s="287"/>
      <c r="FX77" s="352"/>
    </row>
    <row r="78" spans="1:180" ht="19.95" customHeight="1">
      <c r="A78" s="322" t="s">
        <v>690</v>
      </c>
      <c r="B78" s="338" t="s">
        <v>691</v>
      </c>
      <c r="C78" s="348" t="s">
        <v>678</v>
      </c>
      <c r="D78" s="348">
        <v>30</v>
      </c>
      <c r="E78" s="348" t="s">
        <v>957</v>
      </c>
      <c r="F78" s="341">
        <v>220</v>
      </c>
      <c r="G78" s="328" t="s">
        <v>957</v>
      </c>
      <c r="H78" s="328">
        <v>2</v>
      </c>
      <c r="I78" s="328"/>
      <c r="J78" s="328"/>
      <c r="K78" s="328"/>
      <c r="L78" s="341"/>
      <c r="M78" s="341"/>
      <c r="N78" s="341"/>
      <c r="O78" s="328" t="s">
        <v>992</v>
      </c>
      <c r="P78" s="325">
        <v>13200</v>
      </c>
      <c r="Q78" s="349" t="s">
        <v>1657</v>
      </c>
      <c r="R78" s="287"/>
      <c r="S78" s="287"/>
      <c r="T78" s="287"/>
      <c r="U78" s="287"/>
      <c r="V78" s="287"/>
      <c r="W78" s="287"/>
      <c r="X78" s="287"/>
      <c r="Y78" s="287"/>
      <c r="Z78" s="287"/>
      <c r="AA78" s="287"/>
      <c r="AB78" s="287"/>
      <c r="AC78" s="287"/>
      <c r="AD78" s="287"/>
      <c r="AE78" s="287"/>
      <c r="AF78" s="287"/>
      <c r="AG78" s="287"/>
      <c r="AH78" s="287"/>
      <c r="AI78" s="287"/>
      <c r="AJ78" s="287"/>
      <c r="AK78" s="287"/>
      <c r="AL78" s="287"/>
      <c r="AM78" s="287"/>
      <c r="AN78" s="287"/>
      <c r="AO78" s="287"/>
      <c r="AP78" s="287"/>
      <c r="AQ78" s="287"/>
      <c r="AR78" s="287"/>
      <c r="AS78" s="287"/>
      <c r="AT78" s="287"/>
      <c r="AU78" s="287"/>
      <c r="AV78" s="287"/>
      <c r="AW78" s="287"/>
      <c r="AX78" s="287"/>
      <c r="AY78" s="287"/>
      <c r="AZ78" s="287"/>
      <c r="BA78" s="287"/>
      <c r="BB78" s="287"/>
      <c r="BC78" s="287"/>
      <c r="BD78" s="287"/>
      <c r="BE78" s="287"/>
      <c r="BF78" s="287"/>
      <c r="BG78" s="287"/>
      <c r="BH78" s="287"/>
      <c r="BI78" s="287"/>
      <c r="BJ78" s="287"/>
      <c r="BK78" s="287"/>
      <c r="BL78" s="287"/>
      <c r="BM78" s="287"/>
      <c r="BN78" s="287"/>
      <c r="BO78" s="287"/>
      <c r="BP78" s="287"/>
      <c r="BQ78" s="287"/>
      <c r="BR78" s="287"/>
      <c r="BS78" s="287"/>
      <c r="BT78" s="287"/>
      <c r="BU78" s="287"/>
      <c r="BV78" s="287"/>
      <c r="BW78" s="287"/>
      <c r="BX78" s="287"/>
      <c r="BY78" s="287"/>
      <c r="BZ78" s="287"/>
      <c r="CA78" s="287"/>
      <c r="CB78" s="287"/>
      <c r="CC78" s="287"/>
      <c r="CD78" s="287"/>
      <c r="CE78" s="287"/>
      <c r="CF78" s="287"/>
      <c r="CG78" s="287"/>
      <c r="CH78" s="287"/>
      <c r="CI78" s="287"/>
      <c r="CJ78" s="287"/>
      <c r="CK78" s="287"/>
      <c r="CL78" s="287"/>
      <c r="CM78" s="287"/>
      <c r="CN78" s="287"/>
      <c r="CO78" s="287"/>
      <c r="CP78" s="287"/>
      <c r="CQ78" s="287"/>
      <c r="CR78" s="287"/>
      <c r="CS78" s="287"/>
      <c r="CT78" s="287"/>
      <c r="CU78" s="287"/>
      <c r="CV78" s="287"/>
      <c r="CW78" s="287"/>
      <c r="CX78" s="287"/>
      <c r="CY78" s="287"/>
      <c r="CZ78" s="287"/>
      <c r="DA78" s="287"/>
      <c r="DB78" s="287"/>
      <c r="DC78" s="287"/>
      <c r="DD78" s="287"/>
      <c r="DE78" s="287"/>
      <c r="DF78" s="287"/>
      <c r="DG78" s="287"/>
      <c r="DH78" s="287"/>
      <c r="DI78" s="287"/>
      <c r="DJ78" s="287"/>
      <c r="DK78" s="287"/>
      <c r="DL78" s="287"/>
      <c r="DM78" s="287"/>
      <c r="DN78" s="287"/>
      <c r="DO78" s="287"/>
      <c r="DP78" s="287"/>
      <c r="DQ78" s="287"/>
      <c r="DR78" s="287"/>
      <c r="DS78" s="287"/>
      <c r="DT78" s="287"/>
      <c r="DU78" s="287"/>
      <c r="DV78" s="287"/>
      <c r="DW78" s="287"/>
      <c r="DX78" s="287"/>
      <c r="DY78" s="287"/>
      <c r="DZ78" s="287"/>
      <c r="EA78" s="287"/>
      <c r="EB78" s="287"/>
      <c r="EC78" s="287"/>
      <c r="ED78" s="287"/>
      <c r="EE78" s="287"/>
      <c r="EF78" s="287"/>
      <c r="EG78" s="287"/>
      <c r="EH78" s="287"/>
      <c r="EI78" s="287"/>
      <c r="EJ78" s="287"/>
      <c r="EK78" s="287"/>
      <c r="EL78" s="287"/>
      <c r="EM78" s="287"/>
      <c r="EN78" s="287"/>
      <c r="EO78" s="287"/>
      <c r="EP78" s="287"/>
      <c r="EQ78" s="287"/>
      <c r="ER78" s="287"/>
      <c r="ES78" s="287"/>
      <c r="ET78" s="287"/>
      <c r="EU78" s="287"/>
      <c r="EV78" s="287"/>
      <c r="EW78" s="287"/>
      <c r="EX78" s="287"/>
      <c r="EY78" s="287"/>
      <c r="EZ78" s="287"/>
      <c r="FA78" s="287"/>
      <c r="FB78" s="287"/>
      <c r="FC78" s="287"/>
      <c r="FD78" s="287"/>
      <c r="FE78" s="287"/>
      <c r="FF78" s="287"/>
      <c r="FG78" s="287"/>
      <c r="FH78" s="287"/>
      <c r="FI78" s="287"/>
      <c r="FJ78" s="287"/>
      <c r="FK78" s="287"/>
      <c r="FL78" s="287"/>
      <c r="FM78" s="287"/>
      <c r="FN78" s="287"/>
      <c r="FO78" s="287"/>
      <c r="FP78" s="287"/>
      <c r="FQ78" s="287"/>
      <c r="FR78" s="287"/>
      <c r="FS78" s="287"/>
      <c r="FT78" s="287"/>
      <c r="FU78" s="287"/>
      <c r="FV78" s="287"/>
      <c r="FW78" s="287"/>
      <c r="FX78" s="351"/>
    </row>
    <row r="79" spans="1:180" ht="19.95" customHeight="1">
      <c r="A79" s="322" t="s">
        <v>692</v>
      </c>
      <c r="B79" s="338" t="s">
        <v>693</v>
      </c>
      <c r="C79" s="348" t="s">
        <v>678</v>
      </c>
      <c r="D79" s="348">
        <v>30</v>
      </c>
      <c r="E79" s="348" t="s">
        <v>957</v>
      </c>
      <c r="F79" s="341">
        <v>220</v>
      </c>
      <c r="G79" s="328" t="s">
        <v>957</v>
      </c>
      <c r="H79" s="328">
        <v>3</v>
      </c>
      <c r="I79" s="328"/>
      <c r="J79" s="328"/>
      <c r="K79" s="328"/>
      <c r="L79" s="341"/>
      <c r="M79" s="341"/>
      <c r="N79" s="341"/>
      <c r="O79" s="328" t="s">
        <v>992</v>
      </c>
      <c r="P79" s="325">
        <v>19800</v>
      </c>
      <c r="Q79" s="349" t="s">
        <v>1024</v>
      </c>
      <c r="R79" s="287"/>
      <c r="S79" s="287"/>
      <c r="T79" s="287"/>
      <c r="U79" s="287"/>
      <c r="V79" s="287"/>
      <c r="W79" s="287"/>
      <c r="X79" s="287"/>
      <c r="Y79" s="287"/>
      <c r="Z79" s="287"/>
      <c r="AA79" s="287"/>
      <c r="AB79" s="287"/>
      <c r="AC79" s="287"/>
      <c r="AD79" s="287"/>
      <c r="AE79" s="287"/>
      <c r="AF79" s="287"/>
      <c r="AG79" s="287"/>
      <c r="AH79" s="287"/>
      <c r="AI79" s="287"/>
      <c r="AJ79" s="287"/>
      <c r="AK79" s="287"/>
      <c r="AL79" s="287"/>
      <c r="AM79" s="287"/>
      <c r="AN79" s="287"/>
      <c r="AO79" s="287"/>
      <c r="AP79" s="287"/>
      <c r="AQ79" s="287"/>
      <c r="AR79" s="287"/>
      <c r="AS79" s="287"/>
      <c r="AT79" s="287"/>
      <c r="AU79" s="287"/>
      <c r="AV79" s="287"/>
      <c r="AW79" s="287"/>
      <c r="AX79" s="287"/>
      <c r="AY79" s="287"/>
      <c r="AZ79" s="287"/>
      <c r="BA79" s="287"/>
      <c r="BB79" s="287"/>
      <c r="BC79" s="287"/>
      <c r="BD79" s="287"/>
      <c r="BE79" s="287"/>
      <c r="BF79" s="287"/>
      <c r="BG79" s="287"/>
      <c r="BH79" s="287"/>
      <c r="BI79" s="287"/>
      <c r="BJ79" s="287"/>
      <c r="BK79" s="287"/>
      <c r="BL79" s="287"/>
      <c r="BM79" s="287"/>
      <c r="BN79" s="287"/>
      <c r="BO79" s="287"/>
      <c r="BP79" s="287"/>
      <c r="BQ79" s="287"/>
      <c r="BR79" s="287"/>
      <c r="BS79" s="287"/>
      <c r="BT79" s="287"/>
      <c r="BU79" s="287"/>
      <c r="BV79" s="287"/>
      <c r="BW79" s="287"/>
      <c r="BX79" s="287"/>
      <c r="BY79" s="287"/>
      <c r="BZ79" s="287"/>
      <c r="CA79" s="287"/>
      <c r="CB79" s="287"/>
      <c r="CC79" s="287"/>
      <c r="CD79" s="287"/>
      <c r="CE79" s="287"/>
      <c r="CF79" s="287"/>
      <c r="CG79" s="287"/>
      <c r="CH79" s="287"/>
      <c r="CI79" s="287"/>
      <c r="CJ79" s="287"/>
      <c r="CK79" s="287"/>
      <c r="CL79" s="287"/>
      <c r="CM79" s="287"/>
      <c r="CN79" s="287"/>
      <c r="CO79" s="287"/>
      <c r="CP79" s="287"/>
      <c r="CQ79" s="287"/>
      <c r="CR79" s="287"/>
      <c r="CS79" s="287"/>
      <c r="CT79" s="287"/>
      <c r="CU79" s="287"/>
      <c r="CV79" s="287"/>
      <c r="CW79" s="287"/>
      <c r="CX79" s="287"/>
      <c r="CY79" s="287"/>
      <c r="CZ79" s="287"/>
      <c r="DA79" s="287"/>
      <c r="DB79" s="287"/>
      <c r="DC79" s="287"/>
      <c r="DD79" s="287"/>
      <c r="DE79" s="287"/>
      <c r="DF79" s="287"/>
      <c r="DG79" s="287"/>
      <c r="DH79" s="287"/>
      <c r="DI79" s="287"/>
      <c r="DJ79" s="287"/>
      <c r="DK79" s="287"/>
      <c r="DL79" s="287"/>
      <c r="DM79" s="287"/>
      <c r="DN79" s="287"/>
      <c r="DO79" s="287"/>
      <c r="DP79" s="287"/>
      <c r="DQ79" s="287"/>
      <c r="DR79" s="287"/>
      <c r="DS79" s="287"/>
      <c r="DT79" s="287"/>
      <c r="DU79" s="287"/>
      <c r="DV79" s="287"/>
      <c r="DW79" s="287"/>
      <c r="DX79" s="287"/>
      <c r="DY79" s="287"/>
      <c r="DZ79" s="287"/>
      <c r="EA79" s="287"/>
      <c r="EB79" s="287"/>
      <c r="EC79" s="287"/>
      <c r="ED79" s="287"/>
      <c r="EE79" s="287"/>
      <c r="EF79" s="287"/>
      <c r="EG79" s="287"/>
      <c r="EH79" s="287"/>
      <c r="EI79" s="287"/>
      <c r="EJ79" s="287"/>
      <c r="EK79" s="287"/>
      <c r="EL79" s="287"/>
      <c r="EM79" s="287"/>
      <c r="EN79" s="287"/>
      <c r="EO79" s="287"/>
      <c r="EP79" s="287"/>
      <c r="EQ79" s="287"/>
      <c r="ER79" s="287"/>
      <c r="ES79" s="287"/>
      <c r="ET79" s="287"/>
      <c r="EU79" s="287"/>
      <c r="EV79" s="287"/>
      <c r="EW79" s="287"/>
      <c r="EX79" s="287"/>
      <c r="EY79" s="287"/>
      <c r="EZ79" s="287"/>
      <c r="FA79" s="287"/>
      <c r="FB79" s="287"/>
      <c r="FC79" s="287"/>
      <c r="FD79" s="287"/>
      <c r="FE79" s="287"/>
      <c r="FF79" s="287"/>
      <c r="FG79" s="287"/>
      <c r="FH79" s="287"/>
      <c r="FI79" s="287"/>
      <c r="FJ79" s="287"/>
      <c r="FK79" s="287"/>
      <c r="FL79" s="287"/>
      <c r="FM79" s="287"/>
      <c r="FN79" s="287"/>
      <c r="FO79" s="287"/>
      <c r="FP79" s="287"/>
      <c r="FQ79" s="287"/>
      <c r="FR79" s="287"/>
      <c r="FS79" s="287"/>
      <c r="FT79" s="287"/>
      <c r="FU79" s="287"/>
      <c r="FV79" s="287"/>
      <c r="FW79" s="287"/>
      <c r="FX79" s="352"/>
    </row>
    <row r="80" spans="1:180" ht="19.95" customHeight="1">
      <c r="A80" s="322"/>
      <c r="B80" s="353" t="s">
        <v>694</v>
      </c>
      <c r="C80" s="348"/>
      <c r="D80" s="348"/>
      <c r="E80" s="348"/>
      <c r="F80" s="341"/>
      <c r="G80" s="328"/>
      <c r="H80" s="328"/>
      <c r="I80" s="328"/>
      <c r="J80" s="328"/>
      <c r="K80" s="328"/>
      <c r="L80" s="341"/>
      <c r="M80" s="341"/>
      <c r="N80" s="341"/>
      <c r="O80" s="328"/>
      <c r="P80" s="325"/>
      <c r="Q80" s="354"/>
      <c r="R80" s="287"/>
      <c r="S80" s="287"/>
      <c r="T80" s="287"/>
      <c r="U80" s="287"/>
      <c r="V80" s="287"/>
      <c r="W80" s="287"/>
      <c r="X80" s="287"/>
      <c r="Y80" s="287"/>
      <c r="Z80" s="287"/>
      <c r="AA80" s="287"/>
      <c r="AB80" s="287"/>
      <c r="AC80" s="287"/>
      <c r="AD80" s="287"/>
      <c r="AE80" s="287"/>
      <c r="AF80" s="287"/>
      <c r="AG80" s="287"/>
      <c r="AH80" s="287"/>
      <c r="AI80" s="287"/>
      <c r="AJ80" s="287"/>
      <c r="AK80" s="287"/>
      <c r="AL80" s="287"/>
      <c r="AM80" s="287"/>
      <c r="AN80" s="287"/>
      <c r="AO80" s="287"/>
      <c r="AP80" s="287"/>
      <c r="AQ80" s="287"/>
      <c r="AR80" s="287"/>
      <c r="AS80" s="287"/>
      <c r="AT80" s="287"/>
      <c r="AU80" s="287"/>
      <c r="AV80" s="287"/>
      <c r="AW80" s="287"/>
      <c r="AX80" s="287"/>
      <c r="AY80" s="287"/>
      <c r="AZ80" s="287"/>
      <c r="BA80" s="287"/>
      <c r="BB80" s="287"/>
      <c r="BC80" s="287"/>
      <c r="BD80" s="287"/>
      <c r="BE80" s="287"/>
      <c r="BF80" s="287"/>
      <c r="BG80" s="287"/>
      <c r="BH80" s="287"/>
      <c r="BI80" s="287"/>
      <c r="BJ80" s="287"/>
      <c r="BK80" s="287"/>
      <c r="BL80" s="287"/>
      <c r="BM80" s="287"/>
      <c r="BN80" s="287"/>
      <c r="BO80" s="287"/>
      <c r="BP80" s="287"/>
      <c r="BQ80" s="287"/>
      <c r="BR80" s="287"/>
      <c r="BS80" s="287"/>
      <c r="BT80" s="287"/>
      <c r="BU80" s="287"/>
      <c r="BV80" s="287"/>
      <c r="BW80" s="287"/>
      <c r="BX80" s="287"/>
      <c r="BY80" s="287"/>
      <c r="BZ80" s="287"/>
      <c r="CA80" s="287"/>
      <c r="CB80" s="287"/>
      <c r="CC80" s="287"/>
      <c r="CD80" s="287"/>
      <c r="CE80" s="287"/>
      <c r="CF80" s="287"/>
      <c r="CG80" s="287"/>
      <c r="CH80" s="287"/>
      <c r="CI80" s="287"/>
      <c r="CJ80" s="287"/>
      <c r="CK80" s="287"/>
      <c r="CL80" s="287"/>
      <c r="CM80" s="287"/>
      <c r="CN80" s="287"/>
      <c r="CO80" s="287"/>
      <c r="CP80" s="287"/>
      <c r="CQ80" s="287"/>
      <c r="CR80" s="287"/>
      <c r="CS80" s="287"/>
      <c r="CT80" s="287"/>
      <c r="CU80" s="287"/>
      <c r="CV80" s="287"/>
      <c r="CW80" s="287"/>
      <c r="CX80" s="287"/>
      <c r="CY80" s="287"/>
      <c r="CZ80" s="287"/>
      <c r="DA80" s="287"/>
      <c r="DB80" s="287"/>
      <c r="DC80" s="287"/>
      <c r="DD80" s="287"/>
      <c r="DE80" s="287"/>
      <c r="DF80" s="287"/>
      <c r="DG80" s="287"/>
      <c r="DH80" s="287"/>
      <c r="DI80" s="287"/>
      <c r="DJ80" s="287"/>
      <c r="DK80" s="287"/>
      <c r="DL80" s="287"/>
      <c r="DM80" s="287"/>
      <c r="DN80" s="287"/>
      <c r="DO80" s="287"/>
      <c r="DP80" s="287"/>
      <c r="DQ80" s="287"/>
      <c r="DR80" s="287"/>
      <c r="DS80" s="287"/>
      <c r="DT80" s="287"/>
      <c r="DU80" s="287"/>
      <c r="DV80" s="287"/>
      <c r="DW80" s="287"/>
      <c r="DX80" s="287"/>
      <c r="DY80" s="287"/>
      <c r="DZ80" s="287"/>
      <c r="EA80" s="287"/>
      <c r="EB80" s="287"/>
      <c r="EC80" s="287"/>
      <c r="ED80" s="287"/>
      <c r="EE80" s="287"/>
      <c r="EF80" s="287"/>
      <c r="EG80" s="287"/>
      <c r="EH80" s="287"/>
      <c r="EI80" s="287"/>
      <c r="EJ80" s="287"/>
      <c r="EK80" s="287"/>
      <c r="EL80" s="287"/>
      <c r="EM80" s="287"/>
      <c r="EN80" s="287"/>
      <c r="EO80" s="287"/>
      <c r="EP80" s="287"/>
      <c r="EQ80" s="287"/>
      <c r="ER80" s="287"/>
      <c r="ES80" s="287"/>
      <c r="ET80" s="287"/>
      <c r="EU80" s="287"/>
      <c r="EV80" s="287"/>
      <c r="EW80" s="287"/>
      <c r="EX80" s="287"/>
      <c r="EY80" s="287"/>
      <c r="EZ80" s="287"/>
      <c r="FA80" s="287"/>
      <c r="FB80" s="287"/>
      <c r="FC80" s="287"/>
      <c r="FD80" s="287"/>
      <c r="FE80" s="287"/>
      <c r="FF80" s="287"/>
      <c r="FG80" s="287"/>
      <c r="FH80" s="287"/>
      <c r="FI80" s="287"/>
      <c r="FJ80" s="287"/>
      <c r="FK80" s="287"/>
      <c r="FL80" s="287"/>
      <c r="FM80" s="287"/>
      <c r="FN80" s="287"/>
      <c r="FO80" s="287"/>
      <c r="FP80" s="287"/>
      <c r="FQ80" s="287"/>
      <c r="FR80" s="287"/>
      <c r="FS80" s="287"/>
      <c r="FT80" s="287"/>
      <c r="FU80" s="287"/>
      <c r="FV80" s="287"/>
      <c r="FW80" s="287"/>
      <c r="FX80" s="352"/>
    </row>
    <row r="81" spans="1:180" ht="19.95" customHeight="1">
      <c r="A81" s="322" t="s">
        <v>695</v>
      </c>
      <c r="B81" s="288" t="s">
        <v>696</v>
      </c>
      <c r="C81" s="348" t="s">
        <v>630</v>
      </c>
      <c r="D81" s="348">
        <v>22</v>
      </c>
      <c r="E81" s="348" t="s">
        <v>957</v>
      </c>
      <c r="F81" s="341">
        <v>100</v>
      </c>
      <c r="G81" s="328" t="s">
        <v>957</v>
      </c>
      <c r="H81" s="328">
        <v>30</v>
      </c>
      <c r="I81" s="328"/>
      <c r="J81" s="328"/>
      <c r="K81" s="328"/>
      <c r="L81" s="341"/>
      <c r="M81" s="341"/>
      <c r="N81" s="341"/>
      <c r="O81" s="328" t="s">
        <v>992</v>
      </c>
      <c r="P81" s="325">
        <v>66000</v>
      </c>
      <c r="Q81" s="349" t="s">
        <v>1658</v>
      </c>
      <c r="R81" s="287"/>
      <c r="S81" s="287"/>
      <c r="T81" s="287"/>
      <c r="U81" s="287"/>
      <c r="V81" s="287"/>
      <c r="W81" s="287"/>
      <c r="X81" s="287"/>
      <c r="Y81" s="287"/>
      <c r="Z81" s="287"/>
      <c r="AA81" s="287"/>
      <c r="AB81" s="287"/>
      <c r="AC81" s="287"/>
      <c r="AD81" s="287"/>
      <c r="AE81" s="287"/>
      <c r="AF81" s="287"/>
      <c r="AG81" s="287"/>
      <c r="AH81" s="287"/>
      <c r="AI81" s="287"/>
      <c r="AJ81" s="287"/>
      <c r="AK81" s="287"/>
      <c r="AL81" s="287"/>
      <c r="AM81" s="287"/>
      <c r="AN81" s="287"/>
      <c r="AO81" s="287"/>
      <c r="AP81" s="287"/>
      <c r="AQ81" s="287"/>
      <c r="AR81" s="287"/>
      <c r="AS81" s="287"/>
      <c r="AT81" s="287"/>
      <c r="AU81" s="287"/>
      <c r="AV81" s="287"/>
      <c r="AW81" s="287"/>
      <c r="AX81" s="287"/>
      <c r="AY81" s="287"/>
      <c r="AZ81" s="287"/>
      <c r="BA81" s="287"/>
      <c r="BB81" s="287"/>
      <c r="BC81" s="287"/>
      <c r="BD81" s="287"/>
      <c r="BE81" s="287"/>
      <c r="BF81" s="287"/>
      <c r="BG81" s="287"/>
      <c r="BH81" s="287"/>
      <c r="BI81" s="287"/>
      <c r="BJ81" s="287"/>
      <c r="BK81" s="287"/>
      <c r="BL81" s="287"/>
      <c r="BM81" s="287"/>
      <c r="BN81" s="287"/>
      <c r="BO81" s="287"/>
      <c r="BP81" s="287"/>
      <c r="BQ81" s="287"/>
      <c r="BR81" s="287"/>
      <c r="BS81" s="287"/>
      <c r="BT81" s="287"/>
      <c r="BU81" s="287"/>
      <c r="BV81" s="287"/>
      <c r="BW81" s="287"/>
      <c r="BX81" s="287"/>
      <c r="BY81" s="287"/>
      <c r="BZ81" s="287"/>
      <c r="CA81" s="287"/>
      <c r="CB81" s="287"/>
      <c r="CC81" s="287"/>
      <c r="CD81" s="287"/>
      <c r="CE81" s="287"/>
      <c r="CF81" s="287"/>
      <c r="CG81" s="287"/>
      <c r="CH81" s="287"/>
      <c r="CI81" s="287"/>
      <c r="CJ81" s="287"/>
      <c r="CK81" s="287"/>
      <c r="CL81" s="287"/>
      <c r="CM81" s="287"/>
      <c r="CN81" s="287"/>
      <c r="CO81" s="287"/>
      <c r="CP81" s="287"/>
      <c r="CQ81" s="287"/>
      <c r="CR81" s="287"/>
      <c r="CS81" s="287"/>
      <c r="CT81" s="287"/>
      <c r="CU81" s="287"/>
      <c r="CV81" s="287"/>
      <c r="CW81" s="287"/>
      <c r="CX81" s="287"/>
      <c r="CY81" s="287"/>
      <c r="CZ81" s="287"/>
      <c r="DA81" s="287"/>
      <c r="DB81" s="287"/>
      <c r="DC81" s="287"/>
      <c r="DD81" s="287"/>
      <c r="DE81" s="287"/>
      <c r="DF81" s="287"/>
      <c r="DG81" s="287"/>
      <c r="DH81" s="287"/>
      <c r="DI81" s="287"/>
      <c r="DJ81" s="287"/>
      <c r="DK81" s="287"/>
      <c r="DL81" s="287"/>
      <c r="DM81" s="287"/>
      <c r="DN81" s="287"/>
      <c r="DO81" s="287"/>
      <c r="DP81" s="287"/>
      <c r="DQ81" s="287"/>
      <c r="DR81" s="287"/>
      <c r="DS81" s="287"/>
      <c r="DT81" s="287"/>
      <c r="DU81" s="287"/>
      <c r="DV81" s="287"/>
      <c r="DW81" s="287"/>
      <c r="DX81" s="287"/>
      <c r="DY81" s="287"/>
      <c r="DZ81" s="287"/>
      <c r="EA81" s="287"/>
      <c r="EB81" s="287"/>
      <c r="EC81" s="287"/>
      <c r="ED81" s="287"/>
      <c r="EE81" s="287"/>
      <c r="EF81" s="287"/>
      <c r="EG81" s="287"/>
      <c r="EH81" s="287"/>
      <c r="EI81" s="287"/>
      <c r="EJ81" s="287"/>
      <c r="EK81" s="287"/>
      <c r="EL81" s="287"/>
      <c r="EM81" s="287"/>
      <c r="EN81" s="287"/>
      <c r="EO81" s="287"/>
      <c r="EP81" s="287"/>
      <c r="EQ81" s="287"/>
      <c r="ER81" s="287"/>
      <c r="ES81" s="287"/>
      <c r="ET81" s="287"/>
      <c r="EU81" s="287"/>
      <c r="EV81" s="287"/>
      <c r="EW81" s="287"/>
      <c r="EX81" s="287"/>
      <c r="EY81" s="287"/>
      <c r="EZ81" s="287"/>
      <c r="FA81" s="287"/>
      <c r="FB81" s="287"/>
      <c r="FC81" s="287"/>
      <c r="FD81" s="287"/>
      <c r="FE81" s="287"/>
      <c r="FF81" s="287"/>
      <c r="FG81" s="287"/>
      <c r="FH81" s="287"/>
      <c r="FI81" s="287"/>
      <c r="FJ81" s="287"/>
      <c r="FK81" s="287"/>
      <c r="FL81" s="287"/>
      <c r="FM81" s="287"/>
      <c r="FN81" s="287"/>
      <c r="FO81" s="287"/>
      <c r="FP81" s="287"/>
      <c r="FQ81" s="287"/>
      <c r="FR81" s="287"/>
      <c r="FS81" s="287"/>
      <c r="FT81" s="287"/>
      <c r="FU81" s="287"/>
      <c r="FV81" s="287"/>
      <c r="FW81" s="287"/>
      <c r="FX81" s="351"/>
    </row>
    <row r="82" spans="1:180" ht="19.95" customHeight="1">
      <c r="A82" s="322" t="s">
        <v>697</v>
      </c>
      <c r="B82" s="288" t="s">
        <v>698</v>
      </c>
      <c r="C82" s="348" t="s">
        <v>630</v>
      </c>
      <c r="D82" s="348">
        <v>22</v>
      </c>
      <c r="E82" s="348" t="s">
        <v>957</v>
      </c>
      <c r="F82" s="341">
        <v>100</v>
      </c>
      <c r="G82" s="328" t="s">
        <v>957</v>
      </c>
      <c r="H82" s="328">
        <v>30</v>
      </c>
      <c r="I82" s="328"/>
      <c r="J82" s="328"/>
      <c r="K82" s="328"/>
      <c r="L82" s="341"/>
      <c r="M82" s="341"/>
      <c r="N82" s="341"/>
      <c r="O82" s="328" t="s">
        <v>992</v>
      </c>
      <c r="P82" s="325">
        <v>66000</v>
      </c>
      <c r="Q82" s="349" t="s">
        <v>1658</v>
      </c>
      <c r="R82" s="287"/>
      <c r="S82" s="287"/>
      <c r="T82" s="287"/>
      <c r="U82" s="287"/>
      <c r="V82" s="287"/>
      <c r="W82" s="287"/>
      <c r="X82" s="287"/>
      <c r="Y82" s="287"/>
      <c r="Z82" s="287"/>
      <c r="AA82" s="287"/>
      <c r="AB82" s="287"/>
      <c r="AC82" s="287"/>
      <c r="AD82" s="287"/>
      <c r="AE82" s="287"/>
      <c r="AF82" s="287"/>
      <c r="AG82" s="287"/>
      <c r="AH82" s="287"/>
      <c r="AI82" s="287"/>
      <c r="AJ82" s="287"/>
      <c r="AK82" s="287"/>
      <c r="AL82" s="287"/>
      <c r="AM82" s="287"/>
      <c r="AN82" s="287"/>
      <c r="AO82" s="287"/>
      <c r="AP82" s="287"/>
      <c r="AQ82" s="287"/>
      <c r="AR82" s="287"/>
      <c r="AS82" s="287"/>
      <c r="AT82" s="287"/>
      <c r="AU82" s="287"/>
      <c r="AV82" s="287"/>
      <c r="AW82" s="287"/>
      <c r="AX82" s="287"/>
      <c r="AY82" s="287"/>
      <c r="AZ82" s="287"/>
      <c r="BA82" s="287"/>
      <c r="BB82" s="287"/>
      <c r="BC82" s="287"/>
      <c r="BD82" s="287"/>
      <c r="BE82" s="287"/>
      <c r="BF82" s="287"/>
      <c r="BG82" s="287"/>
      <c r="BH82" s="287"/>
      <c r="BI82" s="287"/>
      <c r="BJ82" s="287"/>
      <c r="BK82" s="287"/>
      <c r="BL82" s="287"/>
      <c r="BM82" s="287"/>
      <c r="BN82" s="287"/>
      <c r="BO82" s="287"/>
      <c r="BP82" s="287"/>
      <c r="BQ82" s="287"/>
      <c r="BR82" s="287"/>
      <c r="BS82" s="287"/>
      <c r="BT82" s="287"/>
      <c r="BU82" s="287"/>
      <c r="BV82" s="287"/>
      <c r="BW82" s="287"/>
      <c r="BX82" s="287"/>
      <c r="BY82" s="287"/>
      <c r="BZ82" s="287"/>
      <c r="CA82" s="287"/>
      <c r="CB82" s="287"/>
      <c r="CC82" s="287"/>
      <c r="CD82" s="287"/>
      <c r="CE82" s="287"/>
      <c r="CF82" s="287"/>
      <c r="CG82" s="287"/>
      <c r="CH82" s="287"/>
      <c r="CI82" s="287"/>
      <c r="CJ82" s="287"/>
      <c r="CK82" s="287"/>
      <c r="CL82" s="287"/>
      <c r="CM82" s="287"/>
      <c r="CN82" s="287"/>
      <c r="CO82" s="287"/>
      <c r="CP82" s="287"/>
      <c r="CQ82" s="287"/>
      <c r="CR82" s="287"/>
      <c r="CS82" s="287"/>
      <c r="CT82" s="287"/>
      <c r="CU82" s="287"/>
      <c r="CV82" s="287"/>
      <c r="CW82" s="287"/>
      <c r="CX82" s="287"/>
      <c r="CY82" s="287"/>
      <c r="CZ82" s="287"/>
      <c r="DA82" s="287"/>
      <c r="DB82" s="287"/>
      <c r="DC82" s="287"/>
      <c r="DD82" s="287"/>
      <c r="DE82" s="287"/>
      <c r="DF82" s="287"/>
      <c r="DG82" s="287"/>
      <c r="DH82" s="287"/>
      <c r="DI82" s="287"/>
      <c r="DJ82" s="287"/>
      <c r="DK82" s="287"/>
      <c r="DL82" s="287"/>
      <c r="DM82" s="287"/>
      <c r="DN82" s="287"/>
      <c r="DO82" s="287"/>
      <c r="DP82" s="287"/>
      <c r="DQ82" s="287"/>
      <c r="DR82" s="287"/>
      <c r="DS82" s="287"/>
      <c r="DT82" s="287"/>
      <c r="DU82" s="287"/>
      <c r="DV82" s="287"/>
      <c r="DW82" s="287"/>
      <c r="DX82" s="287"/>
      <c r="DY82" s="287"/>
      <c r="DZ82" s="287"/>
      <c r="EA82" s="287"/>
      <c r="EB82" s="287"/>
      <c r="EC82" s="287"/>
      <c r="ED82" s="287"/>
      <c r="EE82" s="287"/>
      <c r="EF82" s="287"/>
      <c r="EG82" s="287"/>
      <c r="EH82" s="287"/>
      <c r="EI82" s="287"/>
      <c r="EJ82" s="287"/>
      <c r="EK82" s="287"/>
      <c r="EL82" s="287"/>
      <c r="EM82" s="287"/>
      <c r="EN82" s="287"/>
      <c r="EO82" s="287"/>
      <c r="EP82" s="287"/>
      <c r="EQ82" s="287"/>
      <c r="ER82" s="287"/>
      <c r="ES82" s="287"/>
      <c r="ET82" s="287"/>
      <c r="EU82" s="287"/>
      <c r="EV82" s="287"/>
      <c r="EW82" s="287"/>
      <c r="EX82" s="287"/>
      <c r="EY82" s="287"/>
      <c r="EZ82" s="287"/>
      <c r="FA82" s="287"/>
      <c r="FB82" s="287"/>
      <c r="FC82" s="287"/>
      <c r="FD82" s="287"/>
      <c r="FE82" s="287"/>
      <c r="FF82" s="287"/>
      <c r="FG82" s="287"/>
      <c r="FH82" s="287"/>
      <c r="FI82" s="287"/>
      <c r="FJ82" s="287"/>
      <c r="FK82" s="287"/>
      <c r="FL82" s="287"/>
      <c r="FM82" s="287"/>
      <c r="FN82" s="287"/>
      <c r="FO82" s="287"/>
      <c r="FP82" s="287"/>
      <c r="FQ82" s="287"/>
      <c r="FR82" s="287"/>
      <c r="FS82" s="287"/>
      <c r="FT82" s="287"/>
      <c r="FU82" s="287"/>
      <c r="FV82" s="287"/>
      <c r="FW82" s="287"/>
      <c r="FX82" s="351"/>
    </row>
    <row r="83" spans="1:180" ht="19.95" customHeight="1">
      <c r="A83" s="322" t="s">
        <v>699</v>
      </c>
      <c r="B83" s="288" t="s">
        <v>700</v>
      </c>
      <c r="C83" s="348" t="s">
        <v>630</v>
      </c>
      <c r="D83" s="348">
        <v>22</v>
      </c>
      <c r="E83" s="348" t="s">
        <v>957</v>
      </c>
      <c r="F83" s="341">
        <v>100</v>
      </c>
      <c r="G83" s="328" t="s">
        <v>957</v>
      </c>
      <c r="H83" s="328">
        <v>30</v>
      </c>
      <c r="I83" s="328" t="s">
        <v>957</v>
      </c>
      <c r="J83" s="328">
        <v>2</v>
      </c>
      <c r="K83" s="328"/>
      <c r="L83" s="341"/>
      <c r="M83" s="341"/>
      <c r="N83" s="341"/>
      <c r="O83" s="328" t="s">
        <v>992</v>
      </c>
      <c r="P83" s="325">
        <v>132000</v>
      </c>
      <c r="Q83" s="349" t="s">
        <v>1659</v>
      </c>
      <c r="R83" s="287"/>
      <c r="S83" s="287"/>
      <c r="T83" s="287"/>
      <c r="U83" s="287"/>
      <c r="V83" s="287"/>
      <c r="W83" s="287"/>
      <c r="X83" s="287"/>
      <c r="Y83" s="287"/>
      <c r="Z83" s="287"/>
      <c r="AA83" s="287"/>
      <c r="AB83" s="287"/>
      <c r="AC83" s="287"/>
      <c r="AD83" s="287"/>
      <c r="AE83" s="287"/>
      <c r="AF83" s="287"/>
      <c r="AG83" s="287"/>
      <c r="AH83" s="287"/>
      <c r="AI83" s="287"/>
      <c r="AJ83" s="287"/>
      <c r="AK83" s="287"/>
      <c r="AL83" s="287"/>
      <c r="AM83" s="287"/>
      <c r="AN83" s="287"/>
      <c r="AO83" s="287"/>
      <c r="AP83" s="287"/>
      <c r="AQ83" s="287"/>
      <c r="AR83" s="287"/>
      <c r="AS83" s="287"/>
      <c r="AT83" s="287"/>
      <c r="AU83" s="287"/>
      <c r="AV83" s="287"/>
      <c r="AW83" s="287"/>
      <c r="AX83" s="287"/>
      <c r="AY83" s="287"/>
      <c r="AZ83" s="287"/>
      <c r="BA83" s="287"/>
      <c r="BB83" s="287"/>
      <c r="BC83" s="287"/>
      <c r="BD83" s="287"/>
      <c r="BE83" s="287"/>
      <c r="BF83" s="287"/>
      <c r="BG83" s="287"/>
      <c r="BH83" s="287"/>
      <c r="BI83" s="287"/>
      <c r="BJ83" s="287"/>
      <c r="BK83" s="287"/>
      <c r="BL83" s="287"/>
      <c r="BM83" s="287"/>
      <c r="BN83" s="287"/>
      <c r="BO83" s="287"/>
      <c r="BP83" s="287"/>
      <c r="BQ83" s="287"/>
      <c r="BR83" s="287"/>
      <c r="BS83" s="287"/>
      <c r="BT83" s="287"/>
      <c r="BU83" s="287"/>
      <c r="BV83" s="287"/>
      <c r="BW83" s="287"/>
      <c r="BX83" s="287"/>
      <c r="BY83" s="287"/>
      <c r="BZ83" s="287"/>
      <c r="CA83" s="287"/>
      <c r="CB83" s="287"/>
      <c r="CC83" s="287"/>
      <c r="CD83" s="287"/>
      <c r="CE83" s="287"/>
      <c r="CF83" s="287"/>
      <c r="CG83" s="287"/>
      <c r="CH83" s="287"/>
      <c r="CI83" s="287"/>
      <c r="CJ83" s="287"/>
      <c r="CK83" s="287"/>
      <c r="CL83" s="287"/>
      <c r="CM83" s="287"/>
      <c r="CN83" s="287"/>
      <c r="CO83" s="287"/>
      <c r="CP83" s="287"/>
      <c r="CQ83" s="287"/>
      <c r="CR83" s="287"/>
      <c r="CS83" s="287"/>
      <c r="CT83" s="287"/>
      <c r="CU83" s="287"/>
      <c r="CV83" s="287"/>
      <c r="CW83" s="287"/>
      <c r="CX83" s="287"/>
      <c r="CY83" s="287"/>
      <c r="CZ83" s="287"/>
      <c r="DA83" s="287"/>
      <c r="DB83" s="287"/>
      <c r="DC83" s="287"/>
      <c r="DD83" s="287"/>
      <c r="DE83" s="287"/>
      <c r="DF83" s="287"/>
      <c r="DG83" s="287"/>
      <c r="DH83" s="287"/>
      <c r="DI83" s="287"/>
      <c r="DJ83" s="287"/>
      <c r="DK83" s="287"/>
      <c r="DL83" s="287"/>
      <c r="DM83" s="287"/>
      <c r="DN83" s="287"/>
      <c r="DO83" s="287"/>
      <c r="DP83" s="287"/>
      <c r="DQ83" s="287"/>
      <c r="DR83" s="287"/>
      <c r="DS83" s="287"/>
      <c r="DT83" s="287"/>
      <c r="DU83" s="287"/>
      <c r="DV83" s="287"/>
      <c r="DW83" s="287"/>
      <c r="DX83" s="287"/>
      <c r="DY83" s="287"/>
      <c r="DZ83" s="287"/>
      <c r="EA83" s="287"/>
      <c r="EB83" s="287"/>
      <c r="EC83" s="287"/>
      <c r="ED83" s="287"/>
      <c r="EE83" s="287"/>
      <c r="EF83" s="287"/>
      <c r="EG83" s="287"/>
      <c r="EH83" s="287"/>
      <c r="EI83" s="287"/>
      <c r="EJ83" s="287"/>
      <c r="EK83" s="287"/>
      <c r="EL83" s="287"/>
      <c r="EM83" s="287"/>
      <c r="EN83" s="287"/>
      <c r="EO83" s="287"/>
      <c r="EP83" s="287"/>
      <c r="EQ83" s="287"/>
      <c r="ER83" s="287"/>
      <c r="ES83" s="287"/>
      <c r="ET83" s="287"/>
      <c r="EU83" s="287"/>
      <c r="EV83" s="287"/>
      <c r="EW83" s="287"/>
      <c r="EX83" s="287"/>
      <c r="EY83" s="287"/>
      <c r="EZ83" s="287"/>
      <c r="FA83" s="287"/>
      <c r="FB83" s="287"/>
      <c r="FC83" s="287"/>
      <c r="FD83" s="287"/>
      <c r="FE83" s="287"/>
      <c r="FF83" s="287"/>
      <c r="FG83" s="287"/>
      <c r="FH83" s="287"/>
      <c r="FI83" s="287"/>
      <c r="FJ83" s="287"/>
      <c r="FK83" s="287"/>
      <c r="FL83" s="287"/>
      <c r="FM83" s="287"/>
      <c r="FN83" s="287"/>
      <c r="FO83" s="287"/>
      <c r="FP83" s="287"/>
      <c r="FQ83" s="287"/>
      <c r="FR83" s="287"/>
      <c r="FS83" s="287"/>
      <c r="FT83" s="287"/>
      <c r="FU83" s="287"/>
      <c r="FV83" s="287"/>
      <c r="FW83" s="287"/>
      <c r="FX83" s="351"/>
    </row>
    <row r="84" spans="1:180" ht="19.95" customHeight="1">
      <c r="A84" s="322" t="s">
        <v>702</v>
      </c>
      <c r="B84" s="288" t="s">
        <v>703</v>
      </c>
      <c r="C84" s="348" t="s">
        <v>704</v>
      </c>
      <c r="D84" s="348">
        <v>300</v>
      </c>
      <c r="E84" s="348" t="s">
        <v>957</v>
      </c>
      <c r="F84" s="341">
        <v>30</v>
      </c>
      <c r="G84" s="328"/>
      <c r="H84" s="328"/>
      <c r="I84" s="328"/>
      <c r="J84" s="328"/>
      <c r="K84" s="328"/>
      <c r="L84" s="341"/>
      <c r="M84" s="341"/>
      <c r="N84" s="341"/>
      <c r="O84" s="328" t="s">
        <v>992</v>
      </c>
      <c r="P84" s="325">
        <v>9000</v>
      </c>
      <c r="Q84" s="349" t="s">
        <v>1660</v>
      </c>
      <c r="R84" s="287"/>
      <c r="S84" s="287"/>
      <c r="T84" s="287"/>
      <c r="U84" s="287"/>
      <c r="V84" s="287"/>
      <c r="W84" s="287"/>
      <c r="X84" s="287"/>
      <c r="Y84" s="287"/>
      <c r="Z84" s="287"/>
      <c r="AA84" s="287"/>
      <c r="AB84" s="287"/>
      <c r="AC84" s="287"/>
      <c r="AD84" s="287"/>
      <c r="AE84" s="287"/>
      <c r="AF84" s="287"/>
      <c r="AG84" s="287"/>
      <c r="AH84" s="287"/>
      <c r="AI84" s="287"/>
      <c r="AJ84" s="287"/>
      <c r="AK84" s="287"/>
      <c r="AL84" s="287"/>
      <c r="AM84" s="287"/>
      <c r="AN84" s="287"/>
      <c r="AO84" s="287"/>
      <c r="AP84" s="287"/>
      <c r="AQ84" s="287"/>
      <c r="AR84" s="287"/>
      <c r="AS84" s="287"/>
      <c r="AT84" s="287"/>
      <c r="AU84" s="287"/>
      <c r="AV84" s="287"/>
      <c r="AW84" s="287"/>
      <c r="AX84" s="287"/>
      <c r="AY84" s="287"/>
      <c r="AZ84" s="287"/>
      <c r="BA84" s="287"/>
      <c r="BB84" s="287"/>
      <c r="BC84" s="287"/>
      <c r="BD84" s="287"/>
      <c r="BE84" s="287"/>
      <c r="BF84" s="287"/>
      <c r="BG84" s="287"/>
      <c r="BH84" s="287"/>
      <c r="BI84" s="287"/>
      <c r="BJ84" s="287"/>
      <c r="BK84" s="287"/>
      <c r="BL84" s="287"/>
      <c r="BM84" s="287"/>
      <c r="BN84" s="287"/>
      <c r="BO84" s="287"/>
      <c r="BP84" s="287"/>
      <c r="BQ84" s="287"/>
      <c r="BR84" s="287"/>
      <c r="BS84" s="287"/>
      <c r="BT84" s="287"/>
      <c r="BU84" s="287"/>
      <c r="BV84" s="287"/>
      <c r="BW84" s="287"/>
      <c r="BX84" s="287"/>
      <c r="BY84" s="287"/>
      <c r="BZ84" s="287"/>
      <c r="CA84" s="287"/>
      <c r="CB84" s="287"/>
      <c r="CC84" s="287"/>
      <c r="CD84" s="287"/>
      <c r="CE84" s="287"/>
      <c r="CF84" s="287"/>
      <c r="CG84" s="287"/>
      <c r="CH84" s="287"/>
      <c r="CI84" s="287"/>
      <c r="CJ84" s="287"/>
      <c r="CK84" s="287"/>
      <c r="CL84" s="287"/>
      <c r="CM84" s="287"/>
      <c r="CN84" s="287"/>
      <c r="CO84" s="287"/>
      <c r="CP84" s="287"/>
      <c r="CQ84" s="287"/>
      <c r="CR84" s="287"/>
      <c r="CS84" s="287"/>
      <c r="CT84" s="287"/>
      <c r="CU84" s="287"/>
      <c r="CV84" s="287"/>
      <c r="CW84" s="287"/>
      <c r="CX84" s="287"/>
      <c r="CY84" s="287"/>
      <c r="CZ84" s="287"/>
      <c r="DA84" s="287"/>
      <c r="DB84" s="287"/>
      <c r="DC84" s="287"/>
      <c r="DD84" s="287"/>
      <c r="DE84" s="287"/>
      <c r="DF84" s="287"/>
      <c r="DG84" s="287"/>
      <c r="DH84" s="287"/>
      <c r="DI84" s="287"/>
      <c r="DJ84" s="287"/>
      <c r="DK84" s="287"/>
      <c r="DL84" s="287"/>
      <c r="DM84" s="287"/>
      <c r="DN84" s="287"/>
      <c r="DO84" s="287"/>
      <c r="DP84" s="287"/>
      <c r="DQ84" s="287"/>
      <c r="DR84" s="287"/>
      <c r="DS84" s="287"/>
      <c r="DT84" s="287"/>
      <c r="DU84" s="287"/>
      <c r="DV84" s="287"/>
      <c r="DW84" s="287"/>
      <c r="DX84" s="287"/>
      <c r="DY84" s="287"/>
      <c r="DZ84" s="287"/>
      <c r="EA84" s="287"/>
      <c r="EB84" s="287"/>
      <c r="EC84" s="287"/>
      <c r="ED84" s="287"/>
      <c r="EE84" s="287"/>
      <c r="EF84" s="287"/>
      <c r="EG84" s="287"/>
      <c r="EH84" s="287"/>
      <c r="EI84" s="287"/>
      <c r="EJ84" s="287"/>
      <c r="EK84" s="287"/>
      <c r="EL84" s="287"/>
      <c r="EM84" s="287"/>
      <c r="EN84" s="287"/>
      <c r="EO84" s="287"/>
      <c r="EP84" s="287"/>
      <c r="EQ84" s="287"/>
      <c r="ER84" s="287"/>
      <c r="ES84" s="287"/>
      <c r="ET84" s="287"/>
      <c r="EU84" s="287"/>
      <c r="EV84" s="287"/>
      <c r="EW84" s="287"/>
      <c r="EX84" s="287"/>
      <c r="EY84" s="287"/>
      <c r="EZ84" s="287"/>
      <c r="FA84" s="287"/>
      <c r="FB84" s="287"/>
      <c r="FC84" s="287"/>
      <c r="FD84" s="287"/>
      <c r="FE84" s="287"/>
      <c r="FF84" s="287"/>
      <c r="FG84" s="287"/>
      <c r="FH84" s="287"/>
      <c r="FI84" s="287"/>
      <c r="FJ84" s="287"/>
      <c r="FK84" s="287"/>
      <c r="FL84" s="287"/>
      <c r="FM84" s="287"/>
      <c r="FN84" s="287"/>
      <c r="FO84" s="287"/>
      <c r="FP84" s="287"/>
      <c r="FQ84" s="287"/>
      <c r="FR84" s="287"/>
      <c r="FS84" s="287"/>
      <c r="FT84" s="287"/>
      <c r="FU84" s="287"/>
      <c r="FV84" s="287"/>
      <c r="FW84" s="287"/>
      <c r="FX84" s="352"/>
    </row>
    <row r="85" spans="1:180" ht="19.95" customHeight="1">
      <c r="A85" s="322" t="s">
        <v>705</v>
      </c>
      <c r="B85" s="288" t="s">
        <v>706</v>
      </c>
      <c r="C85" s="348" t="s">
        <v>704</v>
      </c>
      <c r="D85" s="348">
        <v>300</v>
      </c>
      <c r="E85" s="348" t="s">
        <v>957</v>
      </c>
      <c r="F85" s="341">
        <v>30</v>
      </c>
      <c r="G85" s="328" t="s">
        <v>957</v>
      </c>
      <c r="H85" s="328">
        <v>0.6</v>
      </c>
      <c r="I85" s="328"/>
      <c r="J85" s="328"/>
      <c r="K85" s="328"/>
      <c r="L85" s="341"/>
      <c r="M85" s="341"/>
      <c r="N85" s="341"/>
      <c r="O85" s="328" t="s">
        <v>992</v>
      </c>
      <c r="P85" s="325">
        <v>5400</v>
      </c>
      <c r="Q85" s="349" t="s">
        <v>1661</v>
      </c>
      <c r="R85" s="287"/>
      <c r="S85" s="287"/>
      <c r="T85" s="287"/>
      <c r="U85" s="287"/>
      <c r="V85" s="287"/>
      <c r="W85" s="287"/>
      <c r="X85" s="287"/>
      <c r="Y85" s="287"/>
      <c r="Z85" s="287"/>
      <c r="AA85" s="287"/>
      <c r="AB85" s="287"/>
      <c r="AC85" s="287"/>
      <c r="AD85" s="287"/>
      <c r="AE85" s="287"/>
      <c r="AF85" s="287"/>
      <c r="AG85" s="287"/>
      <c r="AH85" s="287"/>
      <c r="AI85" s="287"/>
      <c r="AJ85" s="287"/>
      <c r="AK85" s="287"/>
      <c r="AL85" s="287"/>
      <c r="AM85" s="287"/>
      <c r="AN85" s="287"/>
      <c r="AO85" s="287"/>
      <c r="AP85" s="287"/>
      <c r="AQ85" s="287"/>
      <c r="AR85" s="287"/>
      <c r="AS85" s="287"/>
      <c r="AT85" s="287"/>
      <c r="AU85" s="287"/>
      <c r="AV85" s="287"/>
      <c r="AW85" s="287"/>
      <c r="AX85" s="287"/>
      <c r="AY85" s="287"/>
      <c r="AZ85" s="287"/>
      <c r="BA85" s="287"/>
      <c r="BB85" s="287"/>
      <c r="BC85" s="287"/>
      <c r="BD85" s="287"/>
      <c r="BE85" s="287"/>
      <c r="BF85" s="287"/>
      <c r="BG85" s="287"/>
      <c r="BH85" s="287"/>
      <c r="BI85" s="287"/>
      <c r="BJ85" s="287"/>
      <c r="BK85" s="287"/>
      <c r="BL85" s="287"/>
      <c r="BM85" s="287"/>
      <c r="BN85" s="287"/>
      <c r="BO85" s="287"/>
      <c r="BP85" s="287"/>
      <c r="BQ85" s="287"/>
      <c r="BR85" s="287"/>
      <c r="BS85" s="287"/>
      <c r="BT85" s="287"/>
      <c r="BU85" s="287"/>
      <c r="BV85" s="287"/>
      <c r="BW85" s="287"/>
      <c r="BX85" s="287"/>
      <c r="BY85" s="287"/>
      <c r="BZ85" s="287"/>
      <c r="CA85" s="287"/>
      <c r="CB85" s="287"/>
      <c r="CC85" s="287"/>
      <c r="CD85" s="287"/>
      <c r="CE85" s="287"/>
      <c r="CF85" s="287"/>
      <c r="CG85" s="287"/>
      <c r="CH85" s="287"/>
      <c r="CI85" s="287"/>
      <c r="CJ85" s="287"/>
      <c r="CK85" s="287"/>
      <c r="CL85" s="287"/>
      <c r="CM85" s="287"/>
      <c r="CN85" s="287"/>
      <c r="CO85" s="287"/>
      <c r="CP85" s="287"/>
      <c r="CQ85" s="287"/>
      <c r="CR85" s="287"/>
      <c r="CS85" s="287"/>
      <c r="CT85" s="287"/>
      <c r="CU85" s="287"/>
      <c r="CV85" s="287"/>
      <c r="CW85" s="287"/>
      <c r="CX85" s="287"/>
      <c r="CY85" s="287"/>
      <c r="CZ85" s="287"/>
      <c r="DA85" s="287"/>
      <c r="DB85" s="287"/>
      <c r="DC85" s="287"/>
      <c r="DD85" s="287"/>
      <c r="DE85" s="287"/>
      <c r="DF85" s="287"/>
      <c r="DG85" s="287"/>
      <c r="DH85" s="287"/>
      <c r="DI85" s="287"/>
      <c r="DJ85" s="287"/>
      <c r="DK85" s="287"/>
      <c r="DL85" s="287"/>
      <c r="DM85" s="287"/>
      <c r="DN85" s="287"/>
      <c r="DO85" s="287"/>
      <c r="DP85" s="287"/>
      <c r="DQ85" s="287"/>
      <c r="DR85" s="287"/>
      <c r="DS85" s="287"/>
      <c r="DT85" s="287"/>
      <c r="DU85" s="287"/>
      <c r="DV85" s="287"/>
      <c r="DW85" s="287"/>
      <c r="DX85" s="287"/>
      <c r="DY85" s="287"/>
      <c r="DZ85" s="287"/>
      <c r="EA85" s="287"/>
      <c r="EB85" s="287"/>
      <c r="EC85" s="287"/>
      <c r="ED85" s="287"/>
      <c r="EE85" s="287"/>
      <c r="EF85" s="287"/>
      <c r="EG85" s="287"/>
      <c r="EH85" s="287"/>
      <c r="EI85" s="287"/>
      <c r="EJ85" s="287"/>
      <c r="EK85" s="287"/>
      <c r="EL85" s="287"/>
      <c r="EM85" s="287"/>
      <c r="EN85" s="287"/>
      <c r="EO85" s="287"/>
      <c r="EP85" s="287"/>
      <c r="EQ85" s="287"/>
      <c r="ER85" s="287"/>
      <c r="ES85" s="287"/>
      <c r="ET85" s="287"/>
      <c r="EU85" s="287"/>
      <c r="EV85" s="287"/>
      <c r="EW85" s="287"/>
      <c r="EX85" s="287"/>
      <c r="EY85" s="287"/>
      <c r="EZ85" s="287"/>
      <c r="FA85" s="287"/>
      <c r="FB85" s="287"/>
      <c r="FC85" s="287"/>
      <c r="FD85" s="287"/>
      <c r="FE85" s="287"/>
      <c r="FF85" s="287"/>
      <c r="FG85" s="287"/>
      <c r="FH85" s="287"/>
      <c r="FI85" s="287"/>
      <c r="FJ85" s="287"/>
      <c r="FK85" s="287"/>
      <c r="FL85" s="287"/>
      <c r="FM85" s="287"/>
      <c r="FN85" s="287"/>
      <c r="FO85" s="287"/>
      <c r="FP85" s="287"/>
      <c r="FQ85" s="287"/>
      <c r="FR85" s="287"/>
      <c r="FS85" s="287"/>
      <c r="FT85" s="287"/>
      <c r="FU85" s="287"/>
      <c r="FV85" s="287"/>
      <c r="FW85" s="287"/>
      <c r="FX85" s="352"/>
    </row>
    <row r="86" spans="1:180" ht="19.95" customHeight="1">
      <c r="A86" s="322" t="s">
        <v>707</v>
      </c>
      <c r="B86" s="288" t="s">
        <v>708</v>
      </c>
      <c r="C86" s="348" t="s">
        <v>709</v>
      </c>
      <c r="D86" s="348">
        <v>5000</v>
      </c>
      <c r="E86" s="348" t="s">
        <v>957</v>
      </c>
      <c r="F86" s="341">
        <v>30</v>
      </c>
      <c r="G86" s="328"/>
      <c r="H86" s="328"/>
      <c r="I86" s="328"/>
      <c r="J86" s="328"/>
      <c r="K86" s="328"/>
      <c r="L86" s="341"/>
      <c r="M86" s="341"/>
      <c r="N86" s="341"/>
      <c r="O86" s="328" t="s">
        <v>992</v>
      </c>
      <c r="P86" s="325">
        <v>150000</v>
      </c>
      <c r="Q86" s="349" t="s">
        <v>1662</v>
      </c>
      <c r="R86" s="287"/>
      <c r="S86" s="287"/>
      <c r="T86" s="287"/>
      <c r="U86" s="287"/>
      <c r="V86" s="287"/>
      <c r="W86" s="287"/>
      <c r="X86" s="287"/>
      <c r="Y86" s="287"/>
      <c r="Z86" s="287"/>
      <c r="AA86" s="287"/>
      <c r="AB86" s="287"/>
      <c r="AC86" s="287"/>
      <c r="AD86" s="287"/>
      <c r="AE86" s="287"/>
      <c r="AF86" s="287"/>
      <c r="AG86" s="287"/>
      <c r="AH86" s="287"/>
      <c r="AI86" s="287"/>
      <c r="AJ86" s="287"/>
      <c r="AK86" s="287"/>
      <c r="AL86" s="287"/>
      <c r="AM86" s="287"/>
      <c r="AN86" s="287"/>
      <c r="AO86" s="287"/>
      <c r="AP86" s="287"/>
      <c r="AQ86" s="287"/>
      <c r="AR86" s="287"/>
      <c r="AS86" s="287"/>
      <c r="AT86" s="287"/>
      <c r="AU86" s="287"/>
      <c r="AV86" s="287"/>
      <c r="AW86" s="287"/>
      <c r="AX86" s="287"/>
      <c r="AY86" s="287"/>
      <c r="AZ86" s="287"/>
      <c r="BA86" s="287"/>
      <c r="BB86" s="287"/>
      <c r="BC86" s="287"/>
      <c r="BD86" s="287"/>
      <c r="BE86" s="287"/>
      <c r="BF86" s="287"/>
      <c r="BG86" s="287"/>
      <c r="BH86" s="287"/>
      <c r="BI86" s="287"/>
      <c r="BJ86" s="287"/>
      <c r="BK86" s="287"/>
      <c r="BL86" s="287"/>
      <c r="BM86" s="287"/>
      <c r="BN86" s="287"/>
      <c r="BO86" s="287"/>
      <c r="BP86" s="287"/>
      <c r="BQ86" s="287"/>
      <c r="BR86" s="287"/>
      <c r="BS86" s="287"/>
      <c r="BT86" s="287"/>
      <c r="BU86" s="287"/>
      <c r="BV86" s="287"/>
      <c r="BW86" s="287"/>
      <c r="BX86" s="287"/>
      <c r="BY86" s="287"/>
      <c r="BZ86" s="287"/>
      <c r="CA86" s="287"/>
      <c r="CB86" s="287"/>
      <c r="CC86" s="287"/>
      <c r="CD86" s="287"/>
      <c r="CE86" s="287"/>
      <c r="CF86" s="287"/>
      <c r="CG86" s="287"/>
      <c r="CH86" s="287"/>
      <c r="CI86" s="287"/>
      <c r="CJ86" s="287"/>
      <c r="CK86" s="287"/>
      <c r="CL86" s="287"/>
      <c r="CM86" s="287"/>
      <c r="CN86" s="287"/>
      <c r="CO86" s="287"/>
      <c r="CP86" s="287"/>
      <c r="CQ86" s="287"/>
      <c r="CR86" s="287"/>
      <c r="CS86" s="287"/>
      <c r="CT86" s="287"/>
      <c r="CU86" s="287"/>
      <c r="CV86" s="287"/>
      <c r="CW86" s="287"/>
      <c r="CX86" s="287"/>
      <c r="CY86" s="287"/>
      <c r="CZ86" s="287"/>
      <c r="DA86" s="287"/>
      <c r="DB86" s="287"/>
      <c r="DC86" s="287"/>
      <c r="DD86" s="287"/>
      <c r="DE86" s="287"/>
      <c r="DF86" s="287"/>
      <c r="DG86" s="287"/>
      <c r="DH86" s="287"/>
      <c r="DI86" s="287"/>
      <c r="DJ86" s="287"/>
      <c r="DK86" s="287"/>
      <c r="DL86" s="287"/>
      <c r="DM86" s="287"/>
      <c r="DN86" s="287"/>
      <c r="DO86" s="287"/>
      <c r="DP86" s="287"/>
      <c r="DQ86" s="287"/>
      <c r="DR86" s="287"/>
      <c r="DS86" s="287"/>
      <c r="DT86" s="287"/>
      <c r="DU86" s="287"/>
      <c r="DV86" s="287"/>
      <c r="DW86" s="287"/>
      <c r="DX86" s="287"/>
      <c r="DY86" s="287"/>
      <c r="DZ86" s="287"/>
      <c r="EA86" s="287"/>
      <c r="EB86" s="287"/>
      <c r="EC86" s="287"/>
      <c r="ED86" s="287"/>
      <c r="EE86" s="287"/>
      <c r="EF86" s="287"/>
      <c r="EG86" s="287"/>
      <c r="EH86" s="287"/>
      <c r="EI86" s="287"/>
      <c r="EJ86" s="287"/>
      <c r="EK86" s="287"/>
      <c r="EL86" s="287"/>
      <c r="EM86" s="287"/>
      <c r="EN86" s="287"/>
      <c r="EO86" s="287"/>
      <c r="EP86" s="287"/>
      <c r="EQ86" s="287"/>
      <c r="ER86" s="287"/>
      <c r="ES86" s="287"/>
      <c r="ET86" s="287"/>
      <c r="EU86" s="287"/>
      <c r="EV86" s="287"/>
      <c r="EW86" s="287"/>
      <c r="EX86" s="287"/>
      <c r="EY86" s="287"/>
      <c r="EZ86" s="287"/>
      <c r="FA86" s="287"/>
      <c r="FB86" s="287"/>
      <c r="FC86" s="287"/>
      <c r="FD86" s="287"/>
      <c r="FE86" s="287"/>
      <c r="FF86" s="287"/>
      <c r="FG86" s="287"/>
      <c r="FH86" s="287"/>
      <c r="FI86" s="287"/>
      <c r="FJ86" s="287"/>
      <c r="FK86" s="287"/>
      <c r="FL86" s="287"/>
      <c r="FM86" s="287"/>
      <c r="FN86" s="287"/>
      <c r="FO86" s="287"/>
      <c r="FP86" s="287"/>
      <c r="FQ86" s="287"/>
      <c r="FR86" s="287"/>
      <c r="FS86" s="287"/>
      <c r="FT86" s="287"/>
      <c r="FU86" s="287"/>
      <c r="FV86" s="287"/>
      <c r="FW86" s="287"/>
      <c r="FX86" s="352"/>
    </row>
    <row r="87" spans="1:180" ht="19.95" customHeight="1">
      <c r="A87" s="322" t="s">
        <v>710</v>
      </c>
      <c r="B87" s="288" t="s">
        <v>711</v>
      </c>
      <c r="C87" s="348" t="s">
        <v>654</v>
      </c>
      <c r="D87" s="326">
        <v>26881.360000000001</v>
      </c>
      <c r="E87" s="348"/>
      <c r="F87" s="341"/>
      <c r="G87" s="328"/>
      <c r="H87" s="328"/>
      <c r="I87" s="328"/>
      <c r="J87" s="328"/>
      <c r="K87" s="328"/>
      <c r="L87" s="341"/>
      <c r="M87" s="341"/>
      <c r="N87" s="341"/>
      <c r="O87" s="328" t="s">
        <v>992</v>
      </c>
      <c r="P87" s="325">
        <v>26881.360000000001</v>
      </c>
      <c r="Q87" s="349" t="s">
        <v>1025</v>
      </c>
      <c r="R87" s="287"/>
      <c r="S87" s="287"/>
      <c r="T87" s="287"/>
      <c r="U87" s="287"/>
      <c r="V87" s="287"/>
      <c r="W87" s="287"/>
      <c r="X87" s="287"/>
      <c r="Y87" s="287"/>
      <c r="Z87" s="287"/>
      <c r="AA87" s="287"/>
      <c r="AB87" s="287"/>
      <c r="AC87" s="287"/>
      <c r="AD87" s="287"/>
      <c r="AE87" s="287"/>
      <c r="AF87" s="287"/>
      <c r="AG87" s="287"/>
      <c r="AH87" s="287"/>
      <c r="AI87" s="287"/>
      <c r="AJ87" s="287"/>
      <c r="AK87" s="287"/>
      <c r="AL87" s="287"/>
      <c r="AM87" s="287"/>
      <c r="AN87" s="287"/>
      <c r="AO87" s="287"/>
      <c r="AP87" s="287"/>
      <c r="AQ87" s="287"/>
      <c r="AR87" s="287"/>
      <c r="AS87" s="287"/>
      <c r="AT87" s="287"/>
      <c r="AU87" s="287"/>
      <c r="AV87" s="287"/>
      <c r="AW87" s="287"/>
      <c r="AX87" s="287"/>
      <c r="AY87" s="287"/>
      <c r="AZ87" s="287"/>
      <c r="BA87" s="287"/>
      <c r="BB87" s="287"/>
      <c r="BC87" s="287"/>
      <c r="BD87" s="287"/>
      <c r="BE87" s="287"/>
      <c r="BF87" s="287"/>
      <c r="BG87" s="287"/>
      <c r="BH87" s="287"/>
      <c r="BI87" s="287"/>
      <c r="BJ87" s="287"/>
      <c r="BK87" s="287"/>
      <c r="BL87" s="287"/>
      <c r="BM87" s="287"/>
      <c r="BN87" s="287"/>
      <c r="BO87" s="287"/>
      <c r="BP87" s="287"/>
      <c r="BQ87" s="287"/>
      <c r="BR87" s="287"/>
      <c r="BS87" s="287"/>
      <c r="BT87" s="287"/>
      <c r="BU87" s="287"/>
      <c r="BV87" s="287"/>
      <c r="BW87" s="287"/>
      <c r="BX87" s="287"/>
      <c r="BY87" s="287"/>
      <c r="BZ87" s="287"/>
      <c r="CA87" s="287"/>
      <c r="CB87" s="287"/>
      <c r="CC87" s="287"/>
      <c r="CD87" s="287"/>
      <c r="CE87" s="287"/>
      <c r="CF87" s="287"/>
      <c r="CG87" s="287"/>
      <c r="CH87" s="287"/>
      <c r="CI87" s="287"/>
      <c r="CJ87" s="287"/>
      <c r="CK87" s="287"/>
      <c r="CL87" s="287"/>
      <c r="CM87" s="287"/>
      <c r="CN87" s="287"/>
      <c r="CO87" s="287"/>
      <c r="CP87" s="287"/>
      <c r="CQ87" s="287"/>
      <c r="CR87" s="287"/>
      <c r="CS87" s="287"/>
      <c r="CT87" s="287"/>
      <c r="CU87" s="287"/>
      <c r="CV87" s="287"/>
      <c r="CW87" s="287"/>
      <c r="CX87" s="287"/>
      <c r="CY87" s="287"/>
      <c r="CZ87" s="287"/>
      <c r="DA87" s="287"/>
      <c r="DB87" s="287"/>
      <c r="DC87" s="287"/>
      <c r="DD87" s="287"/>
      <c r="DE87" s="287"/>
      <c r="DF87" s="287"/>
      <c r="DG87" s="287"/>
      <c r="DH87" s="287"/>
      <c r="DI87" s="287"/>
      <c r="DJ87" s="287"/>
      <c r="DK87" s="287"/>
      <c r="DL87" s="287"/>
      <c r="DM87" s="287"/>
      <c r="DN87" s="287"/>
      <c r="DO87" s="287"/>
      <c r="DP87" s="287"/>
      <c r="DQ87" s="287"/>
      <c r="DR87" s="287"/>
      <c r="DS87" s="287"/>
      <c r="DT87" s="287"/>
      <c r="DU87" s="287"/>
      <c r="DV87" s="287"/>
      <c r="DW87" s="287"/>
      <c r="DX87" s="287"/>
      <c r="DY87" s="287"/>
      <c r="DZ87" s="287"/>
      <c r="EA87" s="287"/>
      <c r="EB87" s="287"/>
      <c r="EC87" s="287"/>
      <c r="ED87" s="287"/>
      <c r="EE87" s="287"/>
      <c r="EF87" s="287"/>
      <c r="EG87" s="287"/>
      <c r="EH87" s="287"/>
      <c r="EI87" s="287"/>
      <c r="EJ87" s="287"/>
      <c r="EK87" s="287"/>
      <c r="EL87" s="287"/>
      <c r="EM87" s="287"/>
      <c r="EN87" s="287"/>
      <c r="EO87" s="287"/>
      <c r="EP87" s="287"/>
      <c r="EQ87" s="287"/>
      <c r="ER87" s="287"/>
      <c r="ES87" s="287"/>
      <c r="ET87" s="287"/>
      <c r="EU87" s="287"/>
      <c r="EV87" s="287"/>
      <c r="EW87" s="287"/>
      <c r="EX87" s="287"/>
      <c r="EY87" s="287"/>
      <c r="EZ87" s="287"/>
      <c r="FA87" s="287"/>
      <c r="FB87" s="287"/>
      <c r="FC87" s="287"/>
      <c r="FD87" s="287"/>
      <c r="FE87" s="287"/>
      <c r="FF87" s="287"/>
      <c r="FG87" s="287"/>
      <c r="FH87" s="287"/>
      <c r="FI87" s="287"/>
      <c r="FJ87" s="287"/>
      <c r="FK87" s="287"/>
      <c r="FL87" s="287"/>
      <c r="FM87" s="287"/>
      <c r="FN87" s="287"/>
      <c r="FO87" s="287"/>
      <c r="FP87" s="287"/>
      <c r="FQ87" s="287"/>
      <c r="FR87" s="287"/>
      <c r="FS87" s="287"/>
      <c r="FT87" s="287"/>
      <c r="FU87" s="287"/>
      <c r="FV87" s="287"/>
      <c r="FW87" s="287"/>
      <c r="FX87" s="352"/>
    </row>
    <row r="88" spans="1:180" ht="19.95" customHeight="1">
      <c r="A88" s="322"/>
      <c r="B88" s="288"/>
      <c r="C88" s="348"/>
      <c r="D88" s="326"/>
      <c r="E88" s="348"/>
      <c r="F88" s="341"/>
      <c r="G88" s="328"/>
      <c r="H88" s="328"/>
      <c r="I88" s="328"/>
      <c r="J88" s="328"/>
      <c r="K88" s="328"/>
      <c r="L88" s="341"/>
      <c r="M88" s="341"/>
      <c r="N88" s="341"/>
      <c r="O88" s="328"/>
      <c r="P88" s="325"/>
      <c r="Q88" s="292"/>
      <c r="R88" s="287"/>
      <c r="S88" s="287"/>
      <c r="T88" s="287"/>
      <c r="U88" s="287"/>
      <c r="V88" s="287"/>
      <c r="W88" s="287"/>
      <c r="X88" s="287"/>
      <c r="Y88" s="287"/>
      <c r="Z88" s="287"/>
      <c r="AA88" s="287"/>
      <c r="AB88" s="287"/>
      <c r="AC88" s="287"/>
      <c r="AD88" s="287"/>
      <c r="AE88" s="287"/>
      <c r="AF88" s="287"/>
      <c r="AG88" s="287"/>
      <c r="AH88" s="287"/>
      <c r="AI88" s="287"/>
      <c r="AJ88" s="287"/>
      <c r="AK88" s="287"/>
      <c r="AL88" s="287"/>
      <c r="AM88" s="287"/>
      <c r="AN88" s="287"/>
      <c r="AO88" s="287"/>
      <c r="AP88" s="287"/>
      <c r="AQ88" s="287"/>
      <c r="AR88" s="287"/>
      <c r="AS88" s="287"/>
      <c r="AT88" s="287"/>
      <c r="AU88" s="287"/>
      <c r="AV88" s="287"/>
      <c r="AW88" s="287"/>
      <c r="AX88" s="287"/>
      <c r="AY88" s="287"/>
      <c r="AZ88" s="287"/>
      <c r="BA88" s="287"/>
      <c r="BB88" s="287"/>
      <c r="BC88" s="287"/>
      <c r="BD88" s="287"/>
      <c r="BE88" s="287"/>
      <c r="BF88" s="287"/>
      <c r="BG88" s="287"/>
      <c r="BH88" s="287"/>
      <c r="BI88" s="287"/>
      <c r="BJ88" s="287"/>
      <c r="BK88" s="287"/>
      <c r="BL88" s="287"/>
      <c r="BM88" s="287"/>
      <c r="BN88" s="287"/>
      <c r="BO88" s="287"/>
      <c r="BP88" s="287"/>
      <c r="BQ88" s="287"/>
      <c r="BR88" s="287"/>
      <c r="BS88" s="287"/>
      <c r="BT88" s="287"/>
      <c r="BU88" s="287"/>
      <c r="BV88" s="287"/>
      <c r="BW88" s="287"/>
      <c r="BX88" s="287"/>
      <c r="BY88" s="287"/>
      <c r="BZ88" s="287"/>
      <c r="CA88" s="287"/>
      <c r="CB88" s="287"/>
      <c r="CC88" s="287"/>
      <c r="CD88" s="287"/>
      <c r="CE88" s="287"/>
      <c r="CF88" s="287"/>
      <c r="CG88" s="287"/>
      <c r="CH88" s="287"/>
      <c r="CI88" s="287"/>
      <c r="CJ88" s="287"/>
      <c r="CK88" s="287"/>
      <c r="CL88" s="287"/>
      <c r="CM88" s="287"/>
      <c r="CN88" s="287"/>
      <c r="CO88" s="287"/>
      <c r="CP88" s="287"/>
      <c r="CQ88" s="287"/>
      <c r="CR88" s="287"/>
      <c r="CS88" s="287"/>
      <c r="CT88" s="287"/>
      <c r="CU88" s="287"/>
      <c r="CV88" s="287"/>
      <c r="CW88" s="287"/>
      <c r="CX88" s="287"/>
      <c r="CY88" s="287"/>
      <c r="CZ88" s="287"/>
      <c r="DA88" s="287"/>
      <c r="DB88" s="287"/>
      <c r="DC88" s="287"/>
      <c r="DD88" s="287"/>
      <c r="DE88" s="287"/>
      <c r="DF88" s="287"/>
      <c r="DG88" s="287"/>
      <c r="DH88" s="287"/>
      <c r="DI88" s="287"/>
      <c r="DJ88" s="287"/>
      <c r="DK88" s="287"/>
      <c r="DL88" s="287"/>
      <c r="DM88" s="287"/>
      <c r="DN88" s="287"/>
      <c r="DO88" s="287"/>
      <c r="DP88" s="287"/>
      <c r="DQ88" s="287"/>
      <c r="DR88" s="287"/>
      <c r="DS88" s="287"/>
      <c r="DT88" s="287"/>
      <c r="DU88" s="287"/>
      <c r="DV88" s="287"/>
      <c r="DW88" s="287"/>
      <c r="DX88" s="287"/>
      <c r="DY88" s="287"/>
      <c r="DZ88" s="287"/>
      <c r="EA88" s="287"/>
      <c r="EB88" s="287"/>
      <c r="EC88" s="287"/>
      <c r="ED88" s="287"/>
      <c r="EE88" s="287"/>
      <c r="EF88" s="287"/>
      <c r="EG88" s="287"/>
      <c r="EH88" s="287"/>
      <c r="EI88" s="287"/>
      <c r="EJ88" s="287"/>
      <c r="EK88" s="287"/>
      <c r="EL88" s="287"/>
      <c r="EM88" s="287"/>
      <c r="EN88" s="287"/>
      <c r="EO88" s="287"/>
      <c r="EP88" s="287"/>
      <c r="EQ88" s="287"/>
      <c r="ER88" s="287"/>
      <c r="ES88" s="287"/>
      <c r="ET88" s="287"/>
      <c r="EU88" s="287"/>
      <c r="EV88" s="287"/>
      <c r="EW88" s="287"/>
      <c r="EX88" s="287"/>
      <c r="EY88" s="287"/>
      <c r="EZ88" s="287"/>
      <c r="FA88" s="287"/>
      <c r="FB88" s="287"/>
      <c r="FC88" s="287"/>
      <c r="FD88" s="287"/>
      <c r="FE88" s="287"/>
      <c r="FF88" s="287"/>
      <c r="FG88" s="287"/>
      <c r="FH88" s="287"/>
      <c r="FI88" s="287"/>
      <c r="FJ88" s="287"/>
      <c r="FK88" s="287"/>
      <c r="FL88" s="287"/>
      <c r="FM88" s="287"/>
      <c r="FN88" s="287"/>
      <c r="FO88" s="287"/>
      <c r="FP88" s="287"/>
      <c r="FQ88" s="287"/>
      <c r="FR88" s="287"/>
      <c r="FS88" s="287"/>
      <c r="FT88" s="287"/>
      <c r="FU88" s="287"/>
      <c r="FV88" s="287"/>
      <c r="FW88" s="287"/>
      <c r="FX88" s="287"/>
    </row>
    <row r="89" spans="1:180" ht="19.95" customHeight="1">
      <c r="A89" s="333" t="s">
        <v>712</v>
      </c>
      <c r="B89" s="334" t="s">
        <v>713</v>
      </c>
      <c r="C89" s="334"/>
      <c r="D89" s="334"/>
      <c r="E89" s="334"/>
      <c r="F89" s="334"/>
      <c r="G89" s="334"/>
      <c r="H89" s="334"/>
      <c r="I89" s="334"/>
      <c r="J89" s="334"/>
      <c r="K89" s="334"/>
      <c r="L89" s="334"/>
      <c r="M89" s="334"/>
      <c r="N89" s="334"/>
      <c r="O89" s="334"/>
      <c r="P89" s="334"/>
      <c r="Q89" s="335"/>
      <c r="R89" s="355"/>
      <c r="S89" s="355"/>
      <c r="T89" s="355"/>
      <c r="U89" s="355"/>
      <c r="V89" s="355"/>
      <c r="W89" s="355"/>
      <c r="X89" s="355"/>
      <c r="Y89" s="355"/>
      <c r="Z89" s="355"/>
      <c r="AA89" s="355"/>
      <c r="AB89" s="355"/>
      <c r="AC89" s="355"/>
      <c r="AD89" s="355"/>
      <c r="AE89" s="355"/>
      <c r="AF89" s="355"/>
      <c r="AG89" s="355"/>
      <c r="AH89" s="355"/>
      <c r="AI89" s="355"/>
      <c r="AJ89" s="355"/>
      <c r="AK89" s="355"/>
      <c r="AL89" s="355"/>
      <c r="AM89" s="355"/>
      <c r="AN89" s="355"/>
      <c r="AO89" s="355"/>
      <c r="AP89" s="355"/>
      <c r="AQ89" s="355"/>
      <c r="AR89" s="355"/>
      <c r="AS89" s="355"/>
      <c r="AT89" s="355"/>
      <c r="AU89" s="355"/>
      <c r="AV89" s="355"/>
      <c r="AW89" s="355"/>
      <c r="AX89" s="355"/>
      <c r="AY89" s="355"/>
      <c r="AZ89" s="355"/>
      <c r="BA89" s="355"/>
      <c r="BB89" s="355"/>
      <c r="BC89" s="355"/>
      <c r="BD89" s="355"/>
      <c r="BE89" s="355"/>
      <c r="BF89" s="355"/>
      <c r="BG89" s="355"/>
      <c r="BH89" s="355"/>
      <c r="BI89" s="355"/>
      <c r="BJ89" s="355"/>
      <c r="BK89" s="355"/>
      <c r="BL89" s="355"/>
      <c r="BM89" s="355"/>
      <c r="BN89" s="355"/>
      <c r="BO89" s="355"/>
      <c r="BP89" s="355"/>
      <c r="BQ89" s="355"/>
      <c r="BR89" s="355"/>
      <c r="BS89" s="355"/>
      <c r="BT89" s="355"/>
      <c r="BU89" s="355"/>
      <c r="BV89" s="355"/>
      <c r="BW89" s="355"/>
      <c r="BX89" s="355"/>
      <c r="BY89" s="355"/>
      <c r="BZ89" s="355"/>
      <c r="CA89" s="355"/>
      <c r="CB89" s="355"/>
      <c r="CC89" s="355"/>
      <c r="CD89" s="355"/>
      <c r="CE89" s="355"/>
      <c r="CF89" s="355"/>
      <c r="CG89" s="355"/>
      <c r="CH89" s="355"/>
      <c r="CI89" s="355"/>
      <c r="CJ89" s="355"/>
      <c r="CK89" s="355"/>
      <c r="CL89" s="355"/>
      <c r="CM89" s="355"/>
      <c r="CN89" s="355"/>
      <c r="CO89" s="355"/>
      <c r="CP89" s="355"/>
      <c r="CQ89" s="355"/>
      <c r="CR89" s="355"/>
      <c r="CS89" s="355"/>
      <c r="CT89" s="355"/>
      <c r="CU89" s="355"/>
      <c r="CV89" s="355"/>
      <c r="CW89" s="355"/>
      <c r="CX89" s="355"/>
      <c r="CY89" s="355"/>
      <c r="CZ89" s="355"/>
      <c r="DA89" s="355"/>
      <c r="DB89" s="355"/>
      <c r="DC89" s="355"/>
      <c r="DD89" s="355"/>
      <c r="DE89" s="355"/>
      <c r="DF89" s="355"/>
      <c r="DG89" s="355"/>
      <c r="DH89" s="355"/>
      <c r="DI89" s="355"/>
      <c r="DJ89" s="355"/>
      <c r="DK89" s="355"/>
      <c r="DL89" s="355"/>
      <c r="DM89" s="355"/>
      <c r="DN89" s="355"/>
      <c r="DO89" s="355"/>
      <c r="DP89" s="355"/>
      <c r="DQ89" s="355"/>
      <c r="DR89" s="355"/>
      <c r="DS89" s="355"/>
      <c r="DT89" s="355"/>
      <c r="DU89" s="355"/>
      <c r="DV89" s="355"/>
      <c r="DW89" s="355"/>
      <c r="DX89" s="355"/>
      <c r="DY89" s="355"/>
      <c r="DZ89" s="355"/>
      <c r="EA89" s="355"/>
      <c r="EB89" s="355"/>
      <c r="EC89" s="355"/>
      <c r="ED89" s="355"/>
      <c r="EE89" s="355"/>
      <c r="EF89" s="355"/>
      <c r="EG89" s="355"/>
      <c r="EH89" s="355"/>
      <c r="EI89" s="355"/>
      <c r="EJ89" s="355"/>
      <c r="EK89" s="355"/>
      <c r="EL89" s="355"/>
      <c r="EM89" s="355"/>
      <c r="EN89" s="355"/>
      <c r="EO89" s="355"/>
      <c r="EP89" s="355"/>
      <c r="EQ89" s="355"/>
      <c r="ER89" s="355"/>
      <c r="ES89" s="355"/>
      <c r="ET89" s="355"/>
      <c r="EU89" s="355"/>
      <c r="EV89" s="355"/>
      <c r="EW89" s="355"/>
      <c r="EX89" s="355"/>
      <c r="EY89" s="355"/>
      <c r="EZ89" s="355"/>
      <c r="FA89" s="355"/>
      <c r="FB89" s="355"/>
      <c r="FC89" s="355"/>
      <c r="FD89" s="355"/>
      <c r="FE89" s="355"/>
      <c r="FF89" s="355"/>
      <c r="FG89" s="355"/>
      <c r="FH89" s="355"/>
      <c r="FI89" s="355"/>
      <c r="FJ89" s="355"/>
      <c r="FK89" s="355"/>
      <c r="FL89" s="355"/>
      <c r="FM89" s="355"/>
      <c r="FN89" s="355"/>
      <c r="FO89" s="355"/>
      <c r="FP89" s="355"/>
      <c r="FQ89" s="355"/>
      <c r="FR89" s="355"/>
      <c r="FS89" s="355"/>
      <c r="FT89" s="355"/>
      <c r="FU89" s="355"/>
      <c r="FV89" s="355"/>
      <c r="FW89" s="355"/>
      <c r="FX89" s="355"/>
    </row>
    <row r="90" spans="1:180" ht="19.95" customHeight="1">
      <c r="A90" s="356" t="s">
        <v>714</v>
      </c>
      <c r="B90" s="357" t="s">
        <v>715</v>
      </c>
      <c r="C90" s="358" t="s">
        <v>654</v>
      </c>
      <c r="D90" s="359">
        <v>26881.360000000001</v>
      </c>
      <c r="E90" s="359"/>
      <c r="F90" s="360"/>
      <c r="G90" s="360"/>
      <c r="H90" s="360"/>
      <c r="I90" s="360"/>
      <c r="J90" s="360"/>
      <c r="K90" s="360"/>
      <c r="L90" s="360"/>
      <c r="M90" s="360"/>
      <c r="N90" s="360"/>
      <c r="O90" s="360" t="s">
        <v>992</v>
      </c>
      <c r="P90" s="361">
        <v>26881.360000000001</v>
      </c>
      <c r="Q90" s="362" t="s">
        <v>1026</v>
      </c>
      <c r="R90" s="355"/>
      <c r="S90" s="355"/>
      <c r="T90" s="355"/>
      <c r="U90" s="355"/>
      <c r="V90" s="355"/>
      <c r="W90" s="355"/>
      <c r="X90" s="355"/>
      <c r="Y90" s="355"/>
      <c r="Z90" s="355"/>
      <c r="AA90" s="355"/>
      <c r="AB90" s="355"/>
      <c r="AC90" s="355"/>
      <c r="AD90" s="355"/>
      <c r="AE90" s="355"/>
      <c r="AF90" s="355"/>
      <c r="AG90" s="355"/>
      <c r="AH90" s="355"/>
      <c r="AI90" s="355"/>
      <c r="AJ90" s="355"/>
      <c r="AK90" s="355"/>
      <c r="AL90" s="355"/>
      <c r="AM90" s="355"/>
      <c r="AN90" s="355"/>
      <c r="AO90" s="355"/>
      <c r="AP90" s="355"/>
      <c r="AQ90" s="355"/>
      <c r="AR90" s="355"/>
      <c r="AS90" s="355"/>
      <c r="AT90" s="355"/>
      <c r="AU90" s="355"/>
      <c r="AV90" s="355"/>
      <c r="AW90" s="355"/>
      <c r="AX90" s="355"/>
      <c r="AY90" s="355"/>
      <c r="AZ90" s="355"/>
      <c r="BA90" s="355"/>
      <c r="BB90" s="355"/>
      <c r="BC90" s="355"/>
      <c r="BD90" s="355"/>
      <c r="BE90" s="355"/>
      <c r="BF90" s="355"/>
      <c r="BG90" s="355"/>
      <c r="BH90" s="355"/>
      <c r="BI90" s="355"/>
      <c r="BJ90" s="355"/>
      <c r="BK90" s="355"/>
      <c r="BL90" s="355"/>
      <c r="BM90" s="355"/>
      <c r="BN90" s="355"/>
      <c r="BO90" s="355"/>
      <c r="BP90" s="355"/>
      <c r="BQ90" s="355"/>
      <c r="BR90" s="355"/>
      <c r="BS90" s="355"/>
      <c r="BT90" s="355"/>
      <c r="BU90" s="355"/>
      <c r="BV90" s="355"/>
      <c r="BW90" s="355"/>
      <c r="BX90" s="355"/>
      <c r="BY90" s="355"/>
      <c r="BZ90" s="355"/>
      <c r="CA90" s="355"/>
      <c r="CB90" s="355"/>
      <c r="CC90" s="355"/>
      <c r="CD90" s="355"/>
      <c r="CE90" s="355"/>
      <c r="CF90" s="355"/>
      <c r="CG90" s="355"/>
      <c r="CH90" s="355"/>
      <c r="CI90" s="355"/>
      <c r="CJ90" s="355"/>
      <c r="CK90" s="355"/>
      <c r="CL90" s="355"/>
      <c r="CM90" s="355"/>
      <c r="CN90" s="355"/>
      <c r="CO90" s="355"/>
      <c r="CP90" s="355"/>
      <c r="CQ90" s="355"/>
      <c r="CR90" s="355"/>
      <c r="CS90" s="355"/>
      <c r="CT90" s="355"/>
      <c r="CU90" s="355"/>
      <c r="CV90" s="355"/>
      <c r="CW90" s="355"/>
      <c r="CX90" s="355"/>
      <c r="CY90" s="355"/>
      <c r="CZ90" s="355"/>
      <c r="DA90" s="355"/>
      <c r="DB90" s="355"/>
      <c r="DC90" s="355"/>
      <c r="DD90" s="355"/>
      <c r="DE90" s="355"/>
      <c r="DF90" s="355"/>
      <c r="DG90" s="355"/>
      <c r="DH90" s="355"/>
      <c r="DI90" s="355"/>
      <c r="DJ90" s="355"/>
      <c r="DK90" s="355"/>
      <c r="DL90" s="355"/>
      <c r="DM90" s="355"/>
      <c r="DN90" s="355"/>
      <c r="DO90" s="355"/>
      <c r="DP90" s="355"/>
      <c r="DQ90" s="355"/>
      <c r="DR90" s="355"/>
      <c r="DS90" s="355"/>
      <c r="DT90" s="355"/>
      <c r="DU90" s="355"/>
      <c r="DV90" s="355"/>
      <c r="DW90" s="355"/>
      <c r="DX90" s="355"/>
      <c r="DY90" s="355"/>
      <c r="DZ90" s="355"/>
      <c r="EA90" s="355"/>
      <c r="EB90" s="355"/>
      <c r="EC90" s="355"/>
      <c r="ED90" s="355"/>
      <c r="EE90" s="355"/>
      <c r="EF90" s="355"/>
      <c r="EG90" s="355"/>
      <c r="EH90" s="355"/>
      <c r="EI90" s="355"/>
      <c r="EJ90" s="355"/>
      <c r="EK90" s="355"/>
      <c r="EL90" s="355"/>
      <c r="EM90" s="355"/>
      <c r="EN90" s="355"/>
      <c r="EO90" s="355"/>
      <c r="EP90" s="355"/>
      <c r="EQ90" s="355"/>
      <c r="ER90" s="355"/>
      <c r="ES90" s="355"/>
      <c r="ET90" s="355"/>
      <c r="EU90" s="355"/>
      <c r="EV90" s="355"/>
      <c r="EW90" s="355"/>
      <c r="EX90" s="355"/>
      <c r="EY90" s="355"/>
      <c r="EZ90" s="355"/>
      <c r="FA90" s="355"/>
      <c r="FB90" s="355"/>
      <c r="FC90" s="355"/>
      <c r="FD90" s="355"/>
      <c r="FE90" s="355"/>
      <c r="FF90" s="355"/>
      <c r="FG90" s="355"/>
      <c r="FH90" s="355"/>
      <c r="FI90" s="355"/>
      <c r="FJ90" s="355"/>
      <c r="FK90" s="355"/>
      <c r="FL90" s="355"/>
      <c r="FM90" s="355"/>
      <c r="FN90" s="355"/>
      <c r="FO90" s="355"/>
      <c r="FP90" s="355"/>
      <c r="FQ90" s="355"/>
      <c r="FR90" s="355"/>
      <c r="FS90" s="355"/>
      <c r="FT90" s="355"/>
      <c r="FU90" s="355"/>
      <c r="FV90" s="355"/>
      <c r="FW90" s="355"/>
      <c r="FX90" s="355"/>
    </row>
    <row r="91" spans="1:180" ht="19.95" customHeight="1">
      <c r="A91" s="356" t="s">
        <v>716</v>
      </c>
      <c r="B91" s="357" t="s">
        <v>717</v>
      </c>
      <c r="C91" s="358" t="s">
        <v>704</v>
      </c>
      <c r="D91" s="359">
        <v>26881.360000000001</v>
      </c>
      <c r="E91" s="359" t="s">
        <v>952</v>
      </c>
      <c r="F91" s="360">
        <v>0.02</v>
      </c>
      <c r="G91" s="360"/>
      <c r="H91" s="360"/>
      <c r="I91" s="360"/>
      <c r="J91" s="360"/>
      <c r="K91" s="360"/>
      <c r="L91" s="360"/>
      <c r="M91" s="360"/>
      <c r="N91" s="360"/>
      <c r="O91" s="360" t="s">
        <v>992</v>
      </c>
      <c r="P91" s="361">
        <v>537.63</v>
      </c>
      <c r="Q91" s="363" t="s">
        <v>1663</v>
      </c>
      <c r="R91" s="355"/>
      <c r="S91" s="355"/>
      <c r="T91" s="355"/>
      <c r="U91" s="355"/>
      <c r="V91" s="355"/>
      <c r="W91" s="355"/>
      <c r="X91" s="355"/>
      <c r="Y91" s="355"/>
      <c r="Z91" s="355"/>
      <c r="AA91" s="355"/>
      <c r="AB91" s="355"/>
      <c r="AC91" s="355"/>
      <c r="AD91" s="355"/>
      <c r="AE91" s="355"/>
      <c r="AF91" s="355"/>
      <c r="AG91" s="355"/>
      <c r="AH91" s="355"/>
      <c r="AI91" s="355"/>
      <c r="AJ91" s="355"/>
      <c r="AK91" s="355"/>
      <c r="AL91" s="355"/>
      <c r="AM91" s="355"/>
      <c r="AN91" s="355"/>
      <c r="AO91" s="355"/>
      <c r="AP91" s="355"/>
      <c r="AQ91" s="355"/>
      <c r="AR91" s="355"/>
      <c r="AS91" s="355"/>
      <c r="AT91" s="355"/>
      <c r="AU91" s="355"/>
      <c r="AV91" s="355"/>
      <c r="AW91" s="355"/>
      <c r="AX91" s="355"/>
      <c r="AY91" s="355"/>
      <c r="AZ91" s="355"/>
      <c r="BA91" s="355"/>
      <c r="BB91" s="355"/>
      <c r="BC91" s="355"/>
      <c r="BD91" s="355"/>
      <c r="BE91" s="355"/>
      <c r="BF91" s="355"/>
      <c r="BG91" s="355"/>
      <c r="BH91" s="355"/>
      <c r="BI91" s="355"/>
      <c r="BJ91" s="355"/>
      <c r="BK91" s="355"/>
      <c r="BL91" s="355"/>
      <c r="BM91" s="355"/>
      <c r="BN91" s="355"/>
      <c r="BO91" s="355"/>
      <c r="BP91" s="355"/>
      <c r="BQ91" s="355"/>
      <c r="BR91" s="355"/>
      <c r="BS91" s="355"/>
      <c r="BT91" s="355"/>
      <c r="BU91" s="355"/>
      <c r="BV91" s="355"/>
      <c r="BW91" s="355"/>
      <c r="BX91" s="355"/>
      <c r="BY91" s="355"/>
      <c r="BZ91" s="355"/>
      <c r="CA91" s="355"/>
      <c r="CB91" s="355"/>
      <c r="CC91" s="355"/>
      <c r="CD91" s="355"/>
      <c r="CE91" s="355"/>
      <c r="CF91" s="355"/>
      <c r="CG91" s="355"/>
      <c r="CH91" s="355"/>
      <c r="CI91" s="355"/>
      <c r="CJ91" s="355"/>
      <c r="CK91" s="355"/>
      <c r="CL91" s="355"/>
      <c r="CM91" s="355"/>
      <c r="CN91" s="355"/>
      <c r="CO91" s="355"/>
      <c r="CP91" s="355"/>
      <c r="CQ91" s="355"/>
      <c r="CR91" s="355"/>
      <c r="CS91" s="355"/>
      <c r="CT91" s="355"/>
      <c r="CU91" s="355"/>
      <c r="CV91" s="355"/>
      <c r="CW91" s="355"/>
      <c r="CX91" s="355"/>
      <c r="CY91" s="355"/>
      <c r="CZ91" s="355"/>
      <c r="DA91" s="355"/>
      <c r="DB91" s="355"/>
      <c r="DC91" s="355"/>
      <c r="DD91" s="355"/>
      <c r="DE91" s="355"/>
      <c r="DF91" s="355"/>
      <c r="DG91" s="355"/>
      <c r="DH91" s="355"/>
      <c r="DI91" s="355"/>
      <c r="DJ91" s="355"/>
      <c r="DK91" s="355"/>
      <c r="DL91" s="355"/>
      <c r="DM91" s="355"/>
      <c r="DN91" s="355"/>
      <c r="DO91" s="355"/>
      <c r="DP91" s="355"/>
      <c r="DQ91" s="355"/>
      <c r="DR91" s="355"/>
      <c r="DS91" s="355"/>
      <c r="DT91" s="355"/>
      <c r="DU91" s="355"/>
      <c r="DV91" s="355"/>
      <c r="DW91" s="355"/>
      <c r="DX91" s="355"/>
      <c r="DY91" s="355"/>
      <c r="DZ91" s="355"/>
      <c r="EA91" s="355"/>
      <c r="EB91" s="355"/>
      <c r="EC91" s="355"/>
      <c r="ED91" s="355"/>
      <c r="EE91" s="355"/>
      <c r="EF91" s="355"/>
      <c r="EG91" s="355"/>
      <c r="EH91" s="355"/>
      <c r="EI91" s="355"/>
      <c r="EJ91" s="355"/>
      <c r="EK91" s="355"/>
      <c r="EL91" s="355"/>
      <c r="EM91" s="355"/>
      <c r="EN91" s="355"/>
      <c r="EO91" s="355"/>
      <c r="EP91" s="355"/>
      <c r="EQ91" s="355"/>
      <c r="ER91" s="355"/>
      <c r="ES91" s="355"/>
      <c r="ET91" s="355"/>
      <c r="EU91" s="355"/>
      <c r="EV91" s="355"/>
      <c r="EW91" s="355"/>
      <c r="EX91" s="355"/>
      <c r="EY91" s="355"/>
      <c r="EZ91" s="355"/>
      <c r="FA91" s="355"/>
      <c r="FB91" s="355"/>
      <c r="FC91" s="355"/>
      <c r="FD91" s="355"/>
      <c r="FE91" s="355"/>
      <c r="FF91" s="355"/>
      <c r="FG91" s="355"/>
      <c r="FH91" s="355"/>
      <c r="FI91" s="355"/>
      <c r="FJ91" s="355"/>
      <c r="FK91" s="355"/>
      <c r="FL91" s="355"/>
      <c r="FM91" s="355"/>
      <c r="FN91" s="355"/>
      <c r="FO91" s="355"/>
      <c r="FP91" s="355"/>
      <c r="FQ91" s="355"/>
      <c r="FR91" s="355"/>
      <c r="FS91" s="355"/>
      <c r="FT91" s="355"/>
      <c r="FU91" s="355"/>
      <c r="FV91" s="355"/>
      <c r="FW91" s="355"/>
      <c r="FX91" s="355"/>
    </row>
    <row r="92" spans="1:180" ht="19.95" customHeight="1">
      <c r="A92" s="356" t="s">
        <v>718</v>
      </c>
      <c r="B92" s="357" t="s">
        <v>719</v>
      </c>
      <c r="C92" s="358" t="s">
        <v>654</v>
      </c>
      <c r="D92" s="359">
        <v>204.54</v>
      </c>
      <c r="E92" s="359" t="s">
        <v>957</v>
      </c>
      <c r="F92" s="360">
        <v>8</v>
      </c>
      <c r="G92" s="360" t="s">
        <v>952</v>
      </c>
      <c r="H92" s="360">
        <v>1.2</v>
      </c>
      <c r="I92" s="360"/>
      <c r="J92" s="360"/>
      <c r="K92" s="360"/>
      <c r="L92" s="360"/>
      <c r="M92" s="360"/>
      <c r="N92" s="360"/>
      <c r="O92" s="360" t="s">
        <v>992</v>
      </c>
      <c r="P92" s="361">
        <v>1963.58</v>
      </c>
      <c r="Q92" s="363" t="s">
        <v>1664</v>
      </c>
      <c r="R92" s="355"/>
      <c r="S92" s="355"/>
      <c r="T92" s="355"/>
      <c r="U92" s="355"/>
      <c r="V92" s="355"/>
      <c r="W92" s="355"/>
      <c r="X92" s="355"/>
      <c r="Y92" s="355"/>
      <c r="Z92" s="355"/>
      <c r="AA92" s="355"/>
      <c r="AB92" s="355"/>
      <c r="AC92" s="355"/>
      <c r="AD92" s="355"/>
      <c r="AE92" s="355"/>
      <c r="AF92" s="355"/>
      <c r="AG92" s="355"/>
      <c r="AH92" s="355"/>
      <c r="AI92" s="355"/>
      <c r="AJ92" s="355"/>
      <c r="AK92" s="355"/>
      <c r="AL92" s="355"/>
      <c r="AM92" s="355"/>
      <c r="AN92" s="355"/>
      <c r="AO92" s="355"/>
      <c r="AP92" s="355"/>
      <c r="AQ92" s="355"/>
      <c r="AR92" s="355"/>
      <c r="AS92" s="355"/>
      <c r="AT92" s="355"/>
      <c r="AU92" s="355"/>
      <c r="AV92" s="355"/>
      <c r="AW92" s="355"/>
      <c r="AX92" s="355"/>
      <c r="AY92" s="355"/>
      <c r="AZ92" s="355"/>
      <c r="BA92" s="355"/>
      <c r="BB92" s="355"/>
      <c r="BC92" s="355"/>
      <c r="BD92" s="355"/>
      <c r="BE92" s="355"/>
      <c r="BF92" s="355"/>
      <c r="BG92" s="355"/>
      <c r="BH92" s="355"/>
      <c r="BI92" s="355"/>
      <c r="BJ92" s="355"/>
      <c r="BK92" s="355"/>
      <c r="BL92" s="355"/>
      <c r="BM92" s="355"/>
      <c r="BN92" s="355"/>
      <c r="BO92" s="355"/>
      <c r="BP92" s="355"/>
      <c r="BQ92" s="355"/>
      <c r="BR92" s="355"/>
      <c r="BS92" s="355"/>
      <c r="BT92" s="355"/>
      <c r="BU92" s="355"/>
      <c r="BV92" s="355"/>
      <c r="BW92" s="355"/>
      <c r="BX92" s="355"/>
      <c r="BY92" s="355"/>
      <c r="BZ92" s="355"/>
      <c r="CA92" s="355"/>
      <c r="CB92" s="355"/>
      <c r="CC92" s="355"/>
      <c r="CD92" s="355"/>
      <c r="CE92" s="355"/>
      <c r="CF92" s="355"/>
      <c r="CG92" s="355"/>
      <c r="CH92" s="355"/>
      <c r="CI92" s="355"/>
      <c r="CJ92" s="355"/>
      <c r="CK92" s="355"/>
      <c r="CL92" s="355"/>
      <c r="CM92" s="355"/>
      <c r="CN92" s="355"/>
      <c r="CO92" s="355"/>
      <c r="CP92" s="355"/>
      <c r="CQ92" s="355"/>
      <c r="CR92" s="355"/>
      <c r="CS92" s="355"/>
      <c r="CT92" s="355"/>
      <c r="CU92" s="355"/>
      <c r="CV92" s="355"/>
      <c r="CW92" s="355"/>
      <c r="CX92" s="355"/>
      <c r="CY92" s="355"/>
      <c r="CZ92" s="355"/>
      <c r="DA92" s="355"/>
      <c r="DB92" s="355"/>
      <c r="DC92" s="355"/>
      <c r="DD92" s="355"/>
      <c r="DE92" s="355"/>
      <c r="DF92" s="355"/>
      <c r="DG92" s="355"/>
      <c r="DH92" s="355"/>
      <c r="DI92" s="355"/>
      <c r="DJ92" s="355"/>
      <c r="DK92" s="355"/>
      <c r="DL92" s="355"/>
      <c r="DM92" s="355"/>
      <c r="DN92" s="355"/>
      <c r="DO92" s="355"/>
      <c r="DP92" s="355"/>
      <c r="DQ92" s="355"/>
      <c r="DR92" s="355"/>
      <c r="DS92" s="355"/>
      <c r="DT92" s="355"/>
      <c r="DU92" s="355"/>
      <c r="DV92" s="355"/>
      <c r="DW92" s="355"/>
      <c r="DX92" s="355"/>
      <c r="DY92" s="355"/>
      <c r="DZ92" s="355"/>
      <c r="EA92" s="355"/>
      <c r="EB92" s="355"/>
      <c r="EC92" s="355"/>
      <c r="ED92" s="355"/>
      <c r="EE92" s="355"/>
      <c r="EF92" s="355"/>
      <c r="EG92" s="355"/>
      <c r="EH92" s="355"/>
      <c r="EI92" s="355"/>
      <c r="EJ92" s="355"/>
      <c r="EK92" s="355"/>
      <c r="EL92" s="355"/>
      <c r="EM92" s="355"/>
      <c r="EN92" s="355"/>
      <c r="EO92" s="355"/>
      <c r="EP92" s="355"/>
      <c r="EQ92" s="355"/>
      <c r="ER92" s="355"/>
      <c r="ES92" s="355"/>
      <c r="ET92" s="355"/>
      <c r="EU92" s="355"/>
      <c r="EV92" s="355"/>
      <c r="EW92" s="355"/>
      <c r="EX92" s="355"/>
      <c r="EY92" s="355"/>
      <c r="EZ92" s="355"/>
      <c r="FA92" s="355"/>
      <c r="FB92" s="355"/>
      <c r="FC92" s="355"/>
      <c r="FD92" s="355"/>
      <c r="FE92" s="355"/>
      <c r="FF92" s="355"/>
      <c r="FG92" s="355"/>
      <c r="FH92" s="355"/>
      <c r="FI92" s="355"/>
      <c r="FJ92" s="355"/>
      <c r="FK92" s="355"/>
      <c r="FL92" s="355"/>
      <c r="FM92" s="355"/>
      <c r="FN92" s="355"/>
      <c r="FO92" s="355"/>
      <c r="FP92" s="355"/>
      <c r="FQ92" s="355"/>
      <c r="FR92" s="355"/>
      <c r="FS92" s="355"/>
      <c r="FT92" s="355"/>
      <c r="FU92" s="355"/>
      <c r="FV92" s="355"/>
      <c r="FW92" s="355"/>
      <c r="FX92" s="355"/>
    </row>
    <row r="93" spans="1:180" ht="19.95" customHeight="1">
      <c r="A93" s="322"/>
      <c r="B93" s="288"/>
      <c r="C93" s="327"/>
      <c r="D93" s="327"/>
      <c r="E93" s="327"/>
      <c r="F93" s="328"/>
      <c r="G93" s="328"/>
      <c r="H93" s="328"/>
      <c r="I93" s="328"/>
      <c r="J93" s="328"/>
      <c r="K93" s="328"/>
      <c r="L93" s="328"/>
      <c r="M93" s="328"/>
      <c r="N93" s="328"/>
      <c r="O93" s="328"/>
      <c r="P93" s="325"/>
      <c r="Q93" s="363"/>
      <c r="R93" s="355"/>
      <c r="S93" s="355"/>
      <c r="T93" s="355"/>
      <c r="U93" s="355"/>
      <c r="V93" s="355"/>
      <c r="W93" s="355"/>
      <c r="X93" s="355"/>
      <c r="Y93" s="355"/>
      <c r="Z93" s="355"/>
      <c r="AA93" s="355"/>
      <c r="AB93" s="355"/>
      <c r="AC93" s="355"/>
      <c r="AD93" s="355"/>
      <c r="AE93" s="355"/>
      <c r="AF93" s="355"/>
      <c r="AG93" s="355"/>
      <c r="AH93" s="355"/>
      <c r="AI93" s="355"/>
      <c r="AJ93" s="355"/>
      <c r="AK93" s="355"/>
      <c r="AL93" s="355"/>
      <c r="AM93" s="355"/>
      <c r="AN93" s="355"/>
      <c r="AO93" s="355"/>
      <c r="AP93" s="355"/>
      <c r="AQ93" s="355"/>
      <c r="AR93" s="355"/>
      <c r="AS93" s="355"/>
      <c r="AT93" s="355"/>
      <c r="AU93" s="355"/>
      <c r="AV93" s="355"/>
      <c r="AW93" s="355"/>
      <c r="AX93" s="355"/>
      <c r="AY93" s="355"/>
      <c r="AZ93" s="355"/>
      <c r="BA93" s="355"/>
      <c r="BB93" s="355"/>
      <c r="BC93" s="355"/>
      <c r="BD93" s="355"/>
      <c r="BE93" s="355"/>
      <c r="BF93" s="355"/>
      <c r="BG93" s="355"/>
      <c r="BH93" s="355"/>
      <c r="BI93" s="355"/>
      <c r="BJ93" s="355"/>
      <c r="BK93" s="355"/>
      <c r="BL93" s="355"/>
      <c r="BM93" s="355"/>
      <c r="BN93" s="355"/>
      <c r="BO93" s="355"/>
      <c r="BP93" s="355"/>
      <c r="BQ93" s="355"/>
      <c r="BR93" s="355"/>
      <c r="BS93" s="355"/>
      <c r="BT93" s="355"/>
      <c r="BU93" s="355"/>
      <c r="BV93" s="355"/>
      <c r="BW93" s="355"/>
      <c r="BX93" s="355"/>
      <c r="BY93" s="355"/>
      <c r="BZ93" s="355"/>
      <c r="CA93" s="355"/>
      <c r="CB93" s="355"/>
      <c r="CC93" s="355"/>
      <c r="CD93" s="355"/>
      <c r="CE93" s="355"/>
      <c r="CF93" s="355"/>
      <c r="CG93" s="355"/>
      <c r="CH93" s="355"/>
      <c r="CI93" s="355"/>
      <c r="CJ93" s="355"/>
      <c r="CK93" s="355"/>
      <c r="CL93" s="355"/>
      <c r="CM93" s="355"/>
      <c r="CN93" s="355"/>
      <c r="CO93" s="355"/>
      <c r="CP93" s="355"/>
      <c r="CQ93" s="355"/>
      <c r="CR93" s="355"/>
      <c r="CS93" s="355"/>
      <c r="CT93" s="355"/>
      <c r="CU93" s="355"/>
      <c r="CV93" s="355"/>
      <c r="CW93" s="355"/>
      <c r="CX93" s="355"/>
      <c r="CY93" s="355"/>
      <c r="CZ93" s="355"/>
      <c r="DA93" s="355"/>
      <c r="DB93" s="355"/>
      <c r="DC93" s="355"/>
      <c r="DD93" s="355"/>
      <c r="DE93" s="355"/>
      <c r="DF93" s="355"/>
      <c r="DG93" s="355"/>
      <c r="DH93" s="355"/>
      <c r="DI93" s="355"/>
      <c r="DJ93" s="355"/>
      <c r="DK93" s="355"/>
      <c r="DL93" s="355"/>
      <c r="DM93" s="355"/>
      <c r="DN93" s="355"/>
      <c r="DO93" s="355"/>
      <c r="DP93" s="355"/>
      <c r="DQ93" s="355"/>
      <c r="DR93" s="355"/>
      <c r="DS93" s="355"/>
      <c r="DT93" s="355"/>
      <c r="DU93" s="355"/>
      <c r="DV93" s="355"/>
      <c r="DW93" s="355"/>
      <c r="DX93" s="355"/>
      <c r="DY93" s="355"/>
      <c r="DZ93" s="355"/>
      <c r="EA93" s="355"/>
      <c r="EB93" s="355"/>
      <c r="EC93" s="355"/>
      <c r="ED93" s="355"/>
      <c r="EE93" s="355"/>
      <c r="EF93" s="355"/>
      <c r="EG93" s="355"/>
      <c r="EH93" s="355"/>
      <c r="EI93" s="355"/>
      <c r="EJ93" s="355"/>
      <c r="EK93" s="355"/>
      <c r="EL93" s="355"/>
      <c r="EM93" s="355"/>
      <c r="EN93" s="355"/>
      <c r="EO93" s="355"/>
      <c r="EP93" s="355"/>
      <c r="EQ93" s="355"/>
      <c r="ER93" s="355"/>
      <c r="ES93" s="355"/>
      <c r="ET93" s="355"/>
      <c r="EU93" s="355"/>
      <c r="EV93" s="355"/>
      <c r="EW93" s="355"/>
      <c r="EX93" s="355"/>
      <c r="EY93" s="355"/>
      <c r="EZ93" s="355"/>
      <c r="FA93" s="355"/>
      <c r="FB93" s="355"/>
      <c r="FC93" s="355"/>
      <c r="FD93" s="355"/>
      <c r="FE93" s="355"/>
      <c r="FF93" s="355"/>
      <c r="FG93" s="355"/>
      <c r="FH93" s="355"/>
      <c r="FI93" s="355"/>
      <c r="FJ93" s="355"/>
      <c r="FK93" s="355"/>
      <c r="FL93" s="355"/>
      <c r="FM93" s="355"/>
      <c r="FN93" s="355"/>
      <c r="FO93" s="355"/>
      <c r="FP93" s="355"/>
      <c r="FQ93" s="355"/>
      <c r="FR93" s="355"/>
      <c r="FS93" s="355"/>
      <c r="FT93" s="355"/>
      <c r="FU93" s="355"/>
      <c r="FV93" s="355"/>
      <c r="FW93" s="355"/>
      <c r="FX93" s="355"/>
    </row>
    <row r="94" spans="1:180" ht="19.95" customHeight="1">
      <c r="A94" s="333">
        <v>2</v>
      </c>
      <c r="B94" s="364" t="s">
        <v>721</v>
      </c>
      <c r="C94" s="365"/>
      <c r="D94" s="365"/>
      <c r="E94" s="365"/>
      <c r="F94" s="364"/>
      <c r="G94" s="364"/>
      <c r="H94" s="364"/>
      <c r="I94" s="364"/>
      <c r="J94" s="364"/>
      <c r="K94" s="364"/>
      <c r="L94" s="364"/>
      <c r="M94" s="364"/>
      <c r="N94" s="364"/>
      <c r="O94" s="364"/>
      <c r="P94" s="364"/>
      <c r="Q94" s="335"/>
      <c r="R94" s="287"/>
      <c r="S94" s="287"/>
      <c r="T94" s="287"/>
      <c r="U94" s="287"/>
      <c r="V94" s="287"/>
      <c r="W94" s="287"/>
      <c r="X94" s="287"/>
      <c r="Y94" s="287"/>
      <c r="Z94" s="287"/>
      <c r="AA94" s="287"/>
      <c r="AB94" s="287"/>
      <c r="AC94" s="287"/>
      <c r="AD94" s="287"/>
      <c r="AE94" s="287"/>
      <c r="AF94" s="287"/>
      <c r="AG94" s="287"/>
      <c r="AH94" s="287"/>
      <c r="AI94" s="287"/>
      <c r="AJ94" s="287"/>
      <c r="AK94" s="287"/>
      <c r="AL94" s="287"/>
      <c r="AM94" s="287"/>
      <c r="AN94" s="287"/>
      <c r="AO94" s="287"/>
      <c r="AP94" s="287"/>
      <c r="AQ94" s="287"/>
      <c r="AR94" s="287"/>
      <c r="AS94" s="287"/>
      <c r="AT94" s="287"/>
      <c r="AU94" s="287"/>
      <c r="AV94" s="287"/>
      <c r="AW94" s="287"/>
      <c r="AX94" s="287"/>
      <c r="AY94" s="287"/>
      <c r="AZ94" s="287"/>
      <c r="BA94" s="287"/>
      <c r="BB94" s="287"/>
      <c r="BC94" s="287"/>
      <c r="BD94" s="287"/>
      <c r="BE94" s="287"/>
      <c r="BF94" s="287"/>
      <c r="BG94" s="287"/>
      <c r="BH94" s="287"/>
      <c r="BI94" s="287"/>
      <c r="BJ94" s="287"/>
      <c r="BK94" s="287"/>
      <c r="BL94" s="287"/>
      <c r="BM94" s="287"/>
      <c r="BN94" s="287"/>
      <c r="BO94" s="287"/>
      <c r="BP94" s="287"/>
      <c r="BQ94" s="287"/>
      <c r="BR94" s="287"/>
      <c r="BS94" s="287"/>
      <c r="BT94" s="287"/>
      <c r="BU94" s="287"/>
      <c r="BV94" s="287"/>
      <c r="BW94" s="287"/>
      <c r="BX94" s="287"/>
      <c r="BY94" s="287"/>
      <c r="BZ94" s="287"/>
      <c r="CA94" s="287"/>
      <c r="CB94" s="287"/>
      <c r="CC94" s="287"/>
      <c r="CD94" s="287"/>
      <c r="CE94" s="287"/>
      <c r="CF94" s="287"/>
      <c r="CG94" s="287"/>
      <c r="CH94" s="287"/>
      <c r="CI94" s="287"/>
      <c r="CJ94" s="287"/>
      <c r="CK94" s="287"/>
      <c r="CL94" s="287"/>
      <c r="CM94" s="287"/>
      <c r="CN94" s="287"/>
      <c r="CO94" s="287"/>
      <c r="CP94" s="287"/>
      <c r="CQ94" s="287"/>
      <c r="CR94" s="287"/>
      <c r="CS94" s="287"/>
      <c r="CT94" s="287"/>
      <c r="CU94" s="287"/>
      <c r="CV94" s="287"/>
      <c r="CW94" s="287"/>
      <c r="CX94" s="287"/>
      <c r="CY94" s="287"/>
      <c r="CZ94" s="287"/>
      <c r="DA94" s="287"/>
      <c r="DB94" s="287"/>
      <c r="DC94" s="287"/>
      <c r="DD94" s="287"/>
      <c r="DE94" s="287"/>
      <c r="DF94" s="287"/>
      <c r="DG94" s="287"/>
      <c r="DH94" s="287"/>
      <c r="DI94" s="287"/>
      <c r="DJ94" s="287"/>
      <c r="DK94" s="287"/>
      <c r="DL94" s="287"/>
      <c r="DM94" s="287"/>
      <c r="DN94" s="287"/>
      <c r="DO94" s="287"/>
      <c r="DP94" s="287"/>
      <c r="DQ94" s="287"/>
      <c r="DR94" s="287"/>
      <c r="DS94" s="287"/>
      <c r="DT94" s="287"/>
      <c r="DU94" s="287"/>
      <c r="DV94" s="287"/>
      <c r="DW94" s="287"/>
      <c r="DX94" s="287"/>
      <c r="DY94" s="287"/>
      <c r="DZ94" s="287"/>
      <c r="EA94" s="287"/>
      <c r="EB94" s="287"/>
      <c r="EC94" s="287"/>
      <c r="ED94" s="287"/>
      <c r="EE94" s="287"/>
      <c r="EF94" s="287"/>
      <c r="EG94" s="287"/>
      <c r="EH94" s="287"/>
      <c r="EI94" s="287"/>
      <c r="EJ94" s="287"/>
      <c r="EK94" s="287"/>
      <c r="EL94" s="287"/>
      <c r="EM94" s="287"/>
      <c r="EN94" s="287"/>
      <c r="EO94" s="287"/>
      <c r="EP94" s="287"/>
      <c r="EQ94" s="287"/>
      <c r="ER94" s="287"/>
      <c r="ES94" s="287"/>
      <c r="ET94" s="287"/>
      <c r="EU94" s="287"/>
      <c r="EV94" s="287"/>
      <c r="EW94" s="287"/>
      <c r="EX94" s="287"/>
      <c r="EY94" s="287"/>
      <c r="EZ94" s="287"/>
      <c r="FA94" s="287"/>
      <c r="FB94" s="287"/>
      <c r="FC94" s="287"/>
      <c r="FD94" s="287"/>
      <c r="FE94" s="287"/>
      <c r="FF94" s="287"/>
      <c r="FG94" s="287"/>
      <c r="FH94" s="287"/>
      <c r="FI94" s="287"/>
      <c r="FJ94" s="287"/>
      <c r="FK94" s="287"/>
      <c r="FL94" s="287"/>
      <c r="FM94" s="287"/>
      <c r="FN94" s="287"/>
      <c r="FO94" s="287"/>
      <c r="FP94" s="287"/>
      <c r="FQ94" s="287"/>
      <c r="FR94" s="287"/>
      <c r="FS94" s="287"/>
      <c r="FT94" s="287"/>
      <c r="FU94" s="287"/>
      <c r="FV94" s="287"/>
      <c r="FW94" s="287"/>
      <c r="FX94" s="287"/>
    </row>
    <row r="95" spans="1:180" ht="19.95" customHeight="1">
      <c r="A95" s="319" t="s">
        <v>722</v>
      </c>
      <c r="B95" s="320" t="s">
        <v>723</v>
      </c>
      <c r="C95" s="320"/>
      <c r="D95" s="320"/>
      <c r="E95" s="320"/>
      <c r="F95" s="320"/>
      <c r="G95" s="320"/>
      <c r="H95" s="320"/>
      <c r="I95" s="320"/>
      <c r="J95" s="320"/>
      <c r="K95" s="320"/>
      <c r="L95" s="320"/>
      <c r="M95" s="320"/>
      <c r="N95" s="320"/>
      <c r="O95" s="320"/>
      <c r="P95" s="320"/>
      <c r="Q95" s="292"/>
      <c r="R95" s="287"/>
      <c r="S95" s="287"/>
      <c r="T95" s="287"/>
      <c r="U95" s="287"/>
      <c r="V95" s="287"/>
      <c r="W95" s="287"/>
      <c r="X95" s="287"/>
      <c r="Y95" s="287"/>
      <c r="Z95" s="287"/>
      <c r="AA95" s="287"/>
      <c r="AB95" s="287"/>
      <c r="AC95" s="287"/>
      <c r="AD95" s="287"/>
      <c r="AE95" s="287"/>
      <c r="AF95" s="287"/>
      <c r="AG95" s="287"/>
      <c r="AH95" s="287"/>
      <c r="AI95" s="287"/>
      <c r="AJ95" s="287"/>
      <c r="AK95" s="287"/>
      <c r="AL95" s="287"/>
      <c r="AM95" s="287"/>
      <c r="AN95" s="287"/>
      <c r="AO95" s="287"/>
      <c r="AP95" s="287"/>
      <c r="AQ95" s="287"/>
      <c r="AR95" s="287"/>
      <c r="AS95" s="287"/>
      <c r="AT95" s="287"/>
      <c r="AU95" s="287"/>
      <c r="AV95" s="287"/>
      <c r="AW95" s="287"/>
      <c r="AX95" s="287"/>
      <c r="AY95" s="287"/>
      <c r="AZ95" s="287"/>
      <c r="BA95" s="287"/>
      <c r="BB95" s="287"/>
      <c r="BC95" s="287"/>
      <c r="BD95" s="287"/>
      <c r="BE95" s="287"/>
      <c r="BF95" s="287"/>
      <c r="BG95" s="287"/>
      <c r="BH95" s="287"/>
      <c r="BI95" s="287"/>
      <c r="BJ95" s="287"/>
      <c r="BK95" s="287"/>
      <c r="BL95" s="287"/>
      <c r="BM95" s="287"/>
      <c r="BN95" s="287"/>
      <c r="BO95" s="287"/>
      <c r="BP95" s="287"/>
      <c r="BQ95" s="287"/>
      <c r="BR95" s="287"/>
      <c r="BS95" s="287"/>
      <c r="BT95" s="287"/>
      <c r="BU95" s="287"/>
      <c r="BV95" s="287"/>
      <c r="BW95" s="287"/>
      <c r="BX95" s="287"/>
      <c r="BY95" s="287"/>
      <c r="BZ95" s="287"/>
      <c r="CA95" s="287"/>
      <c r="CB95" s="287"/>
      <c r="CC95" s="287"/>
      <c r="CD95" s="287"/>
      <c r="CE95" s="287"/>
      <c r="CF95" s="287"/>
      <c r="CG95" s="287"/>
      <c r="CH95" s="287"/>
      <c r="CI95" s="287"/>
      <c r="CJ95" s="287"/>
      <c r="CK95" s="287"/>
      <c r="CL95" s="287"/>
      <c r="CM95" s="287"/>
      <c r="CN95" s="287"/>
      <c r="CO95" s="287"/>
      <c r="CP95" s="287"/>
      <c r="CQ95" s="287"/>
      <c r="CR95" s="287"/>
      <c r="CS95" s="287"/>
      <c r="CT95" s="287"/>
      <c r="CU95" s="287"/>
      <c r="CV95" s="287"/>
      <c r="CW95" s="287"/>
      <c r="CX95" s="287"/>
      <c r="CY95" s="287"/>
      <c r="CZ95" s="287"/>
      <c r="DA95" s="287"/>
      <c r="DB95" s="287"/>
      <c r="DC95" s="287"/>
      <c r="DD95" s="287"/>
      <c r="DE95" s="287"/>
      <c r="DF95" s="287"/>
      <c r="DG95" s="287"/>
      <c r="DH95" s="287"/>
      <c r="DI95" s="287"/>
      <c r="DJ95" s="287"/>
      <c r="DK95" s="287"/>
      <c r="DL95" s="287"/>
      <c r="DM95" s="287"/>
      <c r="DN95" s="287"/>
      <c r="DO95" s="287"/>
      <c r="DP95" s="287"/>
      <c r="DQ95" s="287"/>
      <c r="DR95" s="287"/>
      <c r="DS95" s="287"/>
      <c r="DT95" s="287"/>
      <c r="DU95" s="287"/>
      <c r="DV95" s="287"/>
      <c r="DW95" s="287"/>
      <c r="DX95" s="287"/>
      <c r="DY95" s="287"/>
      <c r="DZ95" s="287"/>
      <c r="EA95" s="287"/>
      <c r="EB95" s="287"/>
      <c r="EC95" s="287"/>
      <c r="ED95" s="287"/>
      <c r="EE95" s="287"/>
      <c r="EF95" s="287"/>
      <c r="EG95" s="287"/>
      <c r="EH95" s="287"/>
      <c r="EI95" s="287"/>
      <c r="EJ95" s="287"/>
      <c r="EK95" s="287"/>
      <c r="EL95" s="287"/>
      <c r="EM95" s="287"/>
      <c r="EN95" s="287"/>
      <c r="EO95" s="287"/>
      <c r="EP95" s="287"/>
      <c r="EQ95" s="287"/>
      <c r="ER95" s="287"/>
      <c r="ES95" s="287"/>
      <c r="ET95" s="287"/>
      <c r="EU95" s="287"/>
      <c r="EV95" s="287"/>
      <c r="EW95" s="287"/>
      <c r="EX95" s="287"/>
      <c r="EY95" s="287"/>
      <c r="EZ95" s="287"/>
      <c r="FA95" s="287"/>
      <c r="FB95" s="287"/>
      <c r="FC95" s="287"/>
      <c r="FD95" s="287"/>
      <c r="FE95" s="287"/>
      <c r="FF95" s="287"/>
      <c r="FG95" s="287"/>
      <c r="FH95" s="287"/>
      <c r="FI95" s="287"/>
      <c r="FJ95" s="287"/>
      <c r="FK95" s="287"/>
      <c r="FL95" s="287"/>
      <c r="FM95" s="287"/>
      <c r="FN95" s="287"/>
      <c r="FO95" s="287"/>
      <c r="FP95" s="287"/>
      <c r="FQ95" s="287"/>
      <c r="FR95" s="287"/>
      <c r="FS95" s="287"/>
      <c r="FT95" s="287"/>
      <c r="FU95" s="287"/>
      <c r="FV95" s="287"/>
      <c r="FW95" s="287"/>
      <c r="FX95" s="287"/>
    </row>
    <row r="96" spans="1:180" ht="19.95" customHeight="1">
      <c r="A96" s="322" t="s">
        <v>724</v>
      </c>
      <c r="B96" s="338" t="s">
        <v>726</v>
      </c>
      <c r="C96" s="358" t="s">
        <v>654</v>
      </c>
      <c r="D96" s="359">
        <v>16694.62</v>
      </c>
      <c r="E96" s="359"/>
      <c r="F96" s="360"/>
      <c r="G96" s="360"/>
      <c r="H96" s="360"/>
      <c r="I96" s="360"/>
      <c r="J96" s="360"/>
      <c r="K96" s="360"/>
      <c r="L96" s="360"/>
      <c r="M96" s="360"/>
      <c r="N96" s="360"/>
      <c r="O96" s="360" t="s">
        <v>992</v>
      </c>
      <c r="P96" s="361">
        <v>16694.62</v>
      </c>
      <c r="Q96" s="363" t="s">
        <v>1027</v>
      </c>
    </row>
    <row r="97" spans="1:17" ht="129.6">
      <c r="A97" s="322" t="s">
        <v>727</v>
      </c>
      <c r="B97" s="338" t="s">
        <v>1665</v>
      </c>
      <c r="C97" s="358" t="s">
        <v>704</v>
      </c>
      <c r="D97" s="359">
        <v>40701</v>
      </c>
      <c r="E97" s="359" t="s">
        <v>1000</v>
      </c>
      <c r="F97" s="360"/>
      <c r="G97" s="360"/>
      <c r="H97" s="360"/>
      <c r="I97" s="360"/>
      <c r="J97" s="360"/>
      <c r="K97" s="360"/>
      <c r="L97" s="360"/>
      <c r="M97" s="360"/>
      <c r="N97" s="360"/>
      <c r="O97" s="360" t="s">
        <v>992</v>
      </c>
      <c r="P97" s="361">
        <v>40701</v>
      </c>
      <c r="Q97" s="363" t="s">
        <v>1666</v>
      </c>
    </row>
    <row r="98" spans="1:17" ht="43.2">
      <c r="A98" s="322" t="s">
        <v>728</v>
      </c>
      <c r="B98" s="338" t="s">
        <v>1028</v>
      </c>
      <c r="C98" s="358" t="s">
        <v>1029</v>
      </c>
      <c r="D98" s="359">
        <v>40701</v>
      </c>
      <c r="E98" s="359" t="s">
        <v>1000</v>
      </c>
      <c r="F98" s="360">
        <v>0</v>
      </c>
      <c r="G98" s="360" t="s">
        <v>1030</v>
      </c>
      <c r="H98" s="360">
        <v>1663.2</v>
      </c>
      <c r="I98" s="360" t="s">
        <v>952</v>
      </c>
      <c r="J98" s="360">
        <v>1.2</v>
      </c>
      <c r="K98" s="360" t="s">
        <v>957</v>
      </c>
      <c r="L98" s="360">
        <v>8</v>
      </c>
      <c r="M98" s="360"/>
      <c r="N98" s="360"/>
      <c r="O98" s="360" t="s">
        <v>992</v>
      </c>
      <c r="P98" s="361">
        <f>+(D98-H98)*J98*L98</f>
        <v>374762.88</v>
      </c>
      <c r="Q98" s="363" t="s">
        <v>1667</v>
      </c>
    </row>
    <row r="99" spans="1:17" ht="115.2">
      <c r="A99" s="322" t="s">
        <v>730</v>
      </c>
      <c r="B99" s="338" t="s">
        <v>1031</v>
      </c>
      <c r="C99" s="358" t="s">
        <v>704</v>
      </c>
      <c r="D99" s="359">
        <v>40701</v>
      </c>
      <c r="E99" s="359" t="s">
        <v>1000</v>
      </c>
      <c r="F99" s="360">
        <v>0</v>
      </c>
      <c r="G99" s="360" t="s">
        <v>1030</v>
      </c>
      <c r="H99" s="360">
        <v>1663.2</v>
      </c>
      <c r="I99" s="360" t="s">
        <v>957</v>
      </c>
      <c r="J99" s="360">
        <v>1.2</v>
      </c>
      <c r="K99" s="360"/>
      <c r="L99" s="360"/>
      <c r="M99" s="360"/>
      <c r="N99" s="360"/>
      <c r="O99" s="360" t="s">
        <v>992</v>
      </c>
      <c r="P99" s="361">
        <f>+(D99-H99)*J99</f>
        <v>46845.36</v>
      </c>
      <c r="Q99" s="363" t="s">
        <v>1032</v>
      </c>
    </row>
    <row r="100" spans="1:17" ht="43.2">
      <c r="A100" s="322" t="s">
        <v>732</v>
      </c>
      <c r="B100" s="357" t="s">
        <v>734</v>
      </c>
      <c r="C100" s="358" t="s">
        <v>704</v>
      </c>
      <c r="D100" s="359">
        <v>2772</v>
      </c>
      <c r="E100" s="359" t="s">
        <v>1649</v>
      </c>
      <c r="F100" s="360">
        <v>0.6</v>
      </c>
      <c r="G100" s="360"/>
      <c r="H100" s="360"/>
      <c r="I100" s="360"/>
      <c r="J100" s="360"/>
      <c r="K100" s="360"/>
      <c r="L100" s="360"/>
      <c r="M100" s="360"/>
      <c r="N100" s="360"/>
      <c r="O100" s="360" t="s">
        <v>992</v>
      </c>
      <c r="P100" s="361">
        <v>1663.2</v>
      </c>
      <c r="Q100" s="363" t="s">
        <v>1668</v>
      </c>
    </row>
    <row r="101" spans="1:17" ht="19.95" customHeight="1">
      <c r="A101" s="322"/>
      <c r="B101" s="340"/>
      <c r="C101" s="366"/>
      <c r="D101" s="359"/>
      <c r="E101" s="359"/>
      <c r="F101" s="360"/>
      <c r="G101" s="360"/>
      <c r="H101" s="360"/>
      <c r="I101" s="360"/>
      <c r="J101" s="360"/>
      <c r="K101" s="360"/>
      <c r="L101" s="360"/>
      <c r="M101" s="360"/>
      <c r="N101" s="360"/>
      <c r="O101" s="360"/>
      <c r="P101" s="361"/>
      <c r="Q101" s="363"/>
    </row>
    <row r="102" spans="1:17" ht="19.95" customHeight="1">
      <c r="A102" s="322" t="s">
        <v>735</v>
      </c>
      <c r="B102" s="340" t="s">
        <v>737</v>
      </c>
      <c r="C102" s="366" t="s">
        <v>704</v>
      </c>
      <c r="D102" s="359">
        <v>1663.2</v>
      </c>
      <c r="E102" s="359"/>
      <c r="F102" s="360"/>
      <c r="G102" s="360"/>
      <c r="H102" s="360"/>
      <c r="I102" s="360"/>
      <c r="J102" s="360"/>
      <c r="K102" s="360"/>
      <c r="L102" s="360"/>
      <c r="M102" s="360"/>
      <c r="N102" s="360"/>
      <c r="O102" s="360" t="s">
        <v>992</v>
      </c>
      <c r="P102" s="361">
        <v>1663.2</v>
      </c>
      <c r="Q102" s="363" t="s">
        <v>1033</v>
      </c>
    </row>
    <row r="103" spans="1:17" ht="19.95" customHeight="1">
      <c r="A103" s="322" t="s">
        <v>738</v>
      </c>
      <c r="B103" s="340" t="s">
        <v>739</v>
      </c>
      <c r="C103" s="366" t="s">
        <v>998</v>
      </c>
      <c r="D103" s="359">
        <v>40701</v>
      </c>
      <c r="E103" s="359" t="s">
        <v>1625</v>
      </c>
      <c r="F103" s="360">
        <v>1663.2</v>
      </c>
      <c r="G103" s="360"/>
      <c r="H103" s="360"/>
      <c r="I103" s="360"/>
      <c r="J103" s="360"/>
      <c r="K103" s="360"/>
      <c r="L103" s="360"/>
      <c r="M103" s="360"/>
      <c r="N103" s="360"/>
      <c r="O103" s="360" t="s">
        <v>992</v>
      </c>
      <c r="P103" s="361">
        <v>39037.800000000003</v>
      </c>
      <c r="Q103" s="363" t="s">
        <v>1669</v>
      </c>
    </row>
    <row r="104" spans="1:17" ht="19.95" customHeight="1">
      <c r="A104" s="322"/>
      <c r="B104" s="340"/>
      <c r="C104" s="367"/>
      <c r="D104" s="367"/>
      <c r="E104" s="367"/>
      <c r="F104" s="328"/>
      <c r="G104" s="328"/>
      <c r="H104" s="328"/>
      <c r="I104" s="328"/>
      <c r="J104" s="328"/>
      <c r="K104" s="328"/>
      <c r="L104" s="328"/>
      <c r="M104" s="328"/>
      <c r="N104" s="328"/>
      <c r="O104" s="328"/>
      <c r="P104" s="325"/>
      <c r="Q104" s="368"/>
    </row>
    <row r="105" spans="1:17" ht="19.95" customHeight="1">
      <c r="A105" s="333" t="s">
        <v>741</v>
      </c>
      <c r="B105" s="369" t="s">
        <v>742</v>
      </c>
      <c r="C105" s="369"/>
      <c r="D105" s="369"/>
      <c r="E105" s="369"/>
      <c r="F105" s="369"/>
      <c r="G105" s="369"/>
      <c r="H105" s="369"/>
      <c r="I105" s="364"/>
      <c r="J105" s="364"/>
      <c r="K105" s="364"/>
      <c r="L105" s="364"/>
      <c r="M105" s="364"/>
      <c r="N105" s="364"/>
      <c r="O105" s="364"/>
      <c r="P105" s="364"/>
      <c r="Q105" s="335"/>
    </row>
    <row r="106" spans="1:17" s="285" customFormat="1" ht="28.8">
      <c r="A106" s="385"/>
      <c r="B106" s="340" t="s">
        <v>1672</v>
      </c>
      <c r="C106" s="286" t="s">
        <v>646</v>
      </c>
      <c r="D106" s="286">
        <v>168</v>
      </c>
      <c r="E106" s="286" t="s">
        <v>1634</v>
      </c>
      <c r="F106" s="286">
        <v>0.4</v>
      </c>
      <c r="G106" s="286" t="s">
        <v>1634</v>
      </c>
      <c r="H106" s="286">
        <v>0.4</v>
      </c>
      <c r="I106" s="391"/>
      <c r="J106" s="391"/>
      <c r="K106" s="391"/>
      <c r="L106" s="391"/>
      <c r="M106" s="391"/>
      <c r="N106" s="391"/>
      <c r="O106" s="391" t="s">
        <v>1619</v>
      </c>
      <c r="P106" s="391">
        <f>+H106*F106*D106</f>
        <v>26.880000000000006</v>
      </c>
      <c r="Q106" s="363"/>
    </row>
    <row r="107" spans="1:17" ht="72">
      <c r="A107" s="322" t="s">
        <v>744</v>
      </c>
      <c r="B107" s="340" t="s">
        <v>1034</v>
      </c>
      <c r="C107" s="327" t="s">
        <v>654</v>
      </c>
      <c r="D107" s="291">
        <v>168</v>
      </c>
      <c r="E107" s="290" t="s">
        <v>1634</v>
      </c>
      <c r="F107" s="290">
        <v>1</v>
      </c>
      <c r="G107" s="328"/>
      <c r="H107" s="328"/>
      <c r="I107" s="328"/>
      <c r="J107" s="370"/>
      <c r="K107" s="328"/>
      <c r="L107" s="328"/>
      <c r="M107" s="328"/>
      <c r="N107" s="328"/>
      <c r="O107" s="328" t="s">
        <v>992</v>
      </c>
      <c r="P107" s="325">
        <v>168</v>
      </c>
      <c r="Q107" s="292" t="s">
        <v>1670</v>
      </c>
    </row>
    <row r="108" spans="1:17" ht="57.6">
      <c r="A108" s="322" t="s">
        <v>745</v>
      </c>
      <c r="B108" s="340" t="s">
        <v>747</v>
      </c>
      <c r="C108" s="327" t="s">
        <v>654</v>
      </c>
      <c r="D108" s="291">
        <v>168</v>
      </c>
      <c r="E108" s="327"/>
      <c r="F108" s="328"/>
      <c r="G108" s="328"/>
      <c r="H108" s="328"/>
      <c r="I108" s="328"/>
      <c r="J108" s="370"/>
      <c r="K108" s="328"/>
      <c r="L108" s="328"/>
      <c r="M108" s="328"/>
      <c r="N108" s="328"/>
      <c r="O108" s="328" t="s">
        <v>992</v>
      </c>
      <c r="P108" s="325">
        <v>168</v>
      </c>
      <c r="Q108" s="292"/>
    </row>
    <row r="109" spans="1:17" ht="86.4">
      <c r="A109" s="322" t="s">
        <v>748</v>
      </c>
      <c r="B109" s="340" t="s">
        <v>1035</v>
      </c>
      <c r="C109" s="327" t="s">
        <v>654</v>
      </c>
      <c r="D109" s="291">
        <v>168</v>
      </c>
      <c r="E109" s="327"/>
      <c r="F109" s="328"/>
      <c r="G109" s="328"/>
      <c r="H109" s="328"/>
      <c r="I109" s="328"/>
      <c r="J109" s="370"/>
      <c r="K109" s="328"/>
      <c r="L109" s="328"/>
      <c r="M109" s="328"/>
      <c r="N109" s="328"/>
      <c r="O109" s="328" t="s">
        <v>992</v>
      </c>
      <c r="P109" s="325">
        <v>168</v>
      </c>
      <c r="Q109" s="292" t="s">
        <v>1671</v>
      </c>
    </row>
    <row r="110" spans="1:17" ht="19.95" customHeight="1">
      <c r="A110" s="322"/>
      <c r="B110" s="288"/>
      <c r="C110" s="348"/>
      <c r="D110" s="348"/>
      <c r="E110" s="348"/>
      <c r="F110" s="341"/>
      <c r="G110" s="328"/>
      <c r="H110" s="328"/>
      <c r="I110" s="328"/>
      <c r="J110" s="328"/>
      <c r="K110" s="328"/>
      <c r="L110" s="341"/>
      <c r="M110" s="341"/>
      <c r="N110" s="341"/>
      <c r="O110" s="328"/>
      <c r="P110" s="325"/>
      <c r="Q110" s="292"/>
    </row>
    <row r="111" spans="1:17" ht="19.95" customHeight="1">
      <c r="A111" s="333" t="s">
        <v>749</v>
      </c>
      <c r="B111" s="364" t="s">
        <v>750</v>
      </c>
      <c r="C111" s="364"/>
      <c r="D111" s="364"/>
      <c r="E111" s="364"/>
      <c r="F111" s="364"/>
      <c r="G111" s="364"/>
      <c r="H111" s="364"/>
      <c r="I111" s="364"/>
      <c r="J111" s="364"/>
      <c r="K111" s="364"/>
      <c r="L111" s="364"/>
      <c r="M111" s="364"/>
      <c r="N111" s="364"/>
      <c r="O111" s="364"/>
      <c r="P111" s="364"/>
      <c r="Q111" s="335"/>
    </row>
    <row r="112" spans="1:17" ht="19.95" customHeight="1">
      <c r="A112" s="385"/>
      <c r="B112" s="392" t="s">
        <v>1531</v>
      </c>
      <c r="C112" s="286" t="s">
        <v>1940</v>
      </c>
      <c r="D112" s="391"/>
      <c r="E112" s="391"/>
      <c r="F112" s="391"/>
      <c r="G112" s="391"/>
      <c r="H112" s="391"/>
      <c r="I112" s="391"/>
      <c r="J112" s="391"/>
      <c r="K112" s="391"/>
      <c r="L112" s="391"/>
      <c r="M112" s="391"/>
      <c r="N112" s="391"/>
      <c r="O112" s="391"/>
      <c r="P112" s="391"/>
      <c r="Q112" s="363"/>
    </row>
    <row r="113" spans="1:17" ht="28.8">
      <c r="A113" s="322" t="s">
        <v>751</v>
      </c>
      <c r="B113" s="340" t="s">
        <v>1939</v>
      </c>
      <c r="C113" s="367" t="s">
        <v>704</v>
      </c>
      <c r="D113" s="371">
        <v>383.05</v>
      </c>
      <c r="E113" s="367" t="s">
        <v>1634</v>
      </c>
      <c r="F113" s="328">
        <v>1</v>
      </c>
      <c r="G113" s="328" t="s">
        <v>1634</v>
      </c>
      <c r="H113" s="328">
        <v>1</v>
      </c>
      <c r="I113" s="328"/>
      <c r="J113" s="328"/>
      <c r="K113" s="328"/>
      <c r="L113" s="328"/>
      <c r="M113" s="328"/>
      <c r="N113" s="328"/>
      <c r="O113" s="328" t="s">
        <v>992</v>
      </c>
      <c r="P113" s="325">
        <f>+D113*F113*H113</f>
        <v>383.05</v>
      </c>
      <c r="Q113" s="292" t="s">
        <v>1673</v>
      </c>
    </row>
    <row r="114" spans="1:17" ht="43.2">
      <c r="A114" s="322"/>
      <c r="B114" s="288" t="s">
        <v>1674</v>
      </c>
      <c r="C114" s="327" t="s">
        <v>998</v>
      </c>
      <c r="D114" s="291">
        <f>P113</f>
        <v>383.05</v>
      </c>
      <c r="E114" s="327" t="s">
        <v>1625</v>
      </c>
      <c r="F114" s="328">
        <f>P119</f>
        <v>168.54199999999997</v>
      </c>
      <c r="G114" s="328" t="s">
        <v>1625</v>
      </c>
      <c r="H114" s="328">
        <f>P116</f>
        <v>19.1525</v>
      </c>
      <c r="I114" s="328"/>
      <c r="J114" s="328"/>
      <c r="K114" s="328"/>
      <c r="L114" s="328"/>
      <c r="M114" s="328"/>
      <c r="N114" s="328"/>
      <c r="O114" s="328" t="s">
        <v>1619</v>
      </c>
      <c r="P114" s="325">
        <f>+D114-F114-H114</f>
        <v>195.35550000000003</v>
      </c>
      <c r="Q114" s="374" t="s">
        <v>1675</v>
      </c>
    </row>
    <row r="115" spans="1:17" ht="86.4">
      <c r="A115" s="322"/>
      <c r="B115" s="288" t="s">
        <v>761</v>
      </c>
      <c r="C115" s="327" t="s">
        <v>654</v>
      </c>
      <c r="D115" s="330">
        <v>383.05</v>
      </c>
      <c r="E115" s="327" t="s">
        <v>957</v>
      </c>
      <c r="F115" s="290">
        <v>1</v>
      </c>
      <c r="G115" s="290"/>
      <c r="H115" s="290"/>
      <c r="I115" s="328"/>
      <c r="J115" s="328"/>
      <c r="K115" s="328"/>
      <c r="L115" s="328"/>
      <c r="M115" s="328"/>
      <c r="N115" s="328"/>
      <c r="O115" s="328" t="s">
        <v>992</v>
      </c>
      <c r="P115" s="325">
        <v>383.05</v>
      </c>
      <c r="Q115" s="292" t="s">
        <v>1676</v>
      </c>
    </row>
    <row r="116" spans="1:17" ht="43.2">
      <c r="A116" s="322"/>
      <c r="B116" s="288" t="s">
        <v>1677</v>
      </c>
      <c r="C116" s="327" t="s">
        <v>646</v>
      </c>
      <c r="D116" s="327">
        <v>383.05</v>
      </c>
      <c r="E116" s="327" t="s">
        <v>1634</v>
      </c>
      <c r="F116" s="328">
        <v>0.05</v>
      </c>
      <c r="G116" s="328" t="s">
        <v>1622</v>
      </c>
      <c r="H116" s="328"/>
      <c r="I116" s="328" t="s">
        <v>1634</v>
      </c>
      <c r="J116" s="328"/>
      <c r="K116" s="328"/>
      <c r="L116" s="328"/>
      <c r="M116" s="328"/>
      <c r="N116" s="328"/>
      <c r="O116" s="328" t="s">
        <v>1619</v>
      </c>
      <c r="P116" s="325">
        <f>+D116*F116</f>
        <v>19.1525</v>
      </c>
      <c r="Q116" s="374" t="s">
        <v>1678</v>
      </c>
    </row>
    <row r="117" spans="1:17" ht="72">
      <c r="A117" s="322"/>
      <c r="B117" s="288" t="s">
        <v>772</v>
      </c>
      <c r="C117" s="348" t="s">
        <v>654</v>
      </c>
      <c r="D117" s="327">
        <v>383.05</v>
      </c>
      <c r="E117" s="348" t="s">
        <v>1649</v>
      </c>
      <c r="F117" s="291">
        <v>1</v>
      </c>
      <c r="G117" s="290" t="s">
        <v>1634</v>
      </c>
      <c r="H117" s="291">
        <v>2</v>
      </c>
      <c r="I117" s="290"/>
      <c r="J117" s="331"/>
      <c r="K117" s="290"/>
      <c r="L117" s="291"/>
      <c r="M117" s="291"/>
      <c r="N117" s="291"/>
      <c r="O117" s="328" t="s">
        <v>992</v>
      </c>
      <c r="P117" s="325">
        <f>+D117*F117*H117</f>
        <v>766.1</v>
      </c>
      <c r="Q117" s="292" t="s">
        <v>1679</v>
      </c>
    </row>
    <row r="118" spans="1:17" ht="43.2">
      <c r="A118" s="322"/>
      <c r="B118" s="288" t="s">
        <v>756</v>
      </c>
      <c r="C118" s="348" t="s">
        <v>757</v>
      </c>
      <c r="D118" s="326">
        <f>P119</f>
        <v>168.54199999999997</v>
      </c>
      <c r="E118" s="348" t="s">
        <v>952</v>
      </c>
      <c r="F118" s="341">
        <v>65</v>
      </c>
      <c r="G118" s="328"/>
      <c r="H118" s="328"/>
      <c r="I118" s="328"/>
      <c r="J118" s="328"/>
      <c r="K118" s="328"/>
      <c r="L118" s="341"/>
      <c r="M118" s="341"/>
      <c r="N118" s="341"/>
      <c r="O118" s="328" t="s">
        <v>992</v>
      </c>
      <c r="P118" s="325">
        <f>+D118*F118</f>
        <v>10955.229999999998</v>
      </c>
      <c r="Q118" s="363" t="s">
        <v>1680</v>
      </c>
    </row>
    <row r="119" spans="1:17" ht="43.2">
      <c r="A119" s="322"/>
      <c r="B119" s="288" t="s">
        <v>785</v>
      </c>
      <c r="C119" s="348" t="s">
        <v>704</v>
      </c>
      <c r="D119" s="327">
        <v>383.05</v>
      </c>
      <c r="E119" s="348" t="s">
        <v>1649</v>
      </c>
      <c r="F119" s="291" t="s">
        <v>1942</v>
      </c>
      <c r="G119" s="290" t="s">
        <v>1634</v>
      </c>
      <c r="H119" s="291">
        <v>0.3</v>
      </c>
      <c r="I119" s="461" t="s">
        <v>1000</v>
      </c>
      <c r="J119" s="291">
        <v>0.7</v>
      </c>
      <c r="K119" s="461" t="s">
        <v>957</v>
      </c>
      <c r="L119" s="291" t="s">
        <v>1943</v>
      </c>
      <c r="M119" s="291"/>
      <c r="N119" s="291"/>
      <c r="O119" s="328" t="s">
        <v>992</v>
      </c>
      <c r="P119" s="325">
        <f>+D119*(1*0.3+0.7*0.2)</f>
        <v>168.54199999999997</v>
      </c>
      <c r="Q119" s="292" t="s">
        <v>1941</v>
      </c>
    </row>
    <row r="120" spans="1:17" ht="19.95" customHeight="1">
      <c r="A120" s="322"/>
      <c r="B120" s="288"/>
      <c r="C120" s="327"/>
      <c r="D120" s="330"/>
      <c r="E120" s="327"/>
      <c r="F120" s="290"/>
      <c r="G120" s="290"/>
      <c r="H120" s="290"/>
      <c r="I120" s="328"/>
      <c r="J120" s="328"/>
      <c r="K120" s="328"/>
      <c r="L120" s="328"/>
      <c r="M120" s="328"/>
      <c r="N120" s="328"/>
      <c r="O120" s="328"/>
      <c r="P120" s="325"/>
      <c r="Q120" s="292"/>
    </row>
    <row r="121" spans="1:17" ht="19.95" customHeight="1">
      <c r="A121" s="322"/>
      <c r="B121" s="288"/>
      <c r="C121" s="327"/>
      <c r="D121" s="330"/>
      <c r="E121" s="327"/>
      <c r="F121" s="290"/>
      <c r="G121" s="290"/>
      <c r="H121" s="290"/>
      <c r="I121" s="328"/>
      <c r="J121" s="328"/>
      <c r="K121" s="328"/>
      <c r="L121" s="328"/>
      <c r="M121" s="328"/>
      <c r="N121" s="328"/>
      <c r="O121" s="328"/>
      <c r="P121" s="325"/>
      <c r="Q121" s="292"/>
    </row>
    <row r="122" spans="1:17" ht="19.95" customHeight="1">
      <c r="A122" s="322"/>
      <c r="B122" s="288"/>
      <c r="C122" s="327"/>
      <c r="D122" s="330"/>
      <c r="E122" s="327"/>
      <c r="F122" s="290"/>
      <c r="G122" s="290"/>
      <c r="H122" s="290"/>
      <c r="I122" s="328"/>
      <c r="J122" s="328"/>
      <c r="K122" s="328"/>
      <c r="L122" s="328"/>
      <c r="M122" s="328"/>
      <c r="N122" s="328"/>
      <c r="O122" s="328"/>
      <c r="P122" s="325"/>
      <c r="Q122" s="292"/>
    </row>
    <row r="123" spans="1:17" ht="19.95" customHeight="1">
      <c r="A123" s="322"/>
      <c r="B123" s="390" t="s">
        <v>1950</v>
      </c>
      <c r="C123" s="327"/>
      <c r="D123" s="327"/>
      <c r="E123" s="327"/>
      <c r="F123" s="328"/>
      <c r="G123" s="328"/>
      <c r="H123" s="328"/>
      <c r="I123" s="328"/>
      <c r="J123" s="328"/>
      <c r="K123" s="328"/>
      <c r="L123" s="328"/>
      <c r="M123" s="328"/>
      <c r="N123" s="328"/>
      <c r="O123" s="328"/>
      <c r="P123" s="325"/>
      <c r="Q123" s="374"/>
    </row>
    <row r="124" spans="1:17" ht="43.2">
      <c r="A124" s="322" t="s">
        <v>752</v>
      </c>
      <c r="B124" s="288" t="s">
        <v>1681</v>
      </c>
      <c r="C124" s="327" t="s">
        <v>704</v>
      </c>
      <c r="D124" s="339">
        <v>239</v>
      </c>
      <c r="E124" s="339" t="s">
        <v>1634</v>
      </c>
      <c r="F124" s="339">
        <v>1.5</v>
      </c>
      <c r="G124" s="339" t="s">
        <v>1634</v>
      </c>
      <c r="H124" s="339">
        <v>1</v>
      </c>
      <c r="I124" s="339" t="s">
        <v>1634</v>
      </c>
      <c r="J124" s="339">
        <v>1</v>
      </c>
      <c r="K124" s="339"/>
      <c r="L124" s="339"/>
      <c r="M124" s="339"/>
      <c r="N124" s="339"/>
      <c r="O124" s="372" t="s">
        <v>992</v>
      </c>
      <c r="P124" s="373">
        <v>358.5</v>
      </c>
      <c r="Q124" s="292" t="s">
        <v>1682</v>
      </c>
    </row>
    <row r="125" spans="1:17" ht="57.6">
      <c r="A125" s="322" t="s">
        <v>1036</v>
      </c>
      <c r="B125" s="288" t="s">
        <v>1683</v>
      </c>
      <c r="C125" s="327" t="s">
        <v>704</v>
      </c>
      <c r="D125" s="336">
        <v>100</v>
      </c>
      <c r="E125" s="327" t="s">
        <v>1634</v>
      </c>
      <c r="F125" s="328">
        <v>2.5</v>
      </c>
      <c r="G125" s="328" t="s">
        <v>1634</v>
      </c>
      <c r="H125" s="328">
        <v>2</v>
      </c>
      <c r="I125" s="328" t="s">
        <v>1634</v>
      </c>
      <c r="J125" s="328">
        <v>2</v>
      </c>
      <c r="K125" s="328"/>
      <c r="L125" s="328"/>
      <c r="M125" s="328"/>
      <c r="N125" s="328"/>
      <c r="O125" s="328" t="s">
        <v>992</v>
      </c>
      <c r="P125" s="373">
        <v>1000</v>
      </c>
      <c r="Q125" s="292" t="s">
        <v>1684</v>
      </c>
    </row>
    <row r="126" spans="1:17" ht="43.2">
      <c r="A126" s="322"/>
      <c r="B126" s="288" t="s">
        <v>1674</v>
      </c>
      <c r="C126" s="327" t="s">
        <v>998</v>
      </c>
      <c r="D126" s="327">
        <v>1358.5</v>
      </c>
      <c r="E126" s="327" t="s">
        <v>1625</v>
      </c>
      <c r="F126" s="328">
        <v>439.5</v>
      </c>
      <c r="G126" s="328" t="s">
        <v>1625</v>
      </c>
      <c r="H126" s="328"/>
      <c r="I126" s="328"/>
      <c r="J126" s="328"/>
      <c r="K126" s="328"/>
      <c r="L126" s="328"/>
      <c r="M126" s="328"/>
      <c r="N126" s="328"/>
      <c r="O126" s="328" t="s">
        <v>1619</v>
      </c>
      <c r="P126" s="325">
        <v>919</v>
      </c>
      <c r="Q126" s="374" t="s">
        <v>1675</v>
      </c>
    </row>
    <row r="127" spans="1:17" ht="28.8">
      <c r="A127" s="322"/>
      <c r="B127" s="288" t="s">
        <v>1677</v>
      </c>
      <c r="C127" s="327" t="s">
        <v>646</v>
      </c>
      <c r="D127" s="327">
        <v>400</v>
      </c>
      <c r="E127" s="327" t="s">
        <v>1634</v>
      </c>
      <c r="F127" s="328">
        <v>0.05</v>
      </c>
      <c r="G127" s="328" t="s">
        <v>1622</v>
      </c>
      <c r="H127" s="328">
        <v>239</v>
      </c>
      <c r="I127" s="328" t="s">
        <v>1634</v>
      </c>
      <c r="J127" s="328">
        <v>0.05</v>
      </c>
      <c r="K127" s="328"/>
      <c r="L127" s="328"/>
      <c r="M127" s="328"/>
      <c r="N127" s="328"/>
      <c r="O127" s="328" t="s">
        <v>1619</v>
      </c>
      <c r="P127" s="325">
        <v>31.95</v>
      </c>
      <c r="Q127" s="374"/>
    </row>
    <row r="128" spans="1:17" ht="28.8">
      <c r="A128" s="322"/>
      <c r="B128" s="288" t="s">
        <v>1685</v>
      </c>
      <c r="C128" s="327" t="s">
        <v>654</v>
      </c>
      <c r="D128" s="327">
        <v>239</v>
      </c>
      <c r="E128" s="327" t="s">
        <v>1634</v>
      </c>
      <c r="F128" s="328">
        <v>1.2</v>
      </c>
      <c r="G128" s="328" t="s">
        <v>1622</v>
      </c>
      <c r="H128" s="328">
        <v>100</v>
      </c>
      <c r="I128" s="328" t="s">
        <v>1634</v>
      </c>
      <c r="J128" s="328">
        <v>3.2</v>
      </c>
      <c r="K128" s="328"/>
      <c r="L128" s="328"/>
      <c r="M128" s="328"/>
      <c r="N128" s="328"/>
      <c r="O128" s="328" t="s">
        <v>1619</v>
      </c>
      <c r="P128" s="325">
        <f>+D128*F128+H128*J128</f>
        <v>606.79999999999995</v>
      </c>
      <c r="Q128" s="374" t="s">
        <v>1686</v>
      </c>
    </row>
    <row r="129" spans="1:179" ht="51.6" customHeight="1">
      <c r="A129" s="322"/>
      <c r="B129" s="288" t="s">
        <v>1951</v>
      </c>
      <c r="C129" s="327" t="s">
        <v>1535</v>
      </c>
      <c r="D129" s="327">
        <v>239</v>
      </c>
      <c r="E129" s="327" t="s">
        <v>952</v>
      </c>
      <c r="F129" s="328">
        <v>1.2</v>
      </c>
      <c r="G129" s="328" t="s">
        <v>952</v>
      </c>
      <c r="H129" s="328">
        <v>1</v>
      </c>
      <c r="I129" s="462" t="s">
        <v>1000</v>
      </c>
      <c r="J129" s="328">
        <v>100</v>
      </c>
      <c r="K129" s="328" t="s">
        <v>952</v>
      </c>
      <c r="L129" s="328">
        <v>2.4</v>
      </c>
      <c r="M129" s="328" t="s">
        <v>952</v>
      </c>
      <c r="N129" s="328">
        <v>1.3</v>
      </c>
      <c r="O129" s="462" t="s">
        <v>992</v>
      </c>
      <c r="P129" s="325">
        <f>+D129*F129*H129+J129*L129*N129</f>
        <v>598.79999999999995</v>
      </c>
      <c r="Q129" s="374" t="s">
        <v>1954</v>
      </c>
    </row>
    <row r="130" spans="1:179" ht="51.6" customHeight="1">
      <c r="A130" s="322"/>
      <c r="B130" s="288" t="s">
        <v>1952</v>
      </c>
      <c r="C130" s="327" t="s">
        <v>1687</v>
      </c>
      <c r="D130" s="327">
        <v>239</v>
      </c>
      <c r="E130" s="327" t="s">
        <v>1634</v>
      </c>
      <c r="F130" s="328">
        <v>0.5</v>
      </c>
      <c r="G130" s="328" t="s">
        <v>1622</v>
      </c>
      <c r="H130" s="328">
        <v>100</v>
      </c>
      <c r="I130" s="328" t="s">
        <v>1634</v>
      </c>
      <c r="J130" s="328">
        <v>3.2</v>
      </c>
      <c r="K130" s="328"/>
      <c r="L130" s="328"/>
      <c r="M130" s="328"/>
      <c r="N130" s="328"/>
      <c r="O130" s="328" t="s">
        <v>1619</v>
      </c>
      <c r="P130" s="325">
        <f>+D130*F130+H130*J130</f>
        <v>439.5</v>
      </c>
      <c r="Q130" s="374" t="s">
        <v>1688</v>
      </c>
    </row>
    <row r="131" spans="1:179" ht="43.2">
      <c r="A131" s="322"/>
      <c r="B131" s="288" t="s">
        <v>1953</v>
      </c>
      <c r="C131" s="327" t="s">
        <v>1687</v>
      </c>
      <c r="D131" s="327">
        <v>239</v>
      </c>
      <c r="E131" s="327" t="s">
        <v>1634</v>
      </c>
      <c r="F131" s="328">
        <f>0.3*0.3</f>
        <v>0.09</v>
      </c>
      <c r="G131" s="328" t="s">
        <v>952</v>
      </c>
      <c r="H131" s="328">
        <v>1</v>
      </c>
      <c r="I131" s="462" t="s">
        <v>1000</v>
      </c>
      <c r="J131" s="328">
        <v>100</v>
      </c>
      <c r="K131" s="328" t="s">
        <v>952</v>
      </c>
      <c r="L131" s="328">
        <f>0.9*0.3</f>
        <v>0.27</v>
      </c>
      <c r="M131" s="328" t="s">
        <v>952</v>
      </c>
      <c r="N131" s="328">
        <v>1.3</v>
      </c>
      <c r="O131" s="328" t="s">
        <v>1619</v>
      </c>
      <c r="P131" s="325">
        <f>+D131*F131*H131+J131*L131*N131</f>
        <v>56.61</v>
      </c>
      <c r="Q131" s="374" t="s">
        <v>1954</v>
      </c>
      <c r="R131" s="287"/>
      <c r="S131" s="287"/>
      <c r="T131" s="287"/>
      <c r="U131" s="287"/>
      <c r="V131" s="287"/>
      <c r="W131" s="287"/>
      <c r="X131" s="287"/>
      <c r="Y131" s="287"/>
      <c r="Z131" s="287"/>
      <c r="AA131" s="287"/>
      <c r="AB131" s="287"/>
      <c r="AC131" s="287"/>
      <c r="AD131" s="287"/>
      <c r="AE131" s="287"/>
      <c r="AF131" s="287"/>
      <c r="AG131" s="287"/>
      <c r="AH131" s="287"/>
      <c r="AI131" s="287"/>
      <c r="AJ131" s="287"/>
      <c r="AK131" s="287"/>
      <c r="AL131" s="287"/>
      <c r="AM131" s="287"/>
      <c r="AN131" s="287"/>
      <c r="AO131" s="287"/>
      <c r="AP131" s="287"/>
      <c r="AQ131" s="287"/>
      <c r="AR131" s="287"/>
      <c r="AS131" s="287"/>
      <c r="AT131" s="287"/>
      <c r="AU131" s="287"/>
      <c r="AV131" s="287"/>
      <c r="AW131" s="287"/>
      <c r="AX131" s="287"/>
      <c r="AY131" s="287"/>
      <c r="AZ131" s="287"/>
      <c r="BA131" s="287"/>
      <c r="BB131" s="287"/>
      <c r="BC131" s="287"/>
      <c r="BD131" s="287"/>
      <c r="BE131" s="287"/>
      <c r="BF131" s="287"/>
      <c r="BG131" s="287"/>
      <c r="BH131" s="287"/>
      <c r="BI131" s="287"/>
      <c r="BJ131" s="287"/>
      <c r="BK131" s="287"/>
      <c r="BL131" s="287"/>
      <c r="BM131" s="287"/>
      <c r="BN131" s="287"/>
      <c r="BO131" s="287"/>
      <c r="BP131" s="287"/>
      <c r="BQ131" s="287"/>
      <c r="BR131" s="287"/>
      <c r="BS131" s="287"/>
      <c r="BT131" s="287"/>
      <c r="BU131" s="287"/>
      <c r="BV131" s="287"/>
      <c r="BW131" s="287"/>
      <c r="BX131" s="287"/>
      <c r="BY131" s="287"/>
      <c r="BZ131" s="287"/>
      <c r="CA131" s="287"/>
      <c r="CB131" s="287"/>
      <c r="CC131" s="287"/>
      <c r="CD131" s="287"/>
      <c r="CE131" s="287"/>
      <c r="CF131" s="287"/>
      <c r="CG131" s="287"/>
      <c r="CH131" s="287"/>
      <c r="CI131" s="287"/>
      <c r="CJ131" s="287"/>
      <c r="CK131" s="287"/>
      <c r="CL131" s="287"/>
      <c r="CM131" s="287"/>
      <c r="CN131" s="287"/>
      <c r="CO131" s="287"/>
      <c r="CP131" s="287"/>
      <c r="CQ131" s="287"/>
      <c r="CR131" s="287"/>
      <c r="CS131" s="287"/>
      <c r="CT131" s="287"/>
      <c r="CU131" s="287"/>
      <c r="CV131" s="287"/>
      <c r="CW131" s="287"/>
      <c r="CX131" s="287"/>
      <c r="CY131" s="287"/>
      <c r="CZ131" s="287"/>
      <c r="DA131" s="287"/>
      <c r="DB131" s="287"/>
      <c r="DC131" s="287"/>
      <c r="DD131" s="287"/>
      <c r="DE131" s="287"/>
      <c r="DF131" s="287"/>
      <c r="DG131" s="287"/>
      <c r="DH131" s="287"/>
      <c r="DI131" s="287"/>
      <c r="DJ131" s="287"/>
      <c r="DK131" s="287"/>
      <c r="DL131" s="287"/>
      <c r="DM131" s="287"/>
      <c r="DN131" s="287"/>
      <c r="DO131" s="287"/>
      <c r="DP131" s="287"/>
      <c r="DQ131" s="287"/>
      <c r="DR131" s="287"/>
      <c r="DS131" s="287"/>
      <c r="DT131" s="287"/>
      <c r="DU131" s="287"/>
      <c r="DV131" s="287"/>
      <c r="DW131" s="287"/>
      <c r="DX131" s="287"/>
      <c r="DY131" s="287"/>
      <c r="DZ131" s="287"/>
      <c r="EA131" s="287"/>
      <c r="EB131" s="287"/>
      <c r="EC131" s="287"/>
      <c r="ED131" s="287"/>
      <c r="EE131" s="287"/>
      <c r="EF131" s="287"/>
      <c r="EG131" s="287"/>
      <c r="EH131" s="287"/>
      <c r="EI131" s="287"/>
      <c r="EJ131" s="287"/>
      <c r="EK131" s="287"/>
      <c r="EL131" s="287"/>
      <c r="EM131" s="287"/>
      <c r="EN131" s="287"/>
      <c r="EO131" s="287"/>
      <c r="EP131" s="287"/>
      <c r="EQ131" s="287"/>
      <c r="ER131" s="287"/>
      <c r="ES131" s="287"/>
      <c r="ET131" s="287"/>
      <c r="EU131" s="287"/>
      <c r="EV131" s="287"/>
      <c r="EW131" s="287"/>
      <c r="EX131" s="287"/>
      <c r="EY131" s="287"/>
      <c r="EZ131" s="287"/>
      <c r="FA131" s="287"/>
      <c r="FB131" s="287"/>
      <c r="FC131" s="287"/>
      <c r="FD131" s="287"/>
      <c r="FE131" s="287"/>
      <c r="FF131" s="287"/>
      <c r="FG131" s="287"/>
      <c r="FH131" s="287"/>
      <c r="FI131" s="287"/>
      <c r="FJ131" s="287"/>
      <c r="FK131" s="287"/>
      <c r="FL131" s="287"/>
      <c r="FM131" s="287"/>
      <c r="FN131" s="287"/>
      <c r="FO131" s="287"/>
      <c r="FP131" s="287"/>
      <c r="FQ131" s="287"/>
      <c r="FR131" s="287"/>
      <c r="FS131" s="287"/>
      <c r="FT131" s="287"/>
      <c r="FU131" s="287"/>
      <c r="FV131" s="287"/>
      <c r="FW131" s="287"/>
    </row>
    <row r="132" spans="1:179" ht="43.2">
      <c r="A132" s="322" t="s">
        <v>755</v>
      </c>
      <c r="B132" s="288" t="s">
        <v>1955</v>
      </c>
      <c r="C132" s="327" t="s">
        <v>757</v>
      </c>
      <c r="D132" s="336">
        <v>45</v>
      </c>
      <c r="E132" s="327" t="s">
        <v>957</v>
      </c>
      <c r="F132" s="290">
        <v>439.5</v>
      </c>
      <c r="G132" s="328"/>
      <c r="H132" s="393"/>
      <c r="I132" s="328"/>
      <c r="J132" s="328"/>
      <c r="K132" s="328"/>
      <c r="L132" s="328"/>
      <c r="M132" s="328"/>
      <c r="N132" s="328"/>
      <c r="O132" s="328" t="s">
        <v>992</v>
      </c>
      <c r="P132" s="325">
        <f>+D132*F132</f>
        <v>19777.5</v>
      </c>
      <c r="Q132" s="363" t="s">
        <v>1689</v>
      </c>
      <c r="R132" s="287"/>
      <c r="S132" s="287"/>
      <c r="T132" s="287"/>
      <c r="U132" s="287"/>
      <c r="V132" s="287"/>
      <c r="W132" s="287"/>
      <c r="X132" s="287"/>
      <c r="Y132" s="287"/>
      <c r="Z132" s="287"/>
      <c r="AA132" s="287"/>
      <c r="AB132" s="287"/>
      <c r="AC132" s="287"/>
      <c r="AD132" s="287"/>
      <c r="AE132" s="287"/>
      <c r="AF132" s="287"/>
      <c r="AG132" s="287"/>
      <c r="AH132" s="287"/>
      <c r="AI132" s="287"/>
      <c r="AJ132" s="287"/>
      <c r="AK132" s="287"/>
      <c r="AL132" s="287"/>
      <c r="AM132" s="287"/>
      <c r="AN132" s="287"/>
      <c r="AO132" s="287"/>
      <c r="AP132" s="287"/>
      <c r="AQ132" s="287"/>
      <c r="AR132" s="287"/>
      <c r="AS132" s="287"/>
      <c r="AT132" s="287"/>
      <c r="AU132" s="287"/>
      <c r="AV132" s="287"/>
      <c r="AW132" s="287"/>
      <c r="AX132" s="287"/>
      <c r="AY132" s="287"/>
      <c r="AZ132" s="287"/>
      <c r="BA132" s="287"/>
      <c r="BB132" s="287"/>
      <c r="BC132" s="287"/>
      <c r="BD132" s="287"/>
      <c r="BE132" s="287"/>
      <c r="BF132" s="287"/>
      <c r="BG132" s="287"/>
      <c r="BH132" s="287"/>
      <c r="BI132" s="287"/>
      <c r="BJ132" s="287"/>
      <c r="BK132" s="287"/>
      <c r="BL132" s="287"/>
      <c r="BM132" s="287"/>
      <c r="BN132" s="287"/>
      <c r="BO132" s="287"/>
      <c r="BP132" s="287"/>
      <c r="BQ132" s="287"/>
      <c r="BR132" s="287"/>
      <c r="BS132" s="287"/>
      <c r="BT132" s="287"/>
      <c r="BU132" s="287"/>
      <c r="BV132" s="287"/>
      <c r="BW132" s="287"/>
      <c r="BX132" s="287"/>
      <c r="BY132" s="287"/>
      <c r="BZ132" s="287"/>
      <c r="CA132" s="287"/>
      <c r="CB132" s="287"/>
      <c r="CC132" s="287"/>
      <c r="CD132" s="287"/>
      <c r="CE132" s="287"/>
      <c r="CF132" s="287"/>
      <c r="CG132" s="287"/>
      <c r="CH132" s="287"/>
      <c r="CI132" s="287"/>
      <c r="CJ132" s="287"/>
      <c r="CK132" s="287"/>
      <c r="CL132" s="287"/>
      <c r="CM132" s="287"/>
      <c r="CN132" s="287"/>
      <c r="CO132" s="287"/>
      <c r="CP132" s="287"/>
      <c r="CQ132" s="287"/>
      <c r="CR132" s="287"/>
      <c r="CS132" s="287"/>
      <c r="CT132" s="287"/>
      <c r="CU132" s="287"/>
      <c r="CV132" s="287"/>
      <c r="CW132" s="287"/>
      <c r="CX132" s="287"/>
      <c r="CY132" s="287"/>
      <c r="CZ132" s="287"/>
      <c r="DA132" s="287"/>
      <c r="DB132" s="287"/>
      <c r="DC132" s="287"/>
      <c r="DD132" s="287"/>
      <c r="DE132" s="287"/>
      <c r="DF132" s="287"/>
      <c r="DG132" s="287"/>
      <c r="DH132" s="287"/>
      <c r="DI132" s="287"/>
      <c r="DJ132" s="287"/>
      <c r="DK132" s="287"/>
      <c r="DL132" s="287"/>
      <c r="DM132" s="287"/>
      <c r="DN132" s="287"/>
      <c r="DO132" s="287"/>
      <c r="DP132" s="287"/>
      <c r="DQ132" s="287"/>
      <c r="DR132" s="287"/>
      <c r="DS132" s="287"/>
      <c r="DT132" s="287"/>
      <c r="DU132" s="287"/>
      <c r="DV132" s="287"/>
      <c r="DW132" s="287"/>
      <c r="DX132" s="287"/>
      <c r="DY132" s="287"/>
      <c r="DZ132" s="287"/>
      <c r="EA132" s="287"/>
      <c r="EB132" s="287"/>
      <c r="EC132" s="287"/>
      <c r="ED132" s="287"/>
      <c r="EE132" s="287"/>
      <c r="EF132" s="287"/>
      <c r="EG132" s="287"/>
      <c r="EH132" s="287"/>
      <c r="EI132" s="287"/>
      <c r="EJ132" s="287"/>
      <c r="EK132" s="287"/>
      <c r="EL132" s="287"/>
      <c r="EM132" s="287"/>
      <c r="EN132" s="287"/>
      <c r="EO132" s="287"/>
      <c r="EP132" s="287"/>
      <c r="EQ132" s="287"/>
      <c r="ER132" s="287"/>
      <c r="ES132" s="287"/>
      <c r="ET132" s="287"/>
      <c r="EU132" s="287"/>
      <c r="EV132" s="287"/>
      <c r="EW132" s="287"/>
      <c r="EX132" s="287"/>
      <c r="EY132" s="287"/>
      <c r="EZ132" s="287"/>
      <c r="FA132" s="287"/>
      <c r="FB132" s="287"/>
      <c r="FC132" s="287"/>
      <c r="FD132" s="287"/>
      <c r="FE132" s="287"/>
      <c r="FF132" s="287"/>
      <c r="FG132" s="287"/>
      <c r="FH132" s="287"/>
      <c r="FI132" s="287"/>
      <c r="FJ132" s="287"/>
      <c r="FK132" s="287"/>
      <c r="FL132" s="287"/>
      <c r="FM132" s="287"/>
      <c r="FN132" s="287"/>
      <c r="FO132" s="287"/>
      <c r="FP132" s="287"/>
      <c r="FQ132" s="287"/>
      <c r="FR132" s="287"/>
      <c r="FS132" s="287"/>
      <c r="FT132" s="287"/>
      <c r="FU132" s="287"/>
      <c r="FV132" s="287"/>
      <c r="FW132" s="287"/>
    </row>
    <row r="133" spans="1:179" ht="43.2">
      <c r="A133" s="322"/>
      <c r="B133" s="288" t="s">
        <v>1956</v>
      </c>
      <c r="C133" s="327" t="s">
        <v>1594</v>
      </c>
      <c r="D133" s="336">
        <v>100</v>
      </c>
      <c r="E133" s="327" t="s">
        <v>952</v>
      </c>
      <c r="F133" s="290">
        <f>P131</f>
        <v>56.61</v>
      </c>
      <c r="G133" s="328"/>
      <c r="H133" s="393"/>
      <c r="I133" s="328"/>
      <c r="J133" s="328"/>
      <c r="K133" s="328"/>
      <c r="L133" s="328"/>
      <c r="M133" s="328"/>
      <c r="N133" s="328"/>
      <c r="O133" s="328"/>
      <c r="P133" s="325">
        <f>+D133*F133</f>
        <v>5661</v>
      </c>
      <c r="Q133" s="363"/>
      <c r="R133" s="287"/>
      <c r="S133" s="287"/>
      <c r="T133" s="287"/>
      <c r="U133" s="287"/>
      <c r="V133" s="287"/>
      <c r="W133" s="287"/>
      <c r="X133" s="287"/>
      <c r="Y133" s="287"/>
      <c r="Z133" s="287"/>
      <c r="AA133" s="287"/>
      <c r="AB133" s="287"/>
      <c r="AC133" s="287"/>
      <c r="AD133" s="287"/>
      <c r="AE133" s="287"/>
      <c r="AF133" s="287"/>
      <c r="AG133" s="287"/>
      <c r="AH133" s="287"/>
      <c r="AI133" s="287"/>
      <c r="AJ133" s="287"/>
      <c r="AK133" s="287"/>
      <c r="AL133" s="287"/>
      <c r="AM133" s="287"/>
      <c r="AN133" s="287"/>
      <c r="AO133" s="287"/>
      <c r="AP133" s="287"/>
      <c r="AQ133" s="287"/>
      <c r="AR133" s="287"/>
      <c r="AS133" s="287"/>
      <c r="AT133" s="287"/>
      <c r="AU133" s="287"/>
      <c r="AV133" s="287"/>
      <c r="AW133" s="287"/>
      <c r="AX133" s="287"/>
      <c r="AY133" s="287"/>
      <c r="AZ133" s="287"/>
      <c r="BA133" s="287"/>
      <c r="BB133" s="287"/>
      <c r="BC133" s="287"/>
      <c r="BD133" s="287"/>
      <c r="BE133" s="287"/>
      <c r="BF133" s="287"/>
      <c r="BG133" s="287"/>
      <c r="BH133" s="287"/>
      <c r="BI133" s="287"/>
      <c r="BJ133" s="287"/>
      <c r="BK133" s="287"/>
      <c r="BL133" s="287"/>
      <c r="BM133" s="287"/>
      <c r="BN133" s="287"/>
      <c r="BO133" s="287"/>
      <c r="BP133" s="287"/>
      <c r="BQ133" s="287"/>
      <c r="BR133" s="287"/>
      <c r="BS133" s="287"/>
      <c r="BT133" s="287"/>
      <c r="BU133" s="287"/>
      <c r="BV133" s="287"/>
      <c r="BW133" s="287"/>
      <c r="BX133" s="287"/>
      <c r="BY133" s="287"/>
      <c r="BZ133" s="287"/>
      <c r="CA133" s="287"/>
      <c r="CB133" s="287"/>
      <c r="CC133" s="287"/>
      <c r="CD133" s="287"/>
      <c r="CE133" s="287"/>
      <c r="CF133" s="287"/>
      <c r="CG133" s="287"/>
      <c r="CH133" s="287"/>
      <c r="CI133" s="287"/>
      <c r="CJ133" s="287"/>
      <c r="CK133" s="287"/>
      <c r="CL133" s="287"/>
      <c r="CM133" s="287"/>
      <c r="CN133" s="287"/>
      <c r="CO133" s="287"/>
      <c r="CP133" s="287"/>
      <c r="CQ133" s="287"/>
      <c r="CR133" s="287"/>
      <c r="CS133" s="287"/>
      <c r="CT133" s="287"/>
      <c r="CU133" s="287"/>
      <c r="CV133" s="287"/>
      <c r="CW133" s="287"/>
      <c r="CX133" s="287"/>
      <c r="CY133" s="287"/>
      <c r="CZ133" s="287"/>
      <c r="DA133" s="287"/>
      <c r="DB133" s="287"/>
      <c r="DC133" s="287"/>
      <c r="DD133" s="287"/>
      <c r="DE133" s="287"/>
      <c r="DF133" s="287"/>
      <c r="DG133" s="287"/>
      <c r="DH133" s="287"/>
      <c r="DI133" s="287"/>
      <c r="DJ133" s="287"/>
      <c r="DK133" s="287"/>
      <c r="DL133" s="287"/>
      <c r="DM133" s="287"/>
      <c r="DN133" s="287"/>
      <c r="DO133" s="287"/>
      <c r="DP133" s="287"/>
      <c r="DQ133" s="287"/>
      <c r="DR133" s="287"/>
      <c r="DS133" s="287"/>
      <c r="DT133" s="287"/>
      <c r="DU133" s="287"/>
      <c r="DV133" s="287"/>
      <c r="DW133" s="287"/>
      <c r="DX133" s="287"/>
      <c r="DY133" s="287"/>
      <c r="DZ133" s="287"/>
      <c r="EA133" s="287"/>
      <c r="EB133" s="287"/>
      <c r="EC133" s="287"/>
      <c r="ED133" s="287"/>
      <c r="EE133" s="287"/>
      <c r="EF133" s="287"/>
      <c r="EG133" s="287"/>
      <c r="EH133" s="287"/>
      <c r="EI133" s="287"/>
      <c r="EJ133" s="287"/>
      <c r="EK133" s="287"/>
      <c r="EL133" s="287"/>
      <c r="EM133" s="287"/>
      <c r="EN133" s="287"/>
      <c r="EO133" s="287"/>
      <c r="EP133" s="287"/>
      <c r="EQ133" s="287"/>
      <c r="ER133" s="287"/>
      <c r="ES133" s="287"/>
      <c r="ET133" s="287"/>
      <c r="EU133" s="287"/>
      <c r="EV133" s="287"/>
      <c r="EW133" s="287"/>
      <c r="EX133" s="287"/>
      <c r="EY133" s="287"/>
      <c r="EZ133" s="287"/>
      <c r="FA133" s="287"/>
      <c r="FB133" s="287"/>
      <c r="FC133" s="287"/>
      <c r="FD133" s="287"/>
      <c r="FE133" s="287"/>
      <c r="FF133" s="287"/>
      <c r="FG133" s="287"/>
      <c r="FH133" s="287"/>
      <c r="FI133" s="287"/>
      <c r="FJ133" s="287"/>
      <c r="FK133" s="287"/>
      <c r="FL133" s="287"/>
      <c r="FM133" s="287"/>
      <c r="FN133" s="287"/>
      <c r="FO133" s="287"/>
      <c r="FP133" s="287"/>
      <c r="FQ133" s="287"/>
      <c r="FR133" s="287"/>
      <c r="FS133" s="287"/>
      <c r="FT133" s="287"/>
      <c r="FU133" s="287"/>
      <c r="FV133" s="287"/>
      <c r="FW133" s="287"/>
    </row>
    <row r="134" spans="1:179" ht="86.4">
      <c r="A134" s="322" t="s">
        <v>760</v>
      </c>
      <c r="B134" s="288" t="s">
        <v>761</v>
      </c>
      <c r="C134" s="327" t="s">
        <v>654</v>
      </c>
      <c r="D134" s="330">
        <v>239</v>
      </c>
      <c r="E134" s="327" t="s">
        <v>957</v>
      </c>
      <c r="F134" s="290">
        <v>1</v>
      </c>
      <c r="G134" s="290" t="s">
        <v>1622</v>
      </c>
      <c r="H134" s="290">
        <v>100</v>
      </c>
      <c r="I134" s="328" t="s">
        <v>1649</v>
      </c>
      <c r="J134" s="328">
        <v>4</v>
      </c>
      <c r="K134" s="328" t="s">
        <v>1622</v>
      </c>
      <c r="L134" s="328"/>
      <c r="M134" s="328"/>
      <c r="N134" s="328"/>
      <c r="O134" s="328" t="s">
        <v>992</v>
      </c>
      <c r="P134" s="325">
        <v>639</v>
      </c>
      <c r="Q134" s="292" t="s">
        <v>1676</v>
      </c>
      <c r="R134" s="287"/>
      <c r="S134" s="287"/>
      <c r="T134" s="287"/>
      <c r="U134" s="287"/>
      <c r="V134" s="287"/>
      <c r="W134" s="287"/>
      <c r="X134" s="287"/>
      <c r="Y134" s="287"/>
      <c r="Z134" s="287"/>
      <c r="AA134" s="287"/>
      <c r="AB134" s="287"/>
      <c r="AC134" s="287"/>
      <c r="AD134" s="287"/>
      <c r="AE134" s="287"/>
      <c r="AF134" s="287"/>
      <c r="AG134" s="287"/>
      <c r="AH134" s="287"/>
      <c r="AI134" s="287"/>
      <c r="AJ134" s="287"/>
      <c r="AK134" s="287"/>
      <c r="AL134" s="287"/>
      <c r="AM134" s="287"/>
      <c r="AN134" s="287"/>
      <c r="AO134" s="287"/>
      <c r="AP134" s="287"/>
      <c r="AQ134" s="287"/>
      <c r="AR134" s="287"/>
      <c r="AS134" s="287"/>
      <c r="AT134" s="287"/>
      <c r="AU134" s="287"/>
      <c r="AV134" s="287"/>
      <c r="AW134" s="287"/>
      <c r="AX134" s="287"/>
      <c r="AY134" s="287"/>
      <c r="AZ134" s="287"/>
      <c r="BA134" s="287"/>
      <c r="BB134" s="287"/>
      <c r="BC134" s="287"/>
      <c r="BD134" s="287"/>
      <c r="BE134" s="287"/>
      <c r="BF134" s="287"/>
      <c r="BG134" s="287"/>
      <c r="BH134" s="287"/>
      <c r="BI134" s="287"/>
      <c r="BJ134" s="287"/>
      <c r="BK134" s="287"/>
      <c r="BL134" s="287"/>
      <c r="BM134" s="287"/>
      <c r="BN134" s="287"/>
      <c r="BO134" s="287"/>
      <c r="BP134" s="287"/>
      <c r="BQ134" s="287"/>
      <c r="BR134" s="287"/>
      <c r="BS134" s="287"/>
      <c r="BT134" s="287"/>
      <c r="BU134" s="287"/>
      <c r="BV134" s="287"/>
      <c r="BW134" s="287"/>
      <c r="BX134" s="287"/>
      <c r="BY134" s="287"/>
      <c r="BZ134" s="287"/>
      <c r="CA134" s="287"/>
      <c r="CB134" s="287"/>
      <c r="CC134" s="287"/>
      <c r="CD134" s="287"/>
      <c r="CE134" s="287"/>
      <c r="CF134" s="287"/>
      <c r="CG134" s="287"/>
      <c r="CH134" s="287"/>
      <c r="CI134" s="287"/>
      <c r="CJ134" s="287"/>
      <c r="CK134" s="287"/>
      <c r="CL134" s="287"/>
      <c r="CM134" s="287"/>
      <c r="CN134" s="287"/>
      <c r="CO134" s="287"/>
      <c r="CP134" s="287"/>
      <c r="CQ134" s="287"/>
      <c r="CR134" s="287"/>
      <c r="CS134" s="287"/>
      <c r="CT134" s="287"/>
      <c r="CU134" s="287"/>
      <c r="CV134" s="287"/>
      <c r="CW134" s="287"/>
      <c r="CX134" s="287"/>
      <c r="CY134" s="287"/>
      <c r="CZ134" s="287"/>
      <c r="DA134" s="287"/>
      <c r="DB134" s="287"/>
      <c r="DC134" s="287"/>
      <c r="DD134" s="287"/>
      <c r="DE134" s="287"/>
      <c r="DF134" s="287"/>
      <c r="DG134" s="287"/>
      <c r="DH134" s="287"/>
      <c r="DI134" s="287"/>
      <c r="DJ134" s="287"/>
      <c r="DK134" s="287"/>
      <c r="DL134" s="287"/>
      <c r="DM134" s="287"/>
      <c r="DN134" s="287"/>
      <c r="DO134" s="287"/>
      <c r="DP134" s="287"/>
      <c r="DQ134" s="287"/>
      <c r="DR134" s="287"/>
      <c r="DS134" s="287"/>
      <c r="DT134" s="287"/>
      <c r="DU134" s="287"/>
      <c r="DV134" s="287"/>
      <c r="DW134" s="287"/>
      <c r="DX134" s="287"/>
      <c r="DY134" s="287"/>
      <c r="DZ134" s="287"/>
      <c r="EA134" s="287"/>
      <c r="EB134" s="287"/>
      <c r="EC134" s="287"/>
      <c r="ED134" s="287"/>
      <c r="EE134" s="287"/>
      <c r="EF134" s="287"/>
      <c r="EG134" s="287"/>
      <c r="EH134" s="287"/>
      <c r="EI134" s="287"/>
      <c r="EJ134" s="287"/>
      <c r="EK134" s="287"/>
      <c r="EL134" s="287"/>
      <c r="EM134" s="287"/>
      <c r="EN134" s="287"/>
      <c r="EO134" s="287"/>
      <c r="EP134" s="287"/>
      <c r="EQ134" s="287"/>
      <c r="ER134" s="287"/>
      <c r="ES134" s="287"/>
      <c r="ET134" s="287"/>
      <c r="EU134" s="287"/>
      <c r="EV134" s="287"/>
      <c r="EW134" s="287"/>
      <c r="EX134" s="287"/>
      <c r="EY134" s="287"/>
      <c r="EZ134" s="287"/>
      <c r="FA134" s="287"/>
      <c r="FB134" s="287"/>
      <c r="FC134" s="287"/>
      <c r="FD134" s="287"/>
      <c r="FE134" s="287"/>
      <c r="FF134" s="287"/>
      <c r="FG134" s="287"/>
      <c r="FH134" s="287"/>
      <c r="FI134" s="287"/>
      <c r="FJ134" s="287"/>
      <c r="FK134" s="287"/>
      <c r="FL134" s="287"/>
      <c r="FM134" s="287"/>
      <c r="FN134" s="287"/>
      <c r="FO134" s="287"/>
      <c r="FP134" s="287"/>
      <c r="FQ134" s="287"/>
      <c r="FR134" s="287"/>
      <c r="FS134" s="287"/>
      <c r="FT134" s="287"/>
      <c r="FU134" s="287"/>
      <c r="FV134" s="287"/>
      <c r="FW134" s="287"/>
    </row>
    <row r="135" spans="1:179" ht="19.95" customHeight="1">
      <c r="A135" s="322"/>
      <c r="B135" s="390" t="s">
        <v>1690</v>
      </c>
      <c r="C135" s="327"/>
      <c r="D135" s="330"/>
      <c r="E135" s="327"/>
      <c r="F135" s="290"/>
      <c r="G135" s="290"/>
      <c r="H135" s="290"/>
      <c r="I135" s="328"/>
      <c r="J135" s="328"/>
      <c r="K135" s="328"/>
      <c r="L135" s="328"/>
      <c r="M135" s="328"/>
      <c r="N135" s="328"/>
      <c r="O135" s="328"/>
      <c r="P135" s="325"/>
      <c r="Q135" s="292"/>
      <c r="R135" s="287"/>
      <c r="S135" s="287"/>
      <c r="T135" s="287"/>
      <c r="U135" s="287"/>
      <c r="V135" s="287"/>
      <c r="W135" s="287"/>
      <c r="X135" s="287"/>
      <c r="Y135" s="287"/>
      <c r="Z135" s="287"/>
      <c r="AA135" s="287"/>
      <c r="AB135" s="287"/>
      <c r="AC135" s="287"/>
      <c r="AD135" s="287"/>
      <c r="AE135" s="287"/>
      <c r="AF135" s="287"/>
      <c r="AG135" s="287"/>
      <c r="AH135" s="287"/>
      <c r="AI135" s="287"/>
      <c r="AJ135" s="287"/>
      <c r="AK135" s="287"/>
      <c r="AL135" s="287"/>
      <c r="AM135" s="287"/>
      <c r="AN135" s="287"/>
      <c r="AO135" s="287"/>
      <c r="AP135" s="287"/>
      <c r="AQ135" s="287"/>
      <c r="AR135" s="287"/>
      <c r="AS135" s="287"/>
      <c r="AT135" s="287"/>
      <c r="AU135" s="287"/>
      <c r="AV135" s="287"/>
      <c r="AW135" s="287"/>
      <c r="AX135" s="287"/>
      <c r="AY135" s="287"/>
      <c r="AZ135" s="287"/>
      <c r="BA135" s="287"/>
      <c r="BB135" s="287"/>
      <c r="BC135" s="287"/>
      <c r="BD135" s="287"/>
      <c r="BE135" s="287"/>
      <c r="BF135" s="287"/>
      <c r="BG135" s="287"/>
      <c r="BH135" s="287"/>
      <c r="BI135" s="287"/>
      <c r="BJ135" s="287"/>
      <c r="BK135" s="287"/>
      <c r="BL135" s="287"/>
      <c r="BM135" s="287"/>
      <c r="BN135" s="287"/>
      <c r="BO135" s="287"/>
      <c r="BP135" s="287"/>
      <c r="BQ135" s="287"/>
      <c r="BR135" s="287"/>
      <c r="BS135" s="287"/>
      <c r="BT135" s="287"/>
      <c r="BU135" s="287"/>
      <c r="BV135" s="287"/>
      <c r="BW135" s="287"/>
      <c r="BX135" s="287"/>
      <c r="BY135" s="287"/>
      <c r="BZ135" s="287"/>
      <c r="CA135" s="287"/>
      <c r="CB135" s="287"/>
      <c r="CC135" s="287"/>
      <c r="CD135" s="287"/>
      <c r="CE135" s="287"/>
      <c r="CF135" s="287"/>
      <c r="CG135" s="287"/>
      <c r="CH135" s="287"/>
      <c r="CI135" s="287"/>
      <c r="CJ135" s="287"/>
      <c r="CK135" s="287"/>
      <c r="CL135" s="287"/>
      <c r="CM135" s="287"/>
      <c r="CN135" s="287"/>
      <c r="CO135" s="287"/>
      <c r="CP135" s="287"/>
      <c r="CQ135" s="287"/>
      <c r="CR135" s="287"/>
      <c r="CS135" s="287"/>
      <c r="CT135" s="287"/>
      <c r="CU135" s="287"/>
      <c r="CV135" s="287"/>
      <c r="CW135" s="287"/>
      <c r="CX135" s="287"/>
      <c r="CY135" s="287"/>
      <c r="CZ135" s="287"/>
      <c r="DA135" s="287"/>
      <c r="DB135" s="287"/>
      <c r="DC135" s="287"/>
      <c r="DD135" s="287"/>
      <c r="DE135" s="287"/>
      <c r="DF135" s="287"/>
      <c r="DG135" s="287"/>
      <c r="DH135" s="287"/>
      <c r="DI135" s="287"/>
      <c r="DJ135" s="287"/>
      <c r="DK135" s="287"/>
      <c r="DL135" s="287"/>
      <c r="DM135" s="287"/>
      <c r="DN135" s="287"/>
      <c r="DO135" s="287"/>
      <c r="DP135" s="287"/>
      <c r="DQ135" s="287"/>
      <c r="DR135" s="287"/>
      <c r="DS135" s="287"/>
      <c r="DT135" s="287"/>
      <c r="DU135" s="287"/>
      <c r="DV135" s="287"/>
      <c r="DW135" s="287"/>
      <c r="DX135" s="287"/>
      <c r="DY135" s="287"/>
      <c r="DZ135" s="287"/>
      <c r="EA135" s="287"/>
      <c r="EB135" s="287"/>
      <c r="EC135" s="287"/>
      <c r="ED135" s="287"/>
      <c r="EE135" s="287"/>
      <c r="EF135" s="287"/>
      <c r="EG135" s="287"/>
      <c r="EH135" s="287"/>
      <c r="EI135" s="287"/>
      <c r="EJ135" s="287"/>
      <c r="EK135" s="287"/>
      <c r="EL135" s="287"/>
      <c r="EM135" s="287"/>
      <c r="EN135" s="287"/>
      <c r="EO135" s="287"/>
      <c r="EP135" s="287"/>
      <c r="EQ135" s="287"/>
      <c r="ER135" s="287"/>
      <c r="ES135" s="287"/>
      <c r="ET135" s="287"/>
      <c r="EU135" s="287"/>
      <c r="EV135" s="287"/>
      <c r="EW135" s="287"/>
      <c r="EX135" s="287"/>
      <c r="EY135" s="287"/>
      <c r="EZ135" s="287"/>
      <c r="FA135" s="287"/>
      <c r="FB135" s="287"/>
      <c r="FC135" s="287"/>
      <c r="FD135" s="287"/>
      <c r="FE135" s="287"/>
      <c r="FF135" s="287"/>
      <c r="FG135" s="287"/>
      <c r="FH135" s="287"/>
      <c r="FI135" s="287"/>
      <c r="FJ135" s="287"/>
      <c r="FK135" s="287"/>
      <c r="FL135" s="287"/>
      <c r="FM135" s="287"/>
      <c r="FN135" s="287"/>
      <c r="FO135" s="287"/>
      <c r="FP135" s="287"/>
      <c r="FQ135" s="287"/>
      <c r="FR135" s="287"/>
      <c r="FS135" s="287"/>
      <c r="FT135" s="287"/>
      <c r="FU135" s="287"/>
      <c r="FV135" s="287"/>
      <c r="FW135" s="287"/>
    </row>
    <row r="136" spans="1:179" ht="43.2">
      <c r="A136" s="322" t="s">
        <v>1037</v>
      </c>
      <c r="B136" s="288" t="s">
        <v>1691</v>
      </c>
      <c r="C136" s="327" t="s">
        <v>704</v>
      </c>
      <c r="D136" s="327">
        <v>1442.63</v>
      </c>
      <c r="E136" s="327" t="s">
        <v>1634</v>
      </c>
      <c r="F136" s="290">
        <v>0.3</v>
      </c>
      <c r="G136" s="328" t="s">
        <v>1634</v>
      </c>
      <c r="H136" s="328">
        <v>0.5</v>
      </c>
      <c r="I136" s="328"/>
      <c r="J136" s="328"/>
      <c r="K136" s="328"/>
      <c r="L136" s="328"/>
      <c r="M136" s="328"/>
      <c r="N136" s="328"/>
      <c r="O136" s="328" t="s">
        <v>992</v>
      </c>
      <c r="P136" s="325">
        <v>216.39</v>
      </c>
      <c r="Q136" s="374" t="s">
        <v>1692</v>
      </c>
      <c r="R136" s="287"/>
      <c r="S136" s="287"/>
      <c r="T136" s="287"/>
      <c r="U136" s="287"/>
      <c r="V136" s="287"/>
      <c r="W136" s="287"/>
      <c r="X136" s="287"/>
      <c r="Y136" s="287"/>
      <c r="Z136" s="287"/>
      <c r="AA136" s="287"/>
      <c r="AB136" s="287"/>
      <c r="AC136" s="287"/>
      <c r="AD136" s="287"/>
      <c r="AE136" s="287"/>
      <c r="AF136" s="287"/>
      <c r="AG136" s="287"/>
      <c r="AH136" s="287"/>
      <c r="AI136" s="287"/>
      <c r="AJ136" s="287"/>
      <c r="AK136" s="287"/>
      <c r="AL136" s="287"/>
      <c r="AM136" s="287"/>
      <c r="AN136" s="287"/>
      <c r="AO136" s="287"/>
      <c r="AP136" s="287"/>
      <c r="AQ136" s="287"/>
      <c r="AR136" s="287"/>
      <c r="AS136" s="287"/>
      <c r="AT136" s="287"/>
      <c r="AU136" s="287"/>
      <c r="AV136" s="287"/>
      <c r="AW136" s="287"/>
      <c r="AX136" s="287"/>
      <c r="AY136" s="287"/>
      <c r="AZ136" s="287"/>
      <c r="BA136" s="287"/>
      <c r="BB136" s="287"/>
      <c r="BC136" s="287"/>
      <c r="BD136" s="287"/>
      <c r="BE136" s="287"/>
      <c r="BF136" s="287"/>
      <c r="BG136" s="287"/>
      <c r="BH136" s="287"/>
      <c r="BI136" s="287"/>
      <c r="BJ136" s="287"/>
      <c r="BK136" s="287"/>
      <c r="BL136" s="287"/>
      <c r="BM136" s="287"/>
      <c r="BN136" s="287"/>
      <c r="BO136" s="287"/>
      <c r="BP136" s="287"/>
      <c r="BQ136" s="287"/>
      <c r="BR136" s="287"/>
      <c r="BS136" s="287"/>
      <c r="BT136" s="287"/>
      <c r="BU136" s="287"/>
      <c r="BV136" s="287"/>
      <c r="BW136" s="287"/>
      <c r="BX136" s="287"/>
      <c r="BY136" s="287"/>
      <c r="BZ136" s="287"/>
      <c r="CA136" s="287"/>
      <c r="CB136" s="287"/>
      <c r="CC136" s="287"/>
      <c r="CD136" s="287"/>
      <c r="CE136" s="287"/>
      <c r="CF136" s="287"/>
      <c r="CG136" s="287"/>
      <c r="CH136" s="287"/>
      <c r="CI136" s="287"/>
      <c r="CJ136" s="287"/>
      <c r="CK136" s="287"/>
      <c r="CL136" s="287"/>
      <c r="CM136" s="287"/>
      <c r="CN136" s="287"/>
      <c r="CO136" s="287"/>
      <c r="CP136" s="287"/>
      <c r="CQ136" s="287"/>
      <c r="CR136" s="287"/>
      <c r="CS136" s="287"/>
      <c r="CT136" s="287"/>
      <c r="CU136" s="287"/>
      <c r="CV136" s="287"/>
      <c r="CW136" s="287"/>
      <c r="CX136" s="287"/>
      <c r="CY136" s="287"/>
      <c r="CZ136" s="287"/>
      <c r="DA136" s="287"/>
      <c r="DB136" s="287"/>
      <c r="DC136" s="287"/>
      <c r="DD136" s="287"/>
      <c r="DE136" s="287"/>
      <c r="DF136" s="287"/>
      <c r="DG136" s="287"/>
      <c r="DH136" s="287"/>
      <c r="DI136" s="287"/>
      <c r="DJ136" s="287"/>
      <c r="DK136" s="287"/>
      <c r="DL136" s="287"/>
      <c r="DM136" s="287"/>
      <c r="DN136" s="287"/>
      <c r="DO136" s="287"/>
      <c r="DP136" s="287"/>
      <c r="DQ136" s="287"/>
      <c r="DR136" s="287"/>
      <c r="DS136" s="287"/>
      <c r="DT136" s="287"/>
      <c r="DU136" s="287"/>
      <c r="DV136" s="287"/>
      <c r="DW136" s="287"/>
      <c r="DX136" s="287"/>
      <c r="DY136" s="287"/>
      <c r="DZ136" s="287"/>
      <c r="EA136" s="287"/>
      <c r="EB136" s="287"/>
      <c r="EC136" s="287"/>
      <c r="ED136" s="287"/>
      <c r="EE136" s="287"/>
      <c r="EF136" s="287"/>
      <c r="EG136" s="287"/>
      <c r="EH136" s="287"/>
      <c r="EI136" s="287"/>
      <c r="EJ136" s="287"/>
      <c r="EK136" s="287"/>
      <c r="EL136" s="287"/>
      <c r="EM136" s="287"/>
      <c r="EN136" s="287"/>
      <c r="EO136" s="287"/>
      <c r="EP136" s="287"/>
      <c r="EQ136" s="287"/>
      <c r="ER136" s="287"/>
      <c r="ES136" s="287"/>
      <c r="ET136" s="287"/>
      <c r="EU136" s="287"/>
      <c r="EV136" s="287"/>
      <c r="EW136" s="287"/>
      <c r="EX136" s="287"/>
      <c r="EY136" s="287"/>
      <c r="EZ136" s="287"/>
      <c r="FA136" s="287"/>
      <c r="FB136" s="287"/>
      <c r="FC136" s="287"/>
      <c r="FD136" s="287"/>
      <c r="FE136" s="287"/>
      <c r="FF136" s="287"/>
      <c r="FG136" s="287"/>
      <c r="FH136" s="287"/>
      <c r="FI136" s="287"/>
      <c r="FJ136" s="287"/>
      <c r="FK136" s="287"/>
      <c r="FL136" s="287"/>
      <c r="FM136" s="287"/>
      <c r="FN136" s="287"/>
      <c r="FO136" s="287"/>
      <c r="FP136" s="287"/>
      <c r="FQ136" s="287"/>
      <c r="FR136" s="287"/>
      <c r="FS136" s="287"/>
      <c r="FT136" s="287"/>
      <c r="FU136" s="287"/>
      <c r="FV136" s="287"/>
      <c r="FW136" s="287"/>
    </row>
    <row r="137" spans="1:179" ht="43.2">
      <c r="A137" s="322" t="s">
        <v>753</v>
      </c>
      <c r="B137" s="288" t="s">
        <v>1693</v>
      </c>
      <c r="C137" s="327" t="s">
        <v>754</v>
      </c>
      <c r="D137" s="327">
        <v>859.81</v>
      </c>
      <c r="E137" s="327" t="s">
        <v>1634</v>
      </c>
      <c r="F137" s="328">
        <v>0.3</v>
      </c>
      <c r="G137" s="328" t="s">
        <v>1634</v>
      </c>
      <c r="H137" s="328">
        <v>0.6</v>
      </c>
      <c r="I137" s="328"/>
      <c r="J137" s="328"/>
      <c r="K137" s="328"/>
      <c r="L137" s="328"/>
      <c r="M137" s="328"/>
      <c r="N137" s="328"/>
      <c r="O137" s="328" t="s">
        <v>992</v>
      </c>
      <c r="P137" s="325">
        <v>154.77000000000001</v>
      </c>
      <c r="Q137" s="374" t="s">
        <v>1694</v>
      </c>
      <c r="R137" s="287"/>
      <c r="S137" s="287"/>
      <c r="T137" s="287"/>
      <c r="U137" s="287"/>
      <c r="V137" s="287"/>
      <c r="W137" s="287"/>
      <c r="X137" s="287"/>
      <c r="Y137" s="287"/>
      <c r="Z137" s="287"/>
      <c r="AA137" s="287"/>
      <c r="AB137" s="287"/>
      <c r="AC137" s="287"/>
      <c r="AD137" s="287"/>
      <c r="AE137" s="287"/>
      <c r="AF137" s="287"/>
      <c r="AG137" s="287"/>
      <c r="AH137" s="287"/>
      <c r="AI137" s="287"/>
      <c r="AJ137" s="287"/>
      <c r="AK137" s="287"/>
      <c r="AL137" s="287"/>
      <c r="AM137" s="287"/>
      <c r="AN137" s="287"/>
      <c r="AO137" s="287"/>
      <c r="AP137" s="287"/>
      <c r="AQ137" s="287"/>
      <c r="AR137" s="287"/>
      <c r="AS137" s="287"/>
      <c r="AT137" s="287"/>
      <c r="AU137" s="287"/>
      <c r="AV137" s="287"/>
      <c r="AW137" s="287"/>
      <c r="AX137" s="287"/>
      <c r="AY137" s="287"/>
      <c r="AZ137" s="287"/>
      <c r="BA137" s="287"/>
      <c r="BB137" s="287"/>
      <c r="BC137" s="287"/>
      <c r="BD137" s="287"/>
      <c r="BE137" s="287"/>
      <c r="BF137" s="287"/>
      <c r="BG137" s="287"/>
      <c r="BH137" s="287"/>
      <c r="BI137" s="287"/>
      <c r="BJ137" s="287"/>
      <c r="BK137" s="287"/>
      <c r="BL137" s="287"/>
      <c r="BM137" s="287"/>
      <c r="BN137" s="287"/>
      <c r="BO137" s="287"/>
      <c r="BP137" s="287"/>
      <c r="BQ137" s="287"/>
      <c r="BR137" s="287"/>
      <c r="BS137" s="287"/>
      <c r="BT137" s="287"/>
      <c r="BU137" s="287"/>
      <c r="BV137" s="287"/>
      <c r="BW137" s="287"/>
      <c r="BX137" s="287"/>
      <c r="BY137" s="287"/>
      <c r="BZ137" s="287"/>
      <c r="CA137" s="287"/>
      <c r="CB137" s="287"/>
      <c r="CC137" s="287"/>
      <c r="CD137" s="287"/>
      <c r="CE137" s="287"/>
      <c r="CF137" s="287"/>
      <c r="CG137" s="287"/>
      <c r="CH137" s="287"/>
      <c r="CI137" s="287"/>
      <c r="CJ137" s="287"/>
      <c r="CK137" s="287"/>
      <c r="CL137" s="287"/>
      <c r="CM137" s="287"/>
      <c r="CN137" s="287"/>
      <c r="CO137" s="287"/>
      <c r="CP137" s="287"/>
      <c r="CQ137" s="287"/>
      <c r="CR137" s="287"/>
      <c r="CS137" s="287"/>
      <c r="CT137" s="287"/>
      <c r="CU137" s="287"/>
      <c r="CV137" s="287"/>
      <c r="CW137" s="287"/>
      <c r="CX137" s="287"/>
      <c r="CY137" s="287"/>
      <c r="CZ137" s="287"/>
      <c r="DA137" s="287"/>
      <c r="DB137" s="287"/>
      <c r="DC137" s="287"/>
      <c r="DD137" s="287"/>
      <c r="DE137" s="287"/>
      <c r="DF137" s="287"/>
      <c r="DG137" s="287"/>
      <c r="DH137" s="287"/>
      <c r="DI137" s="287"/>
      <c r="DJ137" s="287"/>
      <c r="DK137" s="287"/>
      <c r="DL137" s="287"/>
      <c r="DM137" s="287"/>
      <c r="DN137" s="287"/>
      <c r="DO137" s="287"/>
      <c r="DP137" s="287"/>
      <c r="DQ137" s="287"/>
      <c r="DR137" s="287"/>
      <c r="DS137" s="287"/>
      <c r="DT137" s="287"/>
      <c r="DU137" s="287"/>
      <c r="DV137" s="287"/>
      <c r="DW137" s="287"/>
      <c r="DX137" s="287"/>
      <c r="DY137" s="287"/>
      <c r="DZ137" s="287"/>
      <c r="EA137" s="287"/>
      <c r="EB137" s="287"/>
      <c r="EC137" s="287"/>
      <c r="ED137" s="287"/>
      <c r="EE137" s="287"/>
      <c r="EF137" s="287"/>
      <c r="EG137" s="287"/>
      <c r="EH137" s="287"/>
      <c r="EI137" s="287"/>
      <c r="EJ137" s="287"/>
      <c r="EK137" s="287"/>
      <c r="EL137" s="287"/>
      <c r="EM137" s="287"/>
      <c r="EN137" s="287"/>
      <c r="EO137" s="287"/>
      <c r="EP137" s="287"/>
      <c r="EQ137" s="287"/>
      <c r="ER137" s="287"/>
      <c r="ES137" s="287"/>
      <c r="ET137" s="287"/>
      <c r="EU137" s="287"/>
      <c r="EV137" s="287"/>
      <c r="EW137" s="287"/>
      <c r="EX137" s="287"/>
      <c r="EY137" s="287"/>
      <c r="EZ137" s="287"/>
      <c r="FA137" s="287"/>
      <c r="FB137" s="287"/>
      <c r="FC137" s="287"/>
      <c r="FD137" s="287"/>
      <c r="FE137" s="287"/>
      <c r="FF137" s="287"/>
      <c r="FG137" s="287"/>
      <c r="FH137" s="287"/>
      <c r="FI137" s="287"/>
      <c r="FJ137" s="287"/>
      <c r="FK137" s="287"/>
      <c r="FL137" s="287"/>
      <c r="FM137" s="287"/>
      <c r="FN137" s="287"/>
      <c r="FO137" s="287"/>
      <c r="FP137" s="287"/>
      <c r="FQ137" s="287"/>
      <c r="FR137" s="287"/>
      <c r="FS137" s="287"/>
      <c r="FT137" s="287"/>
      <c r="FU137" s="287"/>
      <c r="FV137" s="287"/>
      <c r="FW137" s="287"/>
    </row>
    <row r="138" spans="1:179" ht="43.2">
      <c r="A138" s="322"/>
      <c r="B138" s="288" t="s">
        <v>1674</v>
      </c>
      <c r="C138" s="327" t="s">
        <v>998</v>
      </c>
      <c r="D138" s="327">
        <v>371.16</v>
      </c>
      <c r="E138" s="327" t="s">
        <v>1625</v>
      </c>
      <c r="F138" s="328">
        <v>201.39</v>
      </c>
      <c r="G138" s="328" t="s">
        <v>1625</v>
      </c>
      <c r="H138" s="328"/>
      <c r="I138" s="328"/>
      <c r="J138" s="328"/>
      <c r="K138" s="328"/>
      <c r="L138" s="328"/>
      <c r="M138" s="328"/>
      <c r="N138" s="328"/>
      <c r="O138" s="328" t="s">
        <v>1619</v>
      </c>
      <c r="P138" s="325">
        <v>169.77</v>
      </c>
      <c r="Q138" s="374" t="s">
        <v>1675</v>
      </c>
      <c r="R138" s="287"/>
      <c r="S138" s="287"/>
      <c r="T138" s="287"/>
      <c r="U138" s="287"/>
      <c r="V138" s="287"/>
      <c r="W138" s="287"/>
      <c r="X138" s="287"/>
      <c r="Y138" s="287"/>
      <c r="Z138" s="287"/>
      <c r="AA138" s="287"/>
      <c r="AB138" s="287"/>
      <c r="AC138" s="287"/>
      <c r="AD138" s="287"/>
      <c r="AE138" s="287"/>
      <c r="AF138" s="287"/>
      <c r="AG138" s="287"/>
      <c r="AH138" s="287"/>
      <c r="AI138" s="287"/>
      <c r="AJ138" s="287"/>
      <c r="AK138" s="287"/>
      <c r="AL138" s="287"/>
      <c r="AM138" s="287"/>
      <c r="AN138" s="287"/>
      <c r="AO138" s="287"/>
      <c r="AP138" s="287"/>
      <c r="AQ138" s="287"/>
      <c r="AR138" s="287"/>
      <c r="AS138" s="287"/>
      <c r="AT138" s="287"/>
      <c r="AU138" s="287"/>
      <c r="AV138" s="287"/>
      <c r="AW138" s="287"/>
      <c r="AX138" s="287"/>
      <c r="AY138" s="287"/>
      <c r="AZ138" s="287"/>
      <c r="BA138" s="287"/>
      <c r="BB138" s="287"/>
      <c r="BC138" s="287"/>
      <c r="BD138" s="287"/>
      <c r="BE138" s="287"/>
      <c r="BF138" s="287"/>
      <c r="BG138" s="287"/>
      <c r="BH138" s="287"/>
      <c r="BI138" s="287"/>
      <c r="BJ138" s="287"/>
      <c r="BK138" s="287"/>
      <c r="BL138" s="287"/>
      <c r="BM138" s="287"/>
      <c r="BN138" s="287"/>
      <c r="BO138" s="287"/>
      <c r="BP138" s="287"/>
      <c r="BQ138" s="287"/>
      <c r="BR138" s="287"/>
      <c r="BS138" s="287"/>
      <c r="BT138" s="287"/>
      <c r="BU138" s="287"/>
      <c r="BV138" s="287"/>
      <c r="BW138" s="287"/>
      <c r="BX138" s="287"/>
      <c r="BY138" s="287"/>
      <c r="BZ138" s="287"/>
      <c r="CA138" s="287"/>
      <c r="CB138" s="287"/>
      <c r="CC138" s="287"/>
      <c r="CD138" s="287"/>
      <c r="CE138" s="287"/>
      <c r="CF138" s="287"/>
      <c r="CG138" s="287"/>
      <c r="CH138" s="287"/>
      <c r="CI138" s="287"/>
      <c r="CJ138" s="287"/>
      <c r="CK138" s="287"/>
      <c r="CL138" s="287"/>
      <c r="CM138" s="287"/>
      <c r="CN138" s="287"/>
      <c r="CO138" s="287"/>
      <c r="CP138" s="287"/>
      <c r="CQ138" s="287"/>
      <c r="CR138" s="287"/>
      <c r="CS138" s="287"/>
      <c r="CT138" s="287"/>
      <c r="CU138" s="287"/>
      <c r="CV138" s="287"/>
      <c r="CW138" s="287"/>
      <c r="CX138" s="287"/>
      <c r="CY138" s="287"/>
      <c r="CZ138" s="287"/>
      <c r="DA138" s="287"/>
      <c r="DB138" s="287"/>
      <c r="DC138" s="287"/>
      <c r="DD138" s="287"/>
      <c r="DE138" s="287"/>
      <c r="DF138" s="287"/>
      <c r="DG138" s="287"/>
      <c r="DH138" s="287"/>
      <c r="DI138" s="287"/>
      <c r="DJ138" s="287"/>
      <c r="DK138" s="287"/>
      <c r="DL138" s="287"/>
      <c r="DM138" s="287"/>
      <c r="DN138" s="287"/>
      <c r="DO138" s="287"/>
      <c r="DP138" s="287"/>
      <c r="DQ138" s="287"/>
      <c r="DR138" s="287"/>
      <c r="DS138" s="287"/>
      <c r="DT138" s="287"/>
      <c r="DU138" s="287"/>
      <c r="DV138" s="287"/>
      <c r="DW138" s="287"/>
      <c r="DX138" s="287"/>
      <c r="DY138" s="287"/>
      <c r="DZ138" s="287"/>
      <c r="EA138" s="287"/>
      <c r="EB138" s="287"/>
      <c r="EC138" s="287"/>
      <c r="ED138" s="287"/>
      <c r="EE138" s="287"/>
      <c r="EF138" s="287"/>
      <c r="EG138" s="287"/>
      <c r="EH138" s="287"/>
      <c r="EI138" s="287"/>
      <c r="EJ138" s="287"/>
      <c r="EK138" s="287"/>
      <c r="EL138" s="287"/>
      <c r="EM138" s="287"/>
      <c r="EN138" s="287"/>
      <c r="EO138" s="287"/>
      <c r="EP138" s="287"/>
      <c r="EQ138" s="287"/>
      <c r="ER138" s="287"/>
      <c r="ES138" s="287"/>
      <c r="ET138" s="287"/>
      <c r="EU138" s="287"/>
      <c r="EV138" s="287"/>
      <c r="EW138" s="287"/>
      <c r="EX138" s="287"/>
      <c r="EY138" s="287"/>
      <c r="EZ138" s="287"/>
      <c r="FA138" s="287"/>
      <c r="FB138" s="287"/>
      <c r="FC138" s="287"/>
      <c r="FD138" s="287"/>
      <c r="FE138" s="287"/>
      <c r="FF138" s="287"/>
      <c r="FG138" s="287"/>
      <c r="FH138" s="287"/>
      <c r="FI138" s="287"/>
      <c r="FJ138" s="287"/>
      <c r="FK138" s="287"/>
      <c r="FL138" s="287"/>
      <c r="FM138" s="287"/>
      <c r="FN138" s="287"/>
      <c r="FO138" s="287"/>
      <c r="FP138" s="287"/>
      <c r="FQ138" s="287"/>
      <c r="FR138" s="287"/>
      <c r="FS138" s="287"/>
      <c r="FT138" s="287"/>
      <c r="FU138" s="287"/>
      <c r="FV138" s="287"/>
      <c r="FW138" s="287"/>
    </row>
    <row r="139" spans="1:179" ht="36" customHeight="1">
      <c r="A139" s="322"/>
      <c r="B139" s="288" t="s">
        <v>761</v>
      </c>
      <c r="C139" s="327" t="s">
        <v>654</v>
      </c>
      <c r="D139" s="330">
        <v>1442.63</v>
      </c>
      <c r="E139" s="327" t="s">
        <v>957</v>
      </c>
      <c r="F139" s="290">
        <v>0.3</v>
      </c>
      <c r="G139" s="290" t="s">
        <v>1622</v>
      </c>
      <c r="H139" s="290">
        <v>859.81</v>
      </c>
      <c r="I139" s="328" t="s">
        <v>1649</v>
      </c>
      <c r="J139" s="328">
        <v>0.3</v>
      </c>
      <c r="K139" s="328" t="s">
        <v>1622</v>
      </c>
      <c r="L139" s="328"/>
      <c r="M139" s="328"/>
      <c r="N139" s="328"/>
      <c r="O139" s="328" t="s">
        <v>992</v>
      </c>
      <c r="P139" s="325">
        <v>690.73</v>
      </c>
      <c r="Q139" s="292" t="s">
        <v>1676</v>
      </c>
      <c r="R139" s="287"/>
      <c r="S139" s="287"/>
      <c r="T139" s="287"/>
      <c r="U139" s="287"/>
      <c r="V139" s="287"/>
      <c r="W139" s="287"/>
      <c r="X139" s="287"/>
      <c r="Y139" s="287"/>
      <c r="Z139" s="287"/>
      <c r="AA139" s="287"/>
      <c r="AB139" s="287"/>
      <c r="AC139" s="287"/>
      <c r="AD139" s="287"/>
      <c r="AE139" s="287"/>
      <c r="AF139" s="287"/>
      <c r="AG139" s="287"/>
      <c r="AH139" s="287"/>
      <c r="AI139" s="287"/>
      <c r="AJ139" s="287"/>
      <c r="AK139" s="287"/>
      <c r="AL139" s="287"/>
      <c r="AM139" s="287"/>
      <c r="AN139" s="287"/>
      <c r="AO139" s="287"/>
      <c r="AP139" s="287"/>
      <c r="AQ139" s="287"/>
      <c r="AR139" s="287"/>
      <c r="AS139" s="287"/>
      <c r="AT139" s="287"/>
      <c r="AU139" s="287"/>
      <c r="AV139" s="287"/>
      <c r="AW139" s="287"/>
      <c r="AX139" s="287"/>
      <c r="AY139" s="287"/>
      <c r="AZ139" s="287"/>
      <c r="BA139" s="287"/>
      <c r="BB139" s="287"/>
      <c r="BC139" s="287"/>
      <c r="BD139" s="287"/>
      <c r="BE139" s="287"/>
      <c r="BF139" s="287"/>
      <c r="BG139" s="287"/>
      <c r="BH139" s="287"/>
      <c r="BI139" s="287"/>
      <c r="BJ139" s="287"/>
      <c r="BK139" s="287"/>
      <c r="BL139" s="287"/>
      <c r="BM139" s="287"/>
      <c r="BN139" s="287"/>
      <c r="BO139" s="287"/>
      <c r="BP139" s="287"/>
      <c r="BQ139" s="287"/>
      <c r="BR139" s="287"/>
      <c r="BS139" s="287"/>
      <c r="BT139" s="287"/>
      <c r="BU139" s="287"/>
      <c r="BV139" s="287"/>
      <c r="BW139" s="287"/>
      <c r="BX139" s="287"/>
      <c r="BY139" s="287"/>
      <c r="BZ139" s="287"/>
      <c r="CA139" s="287"/>
      <c r="CB139" s="287"/>
      <c r="CC139" s="287"/>
      <c r="CD139" s="287"/>
      <c r="CE139" s="287"/>
      <c r="CF139" s="287"/>
      <c r="CG139" s="287"/>
      <c r="CH139" s="287"/>
      <c r="CI139" s="287"/>
      <c r="CJ139" s="287"/>
      <c r="CK139" s="287"/>
      <c r="CL139" s="287"/>
      <c r="CM139" s="287"/>
      <c r="CN139" s="287"/>
      <c r="CO139" s="287"/>
      <c r="CP139" s="287"/>
      <c r="CQ139" s="287"/>
      <c r="CR139" s="287"/>
      <c r="CS139" s="287"/>
      <c r="CT139" s="287"/>
      <c r="CU139" s="287"/>
      <c r="CV139" s="287"/>
      <c r="CW139" s="287"/>
      <c r="CX139" s="287"/>
      <c r="CY139" s="287"/>
      <c r="CZ139" s="287"/>
      <c r="DA139" s="287"/>
      <c r="DB139" s="287"/>
      <c r="DC139" s="287"/>
      <c r="DD139" s="287"/>
      <c r="DE139" s="287"/>
      <c r="DF139" s="287"/>
      <c r="DG139" s="287"/>
      <c r="DH139" s="287"/>
      <c r="DI139" s="287"/>
      <c r="DJ139" s="287"/>
      <c r="DK139" s="287"/>
      <c r="DL139" s="287"/>
      <c r="DM139" s="287"/>
      <c r="DN139" s="287"/>
      <c r="DO139" s="287"/>
      <c r="DP139" s="287"/>
      <c r="DQ139" s="287"/>
      <c r="DR139" s="287"/>
      <c r="DS139" s="287"/>
      <c r="DT139" s="287"/>
      <c r="DU139" s="287"/>
      <c r="DV139" s="287"/>
      <c r="DW139" s="287"/>
      <c r="DX139" s="287"/>
      <c r="DY139" s="287"/>
      <c r="DZ139" s="287"/>
      <c r="EA139" s="287"/>
      <c r="EB139" s="287"/>
      <c r="EC139" s="287"/>
      <c r="ED139" s="287"/>
      <c r="EE139" s="287"/>
      <c r="EF139" s="287"/>
      <c r="EG139" s="287"/>
      <c r="EH139" s="287"/>
      <c r="EI139" s="287"/>
      <c r="EJ139" s="287"/>
      <c r="EK139" s="287"/>
      <c r="EL139" s="287"/>
      <c r="EM139" s="287"/>
      <c r="EN139" s="287"/>
      <c r="EO139" s="287"/>
      <c r="EP139" s="287"/>
      <c r="EQ139" s="287"/>
      <c r="ER139" s="287"/>
      <c r="ES139" s="287"/>
      <c r="ET139" s="287"/>
      <c r="EU139" s="287"/>
      <c r="EV139" s="287"/>
      <c r="EW139" s="287"/>
      <c r="EX139" s="287"/>
      <c r="EY139" s="287"/>
      <c r="EZ139" s="287"/>
      <c r="FA139" s="287"/>
      <c r="FB139" s="287"/>
      <c r="FC139" s="287"/>
      <c r="FD139" s="287"/>
      <c r="FE139" s="287"/>
      <c r="FF139" s="287"/>
      <c r="FG139" s="287"/>
      <c r="FH139" s="287"/>
      <c r="FI139" s="287"/>
      <c r="FJ139" s="287"/>
      <c r="FK139" s="287"/>
      <c r="FL139" s="287"/>
      <c r="FM139" s="287"/>
      <c r="FN139" s="287"/>
      <c r="FO139" s="287"/>
      <c r="FP139" s="287"/>
      <c r="FQ139" s="287"/>
      <c r="FR139" s="287"/>
      <c r="FS139" s="287"/>
      <c r="FT139" s="287"/>
      <c r="FU139" s="287"/>
      <c r="FV139" s="287"/>
      <c r="FW139" s="287"/>
    </row>
    <row r="140" spans="1:179" ht="31.2" customHeight="1">
      <c r="A140" s="322"/>
      <c r="B140" s="288" t="s">
        <v>1677</v>
      </c>
      <c r="C140" s="327" t="s">
        <v>646</v>
      </c>
      <c r="D140" s="327">
        <v>1442.63</v>
      </c>
      <c r="E140" s="327" t="s">
        <v>1634</v>
      </c>
      <c r="F140" s="328">
        <v>0.3</v>
      </c>
      <c r="G140" s="328" t="s">
        <v>1622</v>
      </c>
      <c r="H140" s="328">
        <v>859.81</v>
      </c>
      <c r="I140" s="328" t="s">
        <v>1634</v>
      </c>
      <c r="J140" s="328">
        <v>0.3</v>
      </c>
      <c r="K140" s="328" t="s">
        <v>1634</v>
      </c>
      <c r="L140" s="328">
        <v>0.05</v>
      </c>
      <c r="M140" s="328"/>
      <c r="N140" s="328"/>
      <c r="O140" s="328" t="s">
        <v>1619</v>
      </c>
      <c r="P140" s="325">
        <v>34.54</v>
      </c>
      <c r="Q140" s="374" t="s">
        <v>1695</v>
      </c>
      <c r="R140" s="287"/>
      <c r="S140" s="287"/>
      <c r="T140" s="287"/>
      <c r="U140" s="287"/>
      <c r="V140" s="287"/>
      <c r="W140" s="287"/>
      <c r="X140" s="287"/>
      <c r="Y140" s="287"/>
      <c r="Z140" s="287"/>
      <c r="AA140" s="287"/>
      <c r="AB140" s="287"/>
      <c r="AC140" s="287"/>
      <c r="AD140" s="287"/>
      <c r="AE140" s="287"/>
      <c r="AF140" s="287"/>
      <c r="AG140" s="287"/>
      <c r="AH140" s="287"/>
      <c r="AI140" s="287"/>
      <c r="AJ140" s="287"/>
      <c r="AK140" s="287"/>
      <c r="AL140" s="287"/>
      <c r="AM140" s="287"/>
      <c r="AN140" s="287"/>
      <c r="AO140" s="287"/>
      <c r="AP140" s="287"/>
      <c r="AQ140" s="287"/>
      <c r="AR140" s="287"/>
      <c r="AS140" s="287"/>
      <c r="AT140" s="287"/>
      <c r="AU140" s="287"/>
      <c r="AV140" s="287"/>
      <c r="AW140" s="287"/>
      <c r="AX140" s="287"/>
      <c r="AY140" s="287"/>
      <c r="AZ140" s="287"/>
      <c r="BA140" s="287"/>
      <c r="BB140" s="287"/>
      <c r="BC140" s="287"/>
      <c r="BD140" s="287"/>
      <c r="BE140" s="287"/>
      <c r="BF140" s="287"/>
      <c r="BG140" s="287"/>
      <c r="BH140" s="287"/>
      <c r="BI140" s="287"/>
      <c r="BJ140" s="287"/>
      <c r="BK140" s="287"/>
      <c r="BL140" s="287"/>
      <c r="BM140" s="287"/>
      <c r="BN140" s="287"/>
      <c r="BO140" s="287"/>
      <c r="BP140" s="287"/>
      <c r="BQ140" s="287"/>
      <c r="BR140" s="287"/>
      <c r="BS140" s="287"/>
      <c r="BT140" s="287"/>
      <c r="BU140" s="287"/>
      <c r="BV140" s="287"/>
      <c r="BW140" s="287"/>
      <c r="BX140" s="287"/>
      <c r="BY140" s="287"/>
      <c r="BZ140" s="287"/>
      <c r="CA140" s="287"/>
      <c r="CB140" s="287"/>
      <c r="CC140" s="287"/>
      <c r="CD140" s="287"/>
      <c r="CE140" s="287"/>
      <c r="CF140" s="287"/>
      <c r="CG140" s="287"/>
      <c r="CH140" s="287"/>
      <c r="CI140" s="287"/>
      <c r="CJ140" s="287"/>
      <c r="CK140" s="287"/>
      <c r="CL140" s="287"/>
      <c r="CM140" s="287"/>
      <c r="CN140" s="287"/>
      <c r="CO140" s="287"/>
      <c r="CP140" s="287"/>
      <c r="CQ140" s="287"/>
      <c r="CR140" s="287"/>
      <c r="CS140" s="287"/>
      <c r="CT140" s="287"/>
      <c r="CU140" s="287"/>
      <c r="CV140" s="287"/>
      <c r="CW140" s="287"/>
      <c r="CX140" s="287"/>
      <c r="CY140" s="287"/>
      <c r="CZ140" s="287"/>
      <c r="DA140" s="287"/>
      <c r="DB140" s="287"/>
      <c r="DC140" s="287"/>
      <c r="DD140" s="287"/>
      <c r="DE140" s="287"/>
      <c r="DF140" s="287"/>
      <c r="DG140" s="287"/>
      <c r="DH140" s="287"/>
      <c r="DI140" s="287"/>
      <c r="DJ140" s="287"/>
      <c r="DK140" s="287"/>
      <c r="DL140" s="287"/>
      <c r="DM140" s="287"/>
      <c r="DN140" s="287"/>
      <c r="DO140" s="287"/>
      <c r="DP140" s="287"/>
      <c r="DQ140" s="287"/>
      <c r="DR140" s="287"/>
      <c r="DS140" s="287"/>
      <c r="DT140" s="287"/>
      <c r="DU140" s="287"/>
      <c r="DV140" s="287"/>
      <c r="DW140" s="287"/>
      <c r="DX140" s="287"/>
      <c r="DY140" s="287"/>
      <c r="DZ140" s="287"/>
      <c r="EA140" s="287"/>
      <c r="EB140" s="287"/>
      <c r="EC140" s="287"/>
      <c r="ED140" s="287"/>
      <c r="EE140" s="287"/>
      <c r="EF140" s="287"/>
      <c r="EG140" s="287"/>
      <c r="EH140" s="287"/>
      <c r="EI140" s="287"/>
      <c r="EJ140" s="287"/>
      <c r="EK140" s="287"/>
      <c r="EL140" s="287"/>
      <c r="EM140" s="287"/>
      <c r="EN140" s="287"/>
      <c r="EO140" s="287"/>
      <c r="EP140" s="287"/>
      <c r="EQ140" s="287"/>
      <c r="ER140" s="287"/>
      <c r="ES140" s="287"/>
      <c r="ET140" s="287"/>
      <c r="EU140" s="287"/>
      <c r="EV140" s="287"/>
      <c r="EW140" s="287"/>
      <c r="EX140" s="287"/>
      <c r="EY140" s="287"/>
      <c r="EZ140" s="287"/>
      <c r="FA140" s="287"/>
      <c r="FB140" s="287"/>
      <c r="FC140" s="287"/>
      <c r="FD140" s="287"/>
      <c r="FE140" s="287"/>
      <c r="FF140" s="287"/>
      <c r="FG140" s="287"/>
      <c r="FH140" s="287"/>
      <c r="FI140" s="287"/>
      <c r="FJ140" s="287"/>
      <c r="FK140" s="287"/>
      <c r="FL140" s="287"/>
      <c r="FM140" s="287"/>
      <c r="FN140" s="287"/>
      <c r="FO140" s="287"/>
      <c r="FP140" s="287"/>
      <c r="FQ140" s="287"/>
      <c r="FR140" s="287"/>
      <c r="FS140" s="287"/>
      <c r="FT140" s="287"/>
      <c r="FU140" s="287"/>
      <c r="FV140" s="287"/>
      <c r="FW140" s="287"/>
    </row>
    <row r="141" spans="1:179" ht="43.2">
      <c r="A141" s="322" t="s">
        <v>762</v>
      </c>
      <c r="B141" s="288" t="s">
        <v>1696</v>
      </c>
      <c r="C141" s="327" t="s">
        <v>654</v>
      </c>
      <c r="D141" s="330">
        <v>1442.63</v>
      </c>
      <c r="E141" s="327" t="s">
        <v>957</v>
      </c>
      <c r="F141" s="290">
        <v>0.4</v>
      </c>
      <c r="G141" s="290" t="s">
        <v>957</v>
      </c>
      <c r="H141" s="290">
        <v>2</v>
      </c>
      <c r="I141" s="328"/>
      <c r="J141" s="328"/>
      <c r="K141" s="328"/>
      <c r="L141" s="328"/>
      <c r="M141" s="328"/>
      <c r="N141" s="328"/>
      <c r="O141" s="328" t="s">
        <v>992</v>
      </c>
      <c r="P141" s="325">
        <v>1154.0999999999999</v>
      </c>
      <c r="Q141" s="292" t="s">
        <v>1038</v>
      </c>
      <c r="R141" s="287"/>
      <c r="S141" s="287"/>
      <c r="T141" s="287"/>
      <c r="U141" s="287"/>
      <c r="V141" s="287"/>
      <c r="W141" s="287"/>
      <c r="X141" s="287"/>
      <c r="Y141" s="287"/>
      <c r="Z141" s="287"/>
      <c r="AA141" s="287"/>
      <c r="AB141" s="287"/>
      <c r="AC141" s="287"/>
      <c r="AD141" s="287"/>
      <c r="AE141" s="287"/>
      <c r="AF141" s="287"/>
      <c r="AG141" s="287"/>
      <c r="AH141" s="287"/>
      <c r="AI141" s="287"/>
      <c r="AJ141" s="287"/>
      <c r="AK141" s="287"/>
      <c r="AL141" s="287"/>
      <c r="AM141" s="287"/>
      <c r="AN141" s="287"/>
      <c r="AO141" s="287"/>
      <c r="AP141" s="287"/>
      <c r="AQ141" s="287"/>
      <c r="AR141" s="287"/>
      <c r="AS141" s="287"/>
      <c r="AT141" s="287"/>
      <c r="AU141" s="287"/>
      <c r="AV141" s="287"/>
      <c r="AW141" s="287"/>
      <c r="AX141" s="287"/>
      <c r="AY141" s="287"/>
      <c r="AZ141" s="287"/>
      <c r="BA141" s="287"/>
      <c r="BB141" s="287"/>
      <c r="BC141" s="287"/>
      <c r="BD141" s="287"/>
      <c r="BE141" s="287"/>
      <c r="BF141" s="287"/>
      <c r="BG141" s="287"/>
      <c r="BH141" s="287"/>
      <c r="BI141" s="287"/>
      <c r="BJ141" s="287"/>
      <c r="BK141" s="287"/>
      <c r="BL141" s="287"/>
      <c r="BM141" s="287"/>
      <c r="BN141" s="287"/>
      <c r="BO141" s="287"/>
      <c r="BP141" s="287"/>
      <c r="BQ141" s="287"/>
      <c r="BR141" s="287"/>
      <c r="BS141" s="287"/>
      <c r="BT141" s="287"/>
      <c r="BU141" s="287"/>
      <c r="BV141" s="287"/>
      <c r="BW141" s="287"/>
      <c r="BX141" s="287"/>
      <c r="BY141" s="287"/>
      <c r="BZ141" s="287"/>
      <c r="CA141" s="287"/>
      <c r="CB141" s="287"/>
      <c r="CC141" s="287"/>
      <c r="CD141" s="287"/>
      <c r="CE141" s="287"/>
      <c r="CF141" s="287"/>
      <c r="CG141" s="287"/>
      <c r="CH141" s="287"/>
      <c r="CI141" s="287"/>
      <c r="CJ141" s="287"/>
      <c r="CK141" s="287"/>
      <c r="CL141" s="287"/>
      <c r="CM141" s="287"/>
      <c r="CN141" s="287"/>
      <c r="CO141" s="287"/>
      <c r="CP141" s="287"/>
      <c r="CQ141" s="287"/>
      <c r="CR141" s="287"/>
      <c r="CS141" s="287"/>
      <c r="CT141" s="287"/>
      <c r="CU141" s="287"/>
      <c r="CV141" s="287"/>
      <c r="CW141" s="287"/>
      <c r="CX141" s="287"/>
      <c r="CY141" s="287"/>
      <c r="CZ141" s="287"/>
      <c r="DA141" s="287"/>
      <c r="DB141" s="287"/>
      <c r="DC141" s="287"/>
      <c r="DD141" s="287"/>
      <c r="DE141" s="287"/>
      <c r="DF141" s="287"/>
      <c r="DG141" s="287"/>
      <c r="DH141" s="287"/>
      <c r="DI141" s="287"/>
      <c r="DJ141" s="287"/>
      <c r="DK141" s="287"/>
      <c r="DL141" s="287"/>
      <c r="DM141" s="287"/>
      <c r="DN141" s="287"/>
      <c r="DO141" s="287"/>
      <c r="DP141" s="287"/>
      <c r="DQ141" s="287"/>
      <c r="DR141" s="287"/>
      <c r="DS141" s="287"/>
      <c r="DT141" s="287"/>
      <c r="DU141" s="287"/>
      <c r="DV141" s="287"/>
      <c r="DW141" s="287"/>
      <c r="DX141" s="287"/>
      <c r="DY141" s="287"/>
      <c r="DZ141" s="287"/>
      <c r="EA141" s="287"/>
      <c r="EB141" s="287"/>
      <c r="EC141" s="287"/>
      <c r="ED141" s="287"/>
      <c r="EE141" s="287"/>
      <c r="EF141" s="287"/>
      <c r="EG141" s="287"/>
      <c r="EH141" s="287"/>
      <c r="EI141" s="287"/>
      <c r="EJ141" s="287"/>
      <c r="EK141" s="287"/>
      <c r="EL141" s="287"/>
      <c r="EM141" s="287"/>
      <c r="EN141" s="287"/>
      <c r="EO141" s="287"/>
      <c r="EP141" s="287"/>
      <c r="EQ141" s="287"/>
      <c r="ER141" s="287"/>
      <c r="ES141" s="287"/>
      <c r="ET141" s="287"/>
      <c r="EU141" s="287"/>
      <c r="EV141" s="287"/>
      <c r="EW141" s="287"/>
      <c r="EX141" s="287"/>
      <c r="EY141" s="287"/>
      <c r="EZ141" s="287"/>
      <c r="FA141" s="287"/>
      <c r="FB141" s="287"/>
      <c r="FC141" s="287"/>
      <c r="FD141" s="287"/>
      <c r="FE141" s="287"/>
      <c r="FF141" s="287"/>
      <c r="FG141" s="287"/>
      <c r="FH141" s="287"/>
      <c r="FI141" s="287"/>
      <c r="FJ141" s="287"/>
      <c r="FK141" s="287"/>
      <c r="FL141" s="287"/>
      <c r="FM141" s="287"/>
      <c r="FN141" s="287"/>
      <c r="FO141" s="287"/>
      <c r="FP141" s="287"/>
      <c r="FQ141" s="287"/>
      <c r="FR141" s="287"/>
      <c r="FS141" s="287"/>
      <c r="FT141" s="287"/>
      <c r="FU141" s="287"/>
      <c r="FV141" s="287"/>
      <c r="FW141" s="287"/>
    </row>
    <row r="142" spans="1:179" ht="43.2">
      <c r="A142" s="322"/>
      <c r="B142" s="288" t="s">
        <v>1697</v>
      </c>
      <c r="C142" s="327" t="s">
        <v>654</v>
      </c>
      <c r="D142" s="330">
        <v>859.81</v>
      </c>
      <c r="E142" s="327" t="s">
        <v>1634</v>
      </c>
      <c r="F142" s="290">
        <v>0.5</v>
      </c>
      <c r="G142" s="290" t="s">
        <v>1634</v>
      </c>
      <c r="H142" s="290">
        <v>2</v>
      </c>
      <c r="I142" s="328"/>
      <c r="J142" s="328"/>
      <c r="K142" s="328"/>
      <c r="L142" s="328"/>
      <c r="M142" s="328"/>
      <c r="N142" s="328"/>
      <c r="O142" s="328"/>
      <c r="P142" s="325">
        <v>859.81</v>
      </c>
      <c r="Q142" s="292"/>
      <c r="R142" s="287"/>
      <c r="S142" s="287"/>
      <c r="T142" s="287"/>
      <c r="U142" s="287"/>
      <c r="V142" s="287"/>
      <c r="W142" s="287"/>
      <c r="X142" s="287"/>
      <c r="Y142" s="287"/>
      <c r="Z142" s="287"/>
      <c r="AA142" s="287"/>
      <c r="AB142" s="287"/>
      <c r="AC142" s="287"/>
      <c r="AD142" s="287"/>
      <c r="AE142" s="287"/>
      <c r="AF142" s="287"/>
      <c r="AG142" s="287"/>
      <c r="AH142" s="287"/>
      <c r="AI142" s="287"/>
      <c r="AJ142" s="287"/>
      <c r="AK142" s="287"/>
      <c r="AL142" s="287"/>
      <c r="AM142" s="287"/>
      <c r="AN142" s="287"/>
      <c r="AO142" s="287"/>
      <c r="AP142" s="287"/>
      <c r="AQ142" s="287"/>
      <c r="AR142" s="287"/>
      <c r="AS142" s="287"/>
      <c r="AT142" s="287"/>
      <c r="AU142" s="287"/>
      <c r="AV142" s="287"/>
      <c r="AW142" s="287"/>
      <c r="AX142" s="287"/>
      <c r="AY142" s="287"/>
      <c r="AZ142" s="287"/>
      <c r="BA142" s="287"/>
      <c r="BB142" s="287"/>
      <c r="BC142" s="287"/>
      <c r="BD142" s="287"/>
      <c r="BE142" s="287"/>
      <c r="BF142" s="287"/>
      <c r="BG142" s="287"/>
      <c r="BH142" s="287"/>
      <c r="BI142" s="287"/>
      <c r="BJ142" s="287"/>
      <c r="BK142" s="287"/>
      <c r="BL142" s="287"/>
      <c r="BM142" s="287"/>
      <c r="BN142" s="287"/>
      <c r="BO142" s="287"/>
      <c r="BP142" s="287"/>
      <c r="BQ142" s="287"/>
      <c r="BR142" s="287"/>
      <c r="BS142" s="287"/>
      <c r="BT142" s="287"/>
      <c r="BU142" s="287"/>
      <c r="BV142" s="287"/>
      <c r="BW142" s="287"/>
      <c r="BX142" s="287"/>
      <c r="BY142" s="287"/>
      <c r="BZ142" s="287"/>
      <c r="CA142" s="287"/>
      <c r="CB142" s="287"/>
      <c r="CC142" s="287"/>
      <c r="CD142" s="287"/>
      <c r="CE142" s="287"/>
      <c r="CF142" s="287"/>
      <c r="CG142" s="287"/>
      <c r="CH142" s="287"/>
      <c r="CI142" s="287"/>
      <c r="CJ142" s="287"/>
      <c r="CK142" s="287"/>
      <c r="CL142" s="287"/>
      <c r="CM142" s="287"/>
      <c r="CN142" s="287"/>
      <c r="CO142" s="287"/>
      <c r="CP142" s="287"/>
      <c r="CQ142" s="287"/>
      <c r="CR142" s="287"/>
      <c r="CS142" s="287"/>
      <c r="CT142" s="287"/>
      <c r="CU142" s="287"/>
      <c r="CV142" s="287"/>
      <c r="CW142" s="287"/>
      <c r="CX142" s="287"/>
      <c r="CY142" s="287"/>
      <c r="CZ142" s="287"/>
      <c r="DA142" s="287"/>
      <c r="DB142" s="287"/>
      <c r="DC142" s="287"/>
      <c r="DD142" s="287"/>
      <c r="DE142" s="287"/>
      <c r="DF142" s="287"/>
      <c r="DG142" s="287"/>
      <c r="DH142" s="287"/>
      <c r="DI142" s="287"/>
      <c r="DJ142" s="287"/>
      <c r="DK142" s="287"/>
      <c r="DL142" s="287"/>
      <c r="DM142" s="287"/>
      <c r="DN142" s="287"/>
      <c r="DO142" s="287"/>
      <c r="DP142" s="287"/>
      <c r="DQ142" s="287"/>
      <c r="DR142" s="287"/>
      <c r="DS142" s="287"/>
      <c r="DT142" s="287"/>
      <c r="DU142" s="287"/>
      <c r="DV142" s="287"/>
      <c r="DW142" s="287"/>
      <c r="DX142" s="287"/>
      <c r="DY142" s="287"/>
      <c r="DZ142" s="287"/>
      <c r="EA142" s="287"/>
      <c r="EB142" s="287"/>
      <c r="EC142" s="287"/>
      <c r="ED142" s="287"/>
      <c r="EE142" s="287"/>
      <c r="EF142" s="287"/>
      <c r="EG142" s="287"/>
      <c r="EH142" s="287"/>
      <c r="EI142" s="287"/>
      <c r="EJ142" s="287"/>
      <c r="EK142" s="287"/>
      <c r="EL142" s="287"/>
      <c r="EM142" s="287"/>
      <c r="EN142" s="287"/>
      <c r="EO142" s="287"/>
      <c r="EP142" s="287"/>
      <c r="EQ142" s="287"/>
      <c r="ER142" s="287"/>
      <c r="ES142" s="287"/>
      <c r="ET142" s="287"/>
      <c r="EU142" s="287"/>
      <c r="EV142" s="287"/>
      <c r="EW142" s="287"/>
      <c r="EX142" s="287"/>
      <c r="EY142" s="287"/>
      <c r="EZ142" s="287"/>
      <c r="FA142" s="287"/>
      <c r="FB142" s="287"/>
      <c r="FC142" s="287"/>
      <c r="FD142" s="287"/>
      <c r="FE142" s="287"/>
      <c r="FF142" s="287"/>
      <c r="FG142" s="287"/>
      <c r="FH142" s="287"/>
      <c r="FI142" s="287"/>
      <c r="FJ142" s="287"/>
      <c r="FK142" s="287"/>
      <c r="FL142" s="287"/>
      <c r="FM142" s="287"/>
      <c r="FN142" s="287"/>
      <c r="FO142" s="287"/>
      <c r="FP142" s="287"/>
      <c r="FQ142" s="287"/>
      <c r="FR142" s="287"/>
      <c r="FS142" s="287"/>
      <c r="FT142" s="287"/>
      <c r="FU142" s="287"/>
      <c r="FV142" s="287"/>
      <c r="FW142" s="287"/>
    </row>
    <row r="143" spans="1:179" ht="43.2">
      <c r="A143" s="322" t="s">
        <v>763</v>
      </c>
      <c r="B143" s="338" t="s">
        <v>764</v>
      </c>
      <c r="C143" s="327" t="s">
        <v>757</v>
      </c>
      <c r="D143" s="336">
        <v>45</v>
      </c>
      <c r="E143" s="327" t="s">
        <v>952</v>
      </c>
      <c r="F143" s="328">
        <v>201.39</v>
      </c>
      <c r="G143" s="328"/>
      <c r="H143" s="328"/>
      <c r="I143" s="328"/>
      <c r="J143" s="328"/>
      <c r="K143" s="328"/>
      <c r="L143" s="328"/>
      <c r="M143" s="328"/>
      <c r="N143" s="328"/>
      <c r="O143" s="328" t="s">
        <v>992</v>
      </c>
      <c r="P143" s="325">
        <v>9062.5499999999993</v>
      </c>
      <c r="Q143" s="292"/>
      <c r="R143" s="287"/>
      <c r="S143" s="287"/>
      <c r="T143" s="287"/>
      <c r="U143" s="287"/>
      <c r="V143" s="287"/>
      <c r="W143" s="287"/>
      <c r="X143" s="287"/>
      <c r="Y143" s="287"/>
      <c r="Z143" s="287"/>
      <c r="AA143" s="287"/>
      <c r="AB143" s="287"/>
      <c r="AC143" s="287"/>
      <c r="AD143" s="287"/>
      <c r="AE143" s="287"/>
      <c r="AF143" s="287"/>
      <c r="AG143" s="287"/>
      <c r="AH143" s="287"/>
      <c r="AI143" s="287"/>
      <c r="AJ143" s="287"/>
      <c r="AK143" s="287"/>
      <c r="AL143" s="287"/>
      <c r="AM143" s="287"/>
      <c r="AN143" s="287"/>
      <c r="AO143" s="287"/>
      <c r="AP143" s="287"/>
      <c r="AQ143" s="287"/>
      <c r="AR143" s="287"/>
      <c r="AS143" s="287"/>
      <c r="AT143" s="287"/>
      <c r="AU143" s="287"/>
      <c r="AV143" s="287"/>
      <c r="AW143" s="287"/>
      <c r="AX143" s="287"/>
      <c r="AY143" s="287"/>
      <c r="AZ143" s="287"/>
      <c r="BA143" s="287"/>
      <c r="BB143" s="287"/>
      <c r="BC143" s="287"/>
      <c r="BD143" s="287"/>
      <c r="BE143" s="287"/>
      <c r="BF143" s="287"/>
      <c r="BG143" s="287"/>
      <c r="BH143" s="287"/>
      <c r="BI143" s="287"/>
      <c r="BJ143" s="287"/>
      <c r="BK143" s="287"/>
      <c r="BL143" s="287"/>
      <c r="BM143" s="287"/>
      <c r="BN143" s="287"/>
      <c r="BO143" s="287"/>
      <c r="BP143" s="287"/>
      <c r="BQ143" s="287"/>
      <c r="BR143" s="287"/>
      <c r="BS143" s="287"/>
      <c r="BT143" s="287"/>
      <c r="BU143" s="287"/>
      <c r="BV143" s="287"/>
      <c r="BW143" s="287"/>
      <c r="BX143" s="287"/>
      <c r="BY143" s="287"/>
      <c r="BZ143" s="287"/>
      <c r="CA143" s="287"/>
      <c r="CB143" s="287"/>
      <c r="CC143" s="287"/>
      <c r="CD143" s="287"/>
      <c r="CE143" s="287"/>
      <c r="CF143" s="287"/>
      <c r="CG143" s="287"/>
      <c r="CH143" s="287"/>
      <c r="CI143" s="287"/>
      <c r="CJ143" s="287"/>
      <c r="CK143" s="287"/>
      <c r="CL143" s="287"/>
      <c r="CM143" s="287"/>
      <c r="CN143" s="287"/>
      <c r="CO143" s="287"/>
      <c r="CP143" s="287"/>
      <c r="CQ143" s="287"/>
      <c r="CR143" s="287"/>
      <c r="CS143" s="287"/>
      <c r="CT143" s="287"/>
      <c r="CU143" s="287"/>
      <c r="CV143" s="287"/>
      <c r="CW143" s="287"/>
      <c r="CX143" s="287"/>
      <c r="CY143" s="287"/>
      <c r="CZ143" s="287"/>
      <c r="DA143" s="287"/>
      <c r="DB143" s="287"/>
      <c r="DC143" s="287"/>
      <c r="DD143" s="287"/>
      <c r="DE143" s="287"/>
      <c r="DF143" s="287"/>
      <c r="DG143" s="287"/>
      <c r="DH143" s="287"/>
      <c r="DI143" s="287"/>
      <c r="DJ143" s="287"/>
      <c r="DK143" s="287"/>
      <c r="DL143" s="287"/>
      <c r="DM143" s="287"/>
      <c r="DN143" s="287"/>
      <c r="DO143" s="287"/>
      <c r="DP143" s="287"/>
      <c r="DQ143" s="287"/>
      <c r="DR143" s="287"/>
      <c r="DS143" s="287"/>
      <c r="DT143" s="287"/>
      <c r="DU143" s="287"/>
      <c r="DV143" s="287"/>
      <c r="DW143" s="287"/>
      <c r="DX143" s="287"/>
      <c r="DY143" s="287"/>
      <c r="DZ143" s="287"/>
      <c r="EA143" s="287"/>
      <c r="EB143" s="287"/>
      <c r="EC143" s="287"/>
      <c r="ED143" s="287"/>
      <c r="EE143" s="287"/>
      <c r="EF143" s="287"/>
      <c r="EG143" s="287"/>
      <c r="EH143" s="287"/>
      <c r="EI143" s="287"/>
      <c r="EJ143" s="287"/>
      <c r="EK143" s="287"/>
      <c r="EL143" s="287"/>
      <c r="EM143" s="287"/>
      <c r="EN143" s="287"/>
      <c r="EO143" s="287"/>
      <c r="EP143" s="287"/>
      <c r="EQ143" s="287"/>
      <c r="ER143" s="287"/>
      <c r="ES143" s="287"/>
      <c r="ET143" s="287"/>
      <c r="EU143" s="287"/>
      <c r="EV143" s="287"/>
      <c r="EW143" s="287"/>
      <c r="EX143" s="287"/>
      <c r="EY143" s="287"/>
      <c r="EZ143" s="287"/>
      <c r="FA143" s="287"/>
      <c r="FB143" s="287"/>
      <c r="FC143" s="287"/>
      <c r="FD143" s="287"/>
      <c r="FE143" s="287"/>
      <c r="FF143" s="287"/>
      <c r="FG143" s="287"/>
      <c r="FH143" s="287"/>
      <c r="FI143" s="287"/>
      <c r="FJ143" s="287"/>
      <c r="FK143" s="287"/>
      <c r="FL143" s="287"/>
      <c r="FM143" s="287"/>
      <c r="FN143" s="287"/>
      <c r="FO143" s="287"/>
      <c r="FP143" s="287"/>
      <c r="FQ143" s="287"/>
      <c r="FR143" s="287"/>
      <c r="FS143" s="287"/>
      <c r="FT143" s="287"/>
      <c r="FU143" s="287"/>
      <c r="FV143" s="287"/>
      <c r="FW143" s="287"/>
    </row>
    <row r="144" spans="1:179" ht="43.2">
      <c r="A144" s="322" t="s">
        <v>765</v>
      </c>
      <c r="B144" s="288" t="s">
        <v>766</v>
      </c>
      <c r="C144" s="327" t="s">
        <v>704</v>
      </c>
      <c r="D144" s="336">
        <v>1442.63</v>
      </c>
      <c r="E144" s="327" t="s">
        <v>1634</v>
      </c>
      <c r="F144" s="328">
        <v>0.08</v>
      </c>
      <c r="G144" s="328" t="s">
        <v>1622</v>
      </c>
      <c r="H144" s="328">
        <v>859.81</v>
      </c>
      <c r="I144" s="328" t="s">
        <v>1634</v>
      </c>
      <c r="J144" s="328">
        <v>0.1</v>
      </c>
      <c r="K144" s="328"/>
      <c r="L144" s="328"/>
      <c r="M144" s="328"/>
      <c r="N144" s="328"/>
      <c r="O144" s="328" t="s">
        <v>992</v>
      </c>
      <c r="P144" s="325">
        <v>201.39</v>
      </c>
      <c r="Q144" s="292"/>
      <c r="R144" s="287"/>
      <c r="S144" s="287"/>
      <c r="T144" s="287"/>
      <c r="U144" s="287"/>
      <c r="V144" s="287"/>
      <c r="W144" s="287"/>
      <c r="X144" s="287"/>
      <c r="Y144" s="287"/>
      <c r="Z144" s="287"/>
      <c r="AA144" s="287"/>
      <c r="AB144" s="287"/>
      <c r="AC144" s="287"/>
      <c r="AD144" s="287"/>
      <c r="AE144" s="287"/>
      <c r="AF144" s="287"/>
      <c r="AG144" s="287"/>
      <c r="AH144" s="287"/>
      <c r="AI144" s="287"/>
      <c r="AJ144" s="287"/>
      <c r="AK144" s="287"/>
      <c r="AL144" s="287"/>
      <c r="AM144" s="287"/>
      <c r="AN144" s="287"/>
      <c r="AO144" s="287"/>
      <c r="AP144" s="287"/>
      <c r="AQ144" s="287"/>
      <c r="AR144" s="287"/>
      <c r="AS144" s="287"/>
      <c r="AT144" s="287"/>
      <c r="AU144" s="287"/>
      <c r="AV144" s="287"/>
      <c r="AW144" s="287"/>
      <c r="AX144" s="287"/>
      <c r="AY144" s="287"/>
      <c r="AZ144" s="287"/>
      <c r="BA144" s="287"/>
      <c r="BB144" s="287"/>
      <c r="BC144" s="287"/>
      <c r="BD144" s="287"/>
      <c r="BE144" s="287"/>
      <c r="BF144" s="287"/>
      <c r="BG144" s="287"/>
      <c r="BH144" s="287"/>
      <c r="BI144" s="287"/>
      <c r="BJ144" s="287"/>
      <c r="BK144" s="287"/>
      <c r="BL144" s="287"/>
      <c r="BM144" s="287"/>
      <c r="BN144" s="287"/>
      <c r="BO144" s="287"/>
      <c r="BP144" s="287"/>
      <c r="BQ144" s="287"/>
      <c r="BR144" s="287"/>
      <c r="BS144" s="287"/>
      <c r="BT144" s="287"/>
      <c r="BU144" s="287"/>
      <c r="BV144" s="287"/>
      <c r="BW144" s="287"/>
      <c r="BX144" s="287"/>
      <c r="BY144" s="287"/>
      <c r="BZ144" s="287"/>
      <c r="CA144" s="287"/>
      <c r="CB144" s="287"/>
      <c r="CC144" s="287"/>
      <c r="CD144" s="287"/>
      <c r="CE144" s="287"/>
      <c r="CF144" s="287"/>
      <c r="CG144" s="287"/>
      <c r="CH144" s="287"/>
      <c r="CI144" s="287"/>
      <c r="CJ144" s="287"/>
      <c r="CK144" s="287"/>
      <c r="CL144" s="287"/>
      <c r="CM144" s="287"/>
      <c r="CN144" s="287"/>
      <c r="CO144" s="287"/>
      <c r="CP144" s="287"/>
      <c r="CQ144" s="287"/>
      <c r="CR144" s="287"/>
      <c r="CS144" s="287"/>
      <c r="CT144" s="287"/>
      <c r="CU144" s="287"/>
      <c r="CV144" s="287"/>
      <c r="CW144" s="287"/>
      <c r="CX144" s="287"/>
      <c r="CY144" s="287"/>
      <c r="CZ144" s="287"/>
      <c r="DA144" s="287"/>
      <c r="DB144" s="287"/>
      <c r="DC144" s="287"/>
      <c r="DD144" s="287"/>
      <c r="DE144" s="287"/>
      <c r="DF144" s="287"/>
      <c r="DG144" s="287"/>
      <c r="DH144" s="287"/>
      <c r="DI144" s="287"/>
      <c r="DJ144" s="287"/>
      <c r="DK144" s="287"/>
      <c r="DL144" s="287"/>
      <c r="DM144" s="287"/>
      <c r="DN144" s="287"/>
      <c r="DO144" s="287"/>
      <c r="DP144" s="287"/>
      <c r="DQ144" s="287"/>
      <c r="DR144" s="287"/>
      <c r="DS144" s="287"/>
      <c r="DT144" s="287"/>
      <c r="DU144" s="287"/>
      <c r="DV144" s="287"/>
      <c r="DW144" s="287"/>
      <c r="DX144" s="287"/>
      <c r="DY144" s="287"/>
      <c r="DZ144" s="287"/>
      <c r="EA144" s="287"/>
      <c r="EB144" s="287"/>
      <c r="EC144" s="287"/>
      <c r="ED144" s="287"/>
      <c r="EE144" s="287"/>
      <c r="EF144" s="287"/>
      <c r="EG144" s="287"/>
      <c r="EH144" s="287"/>
      <c r="EI144" s="287"/>
      <c r="EJ144" s="287"/>
      <c r="EK144" s="287"/>
      <c r="EL144" s="287"/>
      <c r="EM144" s="287"/>
      <c r="EN144" s="287"/>
      <c r="EO144" s="287"/>
      <c r="EP144" s="287"/>
      <c r="EQ144" s="287"/>
      <c r="ER144" s="287"/>
      <c r="ES144" s="287"/>
      <c r="ET144" s="287"/>
      <c r="EU144" s="287"/>
      <c r="EV144" s="287"/>
      <c r="EW144" s="287"/>
      <c r="EX144" s="287"/>
      <c r="EY144" s="287"/>
      <c r="EZ144" s="287"/>
      <c r="FA144" s="287"/>
      <c r="FB144" s="287"/>
      <c r="FC144" s="287"/>
      <c r="FD144" s="287"/>
      <c r="FE144" s="287"/>
      <c r="FF144" s="287"/>
      <c r="FG144" s="287"/>
      <c r="FH144" s="287"/>
      <c r="FI144" s="287"/>
      <c r="FJ144" s="287"/>
      <c r="FK144" s="287"/>
      <c r="FL144" s="287"/>
      <c r="FM144" s="287"/>
      <c r="FN144" s="287"/>
      <c r="FO144" s="287"/>
      <c r="FP144" s="287"/>
      <c r="FQ144" s="287"/>
      <c r="FR144" s="287"/>
      <c r="FS144" s="287"/>
      <c r="FT144" s="287"/>
      <c r="FU144" s="287"/>
      <c r="FV144" s="287"/>
      <c r="FW144" s="287"/>
    </row>
    <row r="145" spans="1:180" ht="19.95" customHeight="1">
      <c r="A145" s="322"/>
      <c r="B145" s="288"/>
      <c r="C145" s="327"/>
      <c r="D145" s="336"/>
      <c r="E145" s="327"/>
      <c r="F145" s="328"/>
      <c r="G145" s="328"/>
      <c r="H145" s="328"/>
      <c r="I145" s="328"/>
      <c r="J145" s="328"/>
      <c r="K145" s="328"/>
      <c r="L145" s="328"/>
      <c r="M145" s="328"/>
      <c r="N145" s="328"/>
      <c r="O145" s="328"/>
      <c r="P145" s="325"/>
      <c r="Q145" s="292"/>
      <c r="R145" s="287"/>
      <c r="S145" s="287"/>
      <c r="T145" s="287"/>
      <c r="U145" s="287"/>
      <c r="V145" s="287"/>
      <c r="W145" s="287"/>
      <c r="X145" s="287"/>
      <c r="Y145" s="287"/>
      <c r="Z145" s="287"/>
      <c r="AA145" s="287"/>
      <c r="AB145" s="287"/>
      <c r="AC145" s="287"/>
      <c r="AD145" s="287"/>
      <c r="AE145" s="287"/>
      <c r="AF145" s="287"/>
      <c r="AG145" s="287"/>
      <c r="AH145" s="287"/>
      <c r="AI145" s="287"/>
      <c r="AJ145" s="287"/>
      <c r="AK145" s="287"/>
      <c r="AL145" s="287"/>
      <c r="AM145" s="287"/>
      <c r="AN145" s="287"/>
      <c r="AO145" s="287"/>
      <c r="AP145" s="287"/>
      <c r="AQ145" s="287"/>
      <c r="AR145" s="287"/>
      <c r="AS145" s="287"/>
      <c r="AT145" s="287"/>
      <c r="AU145" s="287"/>
      <c r="AV145" s="287"/>
      <c r="AW145" s="287"/>
      <c r="AX145" s="287"/>
      <c r="AY145" s="287"/>
      <c r="AZ145" s="287"/>
      <c r="BA145" s="287"/>
      <c r="BB145" s="287"/>
      <c r="BC145" s="287"/>
      <c r="BD145" s="287"/>
      <c r="BE145" s="287"/>
      <c r="BF145" s="287"/>
      <c r="BG145" s="287"/>
      <c r="BH145" s="287"/>
      <c r="BI145" s="287"/>
      <c r="BJ145" s="287"/>
      <c r="BK145" s="287"/>
      <c r="BL145" s="287"/>
      <c r="BM145" s="287"/>
      <c r="BN145" s="287"/>
      <c r="BO145" s="287"/>
      <c r="BP145" s="287"/>
      <c r="BQ145" s="287"/>
      <c r="BR145" s="287"/>
      <c r="BS145" s="287"/>
      <c r="BT145" s="287"/>
      <c r="BU145" s="287"/>
      <c r="BV145" s="287"/>
      <c r="BW145" s="287"/>
      <c r="BX145" s="287"/>
      <c r="BY145" s="287"/>
      <c r="BZ145" s="287"/>
      <c r="CA145" s="287"/>
      <c r="CB145" s="287"/>
      <c r="CC145" s="287"/>
      <c r="CD145" s="287"/>
      <c r="CE145" s="287"/>
      <c r="CF145" s="287"/>
      <c r="CG145" s="287"/>
      <c r="CH145" s="287"/>
      <c r="CI145" s="287"/>
      <c r="CJ145" s="287"/>
      <c r="CK145" s="287"/>
      <c r="CL145" s="287"/>
      <c r="CM145" s="287"/>
      <c r="CN145" s="287"/>
      <c r="CO145" s="287"/>
      <c r="CP145" s="287"/>
      <c r="CQ145" s="287"/>
      <c r="CR145" s="287"/>
      <c r="CS145" s="287"/>
      <c r="CT145" s="287"/>
      <c r="CU145" s="287"/>
      <c r="CV145" s="287"/>
      <c r="CW145" s="287"/>
      <c r="CX145" s="287"/>
      <c r="CY145" s="287"/>
      <c r="CZ145" s="287"/>
      <c r="DA145" s="287"/>
      <c r="DB145" s="287"/>
      <c r="DC145" s="287"/>
      <c r="DD145" s="287"/>
      <c r="DE145" s="287"/>
      <c r="DF145" s="287"/>
      <c r="DG145" s="287"/>
      <c r="DH145" s="287"/>
      <c r="DI145" s="287"/>
      <c r="DJ145" s="287"/>
      <c r="DK145" s="287"/>
      <c r="DL145" s="287"/>
      <c r="DM145" s="287"/>
      <c r="DN145" s="287"/>
      <c r="DO145" s="287"/>
      <c r="DP145" s="287"/>
      <c r="DQ145" s="287"/>
      <c r="DR145" s="287"/>
      <c r="DS145" s="287"/>
      <c r="DT145" s="287"/>
      <c r="DU145" s="287"/>
      <c r="DV145" s="287"/>
      <c r="DW145" s="287"/>
      <c r="DX145" s="287"/>
      <c r="DY145" s="287"/>
      <c r="DZ145" s="287"/>
      <c r="EA145" s="287"/>
      <c r="EB145" s="287"/>
      <c r="EC145" s="287"/>
      <c r="ED145" s="287"/>
      <c r="EE145" s="287"/>
      <c r="EF145" s="287"/>
      <c r="EG145" s="287"/>
      <c r="EH145" s="287"/>
      <c r="EI145" s="287"/>
      <c r="EJ145" s="287"/>
      <c r="EK145" s="287"/>
      <c r="EL145" s="287"/>
      <c r="EM145" s="287"/>
      <c r="EN145" s="287"/>
      <c r="EO145" s="287"/>
      <c r="EP145" s="287"/>
      <c r="EQ145" s="287"/>
      <c r="ER145" s="287"/>
      <c r="ES145" s="287"/>
      <c r="ET145" s="287"/>
      <c r="EU145" s="287"/>
      <c r="EV145" s="287"/>
      <c r="EW145" s="287"/>
      <c r="EX145" s="287"/>
      <c r="EY145" s="287"/>
      <c r="EZ145" s="287"/>
      <c r="FA145" s="287"/>
      <c r="FB145" s="287"/>
      <c r="FC145" s="287"/>
      <c r="FD145" s="287"/>
      <c r="FE145" s="287"/>
      <c r="FF145" s="287"/>
      <c r="FG145" s="287"/>
      <c r="FH145" s="287"/>
      <c r="FI145" s="287"/>
      <c r="FJ145" s="287"/>
      <c r="FK145" s="287"/>
      <c r="FL145" s="287"/>
      <c r="FM145" s="287"/>
      <c r="FN145" s="287"/>
      <c r="FO145" s="287"/>
      <c r="FP145" s="287"/>
      <c r="FQ145" s="287"/>
      <c r="FR145" s="287"/>
      <c r="FS145" s="287"/>
      <c r="FT145" s="287"/>
      <c r="FU145" s="287"/>
      <c r="FV145" s="287"/>
      <c r="FW145" s="287"/>
    </row>
    <row r="146" spans="1:180" ht="19.95" customHeight="1">
      <c r="A146" s="333">
        <v>3</v>
      </c>
      <c r="B146" s="375" t="s">
        <v>768</v>
      </c>
      <c r="C146" s="376"/>
      <c r="D146" s="376"/>
      <c r="E146" s="376"/>
      <c r="F146" s="375"/>
      <c r="G146" s="375"/>
      <c r="H146" s="375"/>
      <c r="I146" s="375"/>
      <c r="J146" s="375"/>
      <c r="K146" s="375"/>
      <c r="L146" s="375"/>
      <c r="M146" s="375"/>
      <c r="N146" s="375"/>
      <c r="O146" s="375"/>
      <c r="P146" s="375"/>
      <c r="Q146" s="335"/>
      <c r="R146" s="287"/>
      <c r="S146" s="287"/>
      <c r="T146" s="287"/>
      <c r="U146" s="287"/>
      <c r="V146" s="287"/>
      <c r="W146" s="287"/>
      <c r="X146" s="287"/>
      <c r="Y146" s="287"/>
      <c r="Z146" s="287"/>
      <c r="AA146" s="287"/>
      <c r="AB146" s="287"/>
      <c r="AC146" s="287"/>
      <c r="AD146" s="287"/>
      <c r="AE146" s="287"/>
      <c r="AF146" s="287"/>
      <c r="AG146" s="287"/>
      <c r="AH146" s="287"/>
      <c r="AI146" s="287"/>
      <c r="AJ146" s="287"/>
      <c r="AK146" s="287"/>
      <c r="AL146" s="287"/>
      <c r="AM146" s="287"/>
      <c r="AN146" s="287"/>
      <c r="AO146" s="287"/>
      <c r="AP146" s="287"/>
      <c r="AQ146" s="287"/>
      <c r="AR146" s="287"/>
      <c r="AS146" s="287"/>
      <c r="AT146" s="287"/>
      <c r="AU146" s="287"/>
      <c r="AV146" s="287"/>
      <c r="AW146" s="287"/>
      <c r="AX146" s="287"/>
      <c r="AY146" s="287"/>
      <c r="AZ146" s="287"/>
      <c r="BA146" s="287"/>
      <c r="BB146" s="287"/>
      <c r="BC146" s="287"/>
      <c r="BD146" s="287"/>
      <c r="BE146" s="287"/>
      <c r="BF146" s="287"/>
      <c r="BG146" s="287"/>
      <c r="BH146" s="287"/>
      <c r="BI146" s="287"/>
      <c r="BJ146" s="287"/>
      <c r="BK146" s="287"/>
      <c r="BL146" s="287"/>
      <c r="BM146" s="287"/>
      <c r="BN146" s="287"/>
      <c r="BO146" s="287"/>
      <c r="BP146" s="287"/>
      <c r="BQ146" s="287"/>
      <c r="BR146" s="287"/>
      <c r="BS146" s="287"/>
      <c r="BT146" s="287"/>
      <c r="BU146" s="287"/>
      <c r="BV146" s="287"/>
      <c r="BW146" s="287"/>
      <c r="BX146" s="287"/>
      <c r="BY146" s="287"/>
      <c r="BZ146" s="287"/>
      <c r="CA146" s="287"/>
      <c r="CB146" s="287"/>
      <c r="CC146" s="287"/>
      <c r="CD146" s="287"/>
      <c r="CE146" s="287"/>
      <c r="CF146" s="287"/>
      <c r="CG146" s="287"/>
      <c r="CH146" s="287"/>
      <c r="CI146" s="287"/>
      <c r="CJ146" s="287"/>
      <c r="CK146" s="287"/>
      <c r="CL146" s="287"/>
      <c r="CM146" s="287"/>
      <c r="CN146" s="287"/>
      <c r="CO146" s="287"/>
      <c r="CP146" s="287"/>
      <c r="CQ146" s="287"/>
      <c r="CR146" s="287"/>
      <c r="CS146" s="287"/>
      <c r="CT146" s="287"/>
      <c r="CU146" s="287"/>
      <c r="CV146" s="287"/>
      <c r="CW146" s="287"/>
      <c r="CX146" s="287"/>
      <c r="CY146" s="287"/>
      <c r="CZ146" s="287"/>
      <c r="DA146" s="287"/>
      <c r="DB146" s="287"/>
      <c r="DC146" s="287"/>
      <c r="DD146" s="287"/>
      <c r="DE146" s="287"/>
      <c r="DF146" s="287"/>
      <c r="DG146" s="287"/>
      <c r="DH146" s="287"/>
      <c r="DI146" s="287"/>
      <c r="DJ146" s="287"/>
      <c r="DK146" s="287"/>
      <c r="DL146" s="287"/>
      <c r="DM146" s="287"/>
      <c r="DN146" s="287"/>
      <c r="DO146" s="287"/>
      <c r="DP146" s="287"/>
      <c r="DQ146" s="287"/>
      <c r="DR146" s="287"/>
      <c r="DS146" s="287"/>
      <c r="DT146" s="287"/>
      <c r="DU146" s="287"/>
      <c r="DV146" s="287"/>
      <c r="DW146" s="287"/>
      <c r="DX146" s="287"/>
      <c r="DY146" s="287"/>
      <c r="DZ146" s="287"/>
      <c r="EA146" s="287"/>
      <c r="EB146" s="287"/>
      <c r="EC146" s="287"/>
      <c r="ED146" s="287"/>
      <c r="EE146" s="287"/>
      <c r="EF146" s="287"/>
      <c r="EG146" s="287"/>
      <c r="EH146" s="287"/>
      <c r="EI146" s="287"/>
      <c r="EJ146" s="287"/>
      <c r="EK146" s="287"/>
      <c r="EL146" s="287"/>
      <c r="EM146" s="287"/>
      <c r="EN146" s="287"/>
      <c r="EO146" s="287"/>
      <c r="EP146" s="287"/>
      <c r="EQ146" s="287"/>
      <c r="ER146" s="287"/>
      <c r="ES146" s="287"/>
      <c r="ET146" s="287"/>
      <c r="EU146" s="287"/>
      <c r="EV146" s="287"/>
      <c r="EW146" s="287"/>
      <c r="EX146" s="287"/>
      <c r="EY146" s="287"/>
      <c r="EZ146" s="287"/>
      <c r="FA146" s="287"/>
      <c r="FB146" s="287"/>
      <c r="FC146" s="287"/>
      <c r="FD146" s="287"/>
      <c r="FE146" s="287"/>
      <c r="FF146" s="287"/>
      <c r="FG146" s="287"/>
      <c r="FH146" s="287"/>
      <c r="FI146" s="287"/>
      <c r="FJ146" s="287"/>
      <c r="FK146" s="287"/>
      <c r="FL146" s="287"/>
      <c r="FM146" s="287"/>
      <c r="FN146" s="287"/>
      <c r="FO146" s="287"/>
      <c r="FP146" s="287"/>
      <c r="FQ146" s="287"/>
      <c r="FR146" s="287"/>
      <c r="FS146" s="287"/>
      <c r="FT146" s="287"/>
      <c r="FU146" s="287"/>
      <c r="FV146" s="287"/>
      <c r="FW146" s="287"/>
    </row>
    <row r="147" spans="1:180" ht="19.95" customHeight="1">
      <c r="A147" s="381" t="s">
        <v>779</v>
      </c>
      <c r="B147" s="364" t="s">
        <v>1531</v>
      </c>
      <c r="C147" s="334"/>
      <c r="D147" s="334"/>
      <c r="E147" s="334"/>
      <c r="F147" s="334"/>
      <c r="G147" s="334"/>
      <c r="H147" s="334"/>
      <c r="I147" s="334"/>
      <c r="J147" s="334"/>
      <c r="K147" s="334"/>
      <c r="L147" s="334"/>
      <c r="M147" s="334"/>
      <c r="N147" s="334"/>
      <c r="O147" s="334"/>
      <c r="P147" s="334"/>
      <c r="Q147" s="335"/>
      <c r="R147" s="313"/>
      <c r="S147" s="313"/>
      <c r="T147" s="313"/>
      <c r="U147" s="313"/>
      <c r="V147" s="313"/>
      <c r="W147" s="313"/>
      <c r="X147" s="313"/>
      <c r="Y147" s="313"/>
      <c r="Z147" s="313"/>
      <c r="AA147" s="313"/>
      <c r="AB147" s="313"/>
      <c r="AC147" s="313"/>
      <c r="AD147" s="313"/>
      <c r="AE147" s="313"/>
      <c r="AF147" s="313"/>
      <c r="AG147" s="313"/>
      <c r="AH147" s="313"/>
      <c r="AI147" s="313"/>
      <c r="AJ147" s="313"/>
      <c r="AK147" s="313"/>
      <c r="AL147" s="313"/>
      <c r="AM147" s="313"/>
      <c r="AN147" s="313"/>
      <c r="AO147" s="313"/>
      <c r="AP147" s="313"/>
      <c r="AQ147" s="313"/>
      <c r="AR147" s="313"/>
      <c r="AS147" s="313"/>
      <c r="AT147" s="313"/>
      <c r="AU147" s="313"/>
      <c r="AV147" s="313"/>
      <c r="AW147" s="313"/>
      <c r="AX147" s="313"/>
      <c r="AY147" s="313"/>
      <c r="AZ147" s="313"/>
      <c r="BA147" s="313"/>
      <c r="BB147" s="313"/>
      <c r="BC147" s="313"/>
      <c r="BD147" s="313"/>
      <c r="BE147" s="313"/>
      <c r="BF147" s="313"/>
      <c r="BG147" s="313"/>
      <c r="BH147" s="313"/>
      <c r="BI147" s="313"/>
      <c r="BJ147" s="313"/>
      <c r="BK147" s="313"/>
      <c r="BL147" s="313"/>
      <c r="BM147" s="313"/>
      <c r="BN147" s="313"/>
      <c r="BO147" s="313"/>
      <c r="BP147" s="313"/>
      <c r="BQ147" s="313"/>
      <c r="BR147" s="313"/>
      <c r="BS147" s="313"/>
      <c r="BT147" s="313"/>
      <c r="BU147" s="313"/>
      <c r="BV147" s="313"/>
      <c r="BW147" s="313"/>
      <c r="BX147" s="313"/>
      <c r="BY147" s="313"/>
      <c r="BZ147" s="313"/>
      <c r="CA147" s="313"/>
      <c r="CB147" s="313"/>
      <c r="CC147" s="313"/>
      <c r="CD147" s="313"/>
      <c r="CE147" s="313"/>
      <c r="CF147" s="313"/>
      <c r="CG147" s="313"/>
      <c r="CH147" s="313"/>
      <c r="CI147" s="313"/>
      <c r="CJ147" s="313"/>
      <c r="CK147" s="313"/>
      <c r="CL147" s="313"/>
      <c r="CM147" s="313"/>
      <c r="CN147" s="313"/>
      <c r="CO147" s="313"/>
      <c r="CP147" s="313"/>
      <c r="CQ147" s="313"/>
      <c r="CR147" s="313"/>
      <c r="CS147" s="313"/>
      <c r="CT147" s="313"/>
      <c r="CU147" s="313"/>
      <c r="CV147" s="313"/>
      <c r="CW147" s="313"/>
      <c r="CX147" s="313"/>
      <c r="CY147" s="313"/>
      <c r="CZ147" s="313"/>
      <c r="DA147" s="313"/>
      <c r="DB147" s="313"/>
      <c r="DC147" s="313"/>
      <c r="DD147" s="313"/>
      <c r="DE147" s="313"/>
      <c r="DF147" s="313"/>
      <c r="DG147" s="313"/>
      <c r="DH147" s="313"/>
      <c r="DI147" s="313"/>
      <c r="DJ147" s="313"/>
      <c r="DK147" s="313"/>
      <c r="DL147" s="313"/>
      <c r="DM147" s="313"/>
      <c r="DN147" s="313"/>
      <c r="DO147" s="313"/>
      <c r="DP147" s="313"/>
      <c r="DQ147" s="313"/>
      <c r="DR147" s="313"/>
      <c r="DS147" s="313"/>
      <c r="DT147" s="313"/>
      <c r="DU147" s="313"/>
      <c r="DV147" s="313"/>
      <c r="DW147" s="313"/>
      <c r="DX147" s="313"/>
      <c r="DY147" s="313"/>
      <c r="DZ147" s="313"/>
      <c r="EA147" s="313"/>
      <c r="EB147" s="313"/>
      <c r="EC147" s="313"/>
      <c r="ED147" s="313"/>
      <c r="EE147" s="313"/>
      <c r="EF147" s="313"/>
      <c r="EG147" s="313"/>
      <c r="EH147" s="313"/>
      <c r="EI147" s="313"/>
      <c r="EJ147" s="313"/>
      <c r="EK147" s="313"/>
      <c r="EL147" s="313"/>
      <c r="EM147" s="313"/>
      <c r="EN147" s="313"/>
      <c r="EO147" s="313"/>
      <c r="EP147" s="313"/>
      <c r="EQ147" s="313"/>
      <c r="ER147" s="313"/>
      <c r="ES147" s="313"/>
      <c r="ET147" s="313"/>
      <c r="EU147" s="313"/>
      <c r="EV147" s="313"/>
      <c r="EW147" s="313"/>
      <c r="EX147" s="313"/>
      <c r="EY147" s="313"/>
      <c r="EZ147" s="313"/>
      <c r="FA147" s="313"/>
      <c r="FB147" s="313"/>
      <c r="FC147" s="313"/>
      <c r="FD147" s="313"/>
      <c r="FE147" s="313"/>
      <c r="FF147" s="313"/>
      <c r="FG147" s="313"/>
      <c r="FH147" s="313"/>
      <c r="FI147" s="313"/>
      <c r="FJ147" s="313"/>
      <c r="FK147" s="313"/>
      <c r="FL147" s="313"/>
      <c r="FM147" s="313"/>
      <c r="FN147" s="313"/>
      <c r="FO147" s="313"/>
      <c r="FP147" s="313"/>
      <c r="FQ147" s="313"/>
      <c r="FR147" s="313"/>
      <c r="FS147" s="313"/>
      <c r="FT147" s="313"/>
      <c r="FU147" s="313"/>
      <c r="FV147" s="313"/>
      <c r="FW147" s="313"/>
    </row>
    <row r="148" spans="1:180" ht="72">
      <c r="A148" s="322" t="s">
        <v>771</v>
      </c>
      <c r="B148" s="288" t="s">
        <v>772</v>
      </c>
      <c r="C148" s="348" t="s">
        <v>654</v>
      </c>
      <c r="D148" s="377">
        <v>383.05</v>
      </c>
      <c r="E148" s="348" t="s">
        <v>1634</v>
      </c>
      <c r="F148" s="341">
        <v>4.3</v>
      </c>
      <c r="G148" s="290" t="s">
        <v>1698</v>
      </c>
      <c r="H148" s="290">
        <v>2</v>
      </c>
      <c r="I148" s="290"/>
      <c r="J148" s="290"/>
      <c r="K148" s="290"/>
      <c r="L148" s="291"/>
      <c r="M148" s="291"/>
      <c r="N148" s="291"/>
      <c r="O148" s="328" t="s">
        <v>992</v>
      </c>
      <c r="P148" s="325">
        <v>3294.23</v>
      </c>
      <c r="Q148" s="368" t="s">
        <v>1699</v>
      </c>
      <c r="R148" s="287"/>
      <c r="S148" s="287"/>
      <c r="T148" s="287"/>
      <c r="U148" s="287"/>
      <c r="V148" s="287"/>
      <c r="W148" s="287"/>
      <c r="X148" s="287"/>
      <c r="Y148" s="287"/>
      <c r="Z148" s="287"/>
      <c r="AA148" s="287"/>
      <c r="AB148" s="287"/>
      <c r="AC148" s="287"/>
      <c r="AD148" s="287"/>
      <c r="AE148" s="287"/>
      <c r="AF148" s="287"/>
      <c r="AG148" s="287"/>
      <c r="AH148" s="287"/>
      <c r="AI148" s="287"/>
      <c r="AJ148" s="287"/>
      <c r="AK148" s="287"/>
      <c r="AL148" s="287"/>
      <c r="AM148" s="287"/>
      <c r="AN148" s="287"/>
      <c r="AO148" s="287"/>
      <c r="AP148" s="287"/>
      <c r="AQ148" s="287"/>
      <c r="AR148" s="287"/>
      <c r="AS148" s="287"/>
      <c r="AT148" s="287"/>
      <c r="AU148" s="287"/>
      <c r="AV148" s="287"/>
      <c r="AW148" s="287"/>
      <c r="AX148" s="287"/>
      <c r="AY148" s="287"/>
      <c r="AZ148" s="287"/>
      <c r="BA148" s="287"/>
      <c r="BB148" s="287"/>
      <c r="BC148" s="287"/>
      <c r="BD148" s="287"/>
      <c r="BE148" s="287"/>
      <c r="BF148" s="287"/>
      <c r="BG148" s="287"/>
      <c r="BH148" s="287"/>
      <c r="BI148" s="287"/>
      <c r="BJ148" s="287"/>
      <c r="BK148" s="287"/>
      <c r="BL148" s="287"/>
      <c r="BM148" s="287"/>
      <c r="BN148" s="287"/>
      <c r="BO148" s="287"/>
      <c r="BP148" s="287"/>
      <c r="BQ148" s="287"/>
      <c r="BR148" s="287"/>
      <c r="BS148" s="287"/>
      <c r="BT148" s="287"/>
      <c r="BU148" s="287"/>
      <c r="BV148" s="287"/>
      <c r="BW148" s="287"/>
      <c r="BX148" s="287"/>
      <c r="BY148" s="287"/>
      <c r="BZ148" s="287"/>
      <c r="CA148" s="287"/>
      <c r="CB148" s="287"/>
      <c r="CC148" s="287"/>
      <c r="CD148" s="287"/>
      <c r="CE148" s="287"/>
      <c r="CF148" s="287"/>
      <c r="CG148" s="287"/>
      <c r="CH148" s="287"/>
      <c r="CI148" s="287"/>
      <c r="CJ148" s="287"/>
      <c r="CK148" s="287"/>
      <c r="CL148" s="287"/>
      <c r="CM148" s="287"/>
      <c r="CN148" s="287"/>
      <c r="CO148" s="287"/>
      <c r="CP148" s="287"/>
      <c r="CQ148" s="287"/>
      <c r="CR148" s="287"/>
      <c r="CS148" s="287"/>
      <c r="CT148" s="287"/>
      <c r="CU148" s="287"/>
      <c r="CV148" s="287"/>
      <c r="CW148" s="287"/>
      <c r="CX148" s="287"/>
      <c r="CY148" s="287"/>
      <c r="CZ148" s="287"/>
      <c r="DA148" s="287"/>
      <c r="DB148" s="287"/>
      <c r="DC148" s="287"/>
      <c r="DD148" s="287"/>
      <c r="DE148" s="287"/>
      <c r="DF148" s="287"/>
      <c r="DG148" s="287"/>
      <c r="DH148" s="287"/>
      <c r="DI148" s="287"/>
      <c r="DJ148" s="287"/>
      <c r="DK148" s="287"/>
      <c r="DL148" s="287"/>
      <c r="DM148" s="287"/>
      <c r="DN148" s="287"/>
      <c r="DO148" s="287"/>
      <c r="DP148" s="287"/>
      <c r="DQ148" s="287"/>
      <c r="DR148" s="287"/>
      <c r="DS148" s="287"/>
      <c r="DT148" s="287"/>
      <c r="DU148" s="287"/>
      <c r="DV148" s="287"/>
      <c r="DW148" s="287"/>
      <c r="DX148" s="287"/>
      <c r="DY148" s="287"/>
      <c r="DZ148" s="287"/>
      <c r="EA148" s="287"/>
      <c r="EB148" s="287"/>
      <c r="EC148" s="287"/>
      <c r="ED148" s="287"/>
      <c r="EE148" s="287"/>
      <c r="EF148" s="287"/>
      <c r="EG148" s="287"/>
      <c r="EH148" s="287"/>
      <c r="EI148" s="287"/>
      <c r="EJ148" s="287"/>
      <c r="EK148" s="287"/>
      <c r="EL148" s="287"/>
      <c r="EM148" s="287"/>
      <c r="EN148" s="287"/>
      <c r="EO148" s="287"/>
      <c r="EP148" s="287"/>
      <c r="EQ148" s="287"/>
      <c r="ER148" s="287"/>
      <c r="ES148" s="287"/>
      <c r="ET148" s="287"/>
      <c r="EU148" s="287"/>
      <c r="EV148" s="287"/>
      <c r="EW148" s="287"/>
      <c r="EX148" s="287"/>
      <c r="EY148" s="287"/>
      <c r="EZ148" s="287"/>
      <c r="FA148" s="287"/>
      <c r="FB148" s="287"/>
      <c r="FC148" s="287"/>
      <c r="FD148" s="287"/>
      <c r="FE148" s="287"/>
      <c r="FF148" s="287"/>
      <c r="FG148" s="287"/>
      <c r="FH148" s="287"/>
      <c r="FI148" s="287"/>
      <c r="FJ148" s="287"/>
      <c r="FK148" s="287"/>
      <c r="FL148" s="287"/>
      <c r="FM148" s="287"/>
      <c r="FN148" s="287"/>
      <c r="FO148" s="287"/>
      <c r="FP148" s="287"/>
      <c r="FQ148" s="287"/>
      <c r="FR148" s="287"/>
      <c r="FS148" s="287"/>
      <c r="FT148" s="287"/>
      <c r="FU148" s="287"/>
      <c r="FV148" s="287"/>
      <c r="FW148" s="287"/>
      <c r="FX148" s="378">
        <v>4795.8</v>
      </c>
    </row>
    <row r="149" spans="1:180" ht="43.2">
      <c r="A149" s="322" t="s">
        <v>773</v>
      </c>
      <c r="B149" s="288" t="s">
        <v>774</v>
      </c>
      <c r="C149" s="348" t="s">
        <v>757</v>
      </c>
      <c r="D149" s="377">
        <v>329.42</v>
      </c>
      <c r="E149" s="348" t="s">
        <v>952</v>
      </c>
      <c r="F149" s="341">
        <v>65</v>
      </c>
      <c r="G149" s="328"/>
      <c r="H149" s="328"/>
      <c r="I149" s="328"/>
      <c r="J149" s="328"/>
      <c r="K149" s="328"/>
      <c r="L149" s="341"/>
      <c r="M149" s="341"/>
      <c r="N149" s="341"/>
      <c r="O149" s="328" t="s">
        <v>992</v>
      </c>
      <c r="P149" s="325">
        <v>21412.3</v>
      </c>
      <c r="Q149" s="292" t="s">
        <v>1039</v>
      </c>
      <c r="R149" s="287"/>
      <c r="S149" s="287"/>
      <c r="T149" s="287"/>
      <c r="U149" s="287"/>
      <c r="V149" s="287"/>
      <c r="W149" s="287"/>
      <c r="X149" s="287"/>
      <c r="Y149" s="287"/>
      <c r="Z149" s="287"/>
      <c r="AA149" s="287"/>
      <c r="AB149" s="287"/>
      <c r="AC149" s="287"/>
      <c r="AD149" s="287"/>
      <c r="AE149" s="287"/>
      <c r="AF149" s="287"/>
      <c r="AG149" s="287"/>
      <c r="AH149" s="287"/>
      <c r="AI149" s="287"/>
      <c r="AJ149" s="287"/>
      <c r="AK149" s="287"/>
      <c r="AL149" s="287"/>
      <c r="AM149" s="287"/>
      <c r="AN149" s="287"/>
      <c r="AO149" s="287"/>
      <c r="AP149" s="287"/>
      <c r="AQ149" s="287"/>
      <c r="AR149" s="287"/>
      <c r="AS149" s="287"/>
      <c r="AT149" s="287"/>
      <c r="AU149" s="287"/>
      <c r="AV149" s="287"/>
      <c r="AW149" s="287"/>
      <c r="AX149" s="287"/>
      <c r="AY149" s="287"/>
      <c r="AZ149" s="287"/>
      <c r="BA149" s="287"/>
      <c r="BB149" s="287"/>
      <c r="BC149" s="287"/>
      <c r="BD149" s="287"/>
      <c r="BE149" s="287"/>
      <c r="BF149" s="287"/>
      <c r="BG149" s="287"/>
      <c r="BH149" s="287"/>
      <c r="BI149" s="287"/>
      <c r="BJ149" s="287"/>
      <c r="BK149" s="287"/>
      <c r="BL149" s="287"/>
      <c r="BM149" s="287"/>
      <c r="BN149" s="287"/>
      <c r="BO149" s="287"/>
      <c r="BP149" s="287"/>
      <c r="BQ149" s="287"/>
      <c r="BR149" s="287"/>
      <c r="BS149" s="287"/>
      <c r="BT149" s="287"/>
      <c r="BU149" s="287"/>
      <c r="BV149" s="287"/>
      <c r="BW149" s="287"/>
      <c r="BX149" s="287"/>
      <c r="BY149" s="287"/>
      <c r="BZ149" s="287"/>
      <c r="CA149" s="287"/>
      <c r="CB149" s="287"/>
      <c r="CC149" s="287"/>
      <c r="CD149" s="287"/>
      <c r="CE149" s="287"/>
      <c r="CF149" s="287"/>
      <c r="CG149" s="287"/>
      <c r="CH149" s="287"/>
      <c r="CI149" s="287"/>
      <c r="CJ149" s="287"/>
      <c r="CK149" s="287"/>
      <c r="CL149" s="287"/>
      <c r="CM149" s="287"/>
      <c r="CN149" s="287"/>
      <c r="CO149" s="287"/>
      <c r="CP149" s="287"/>
      <c r="CQ149" s="287"/>
      <c r="CR149" s="287"/>
      <c r="CS149" s="287"/>
      <c r="CT149" s="287"/>
      <c r="CU149" s="287"/>
      <c r="CV149" s="287"/>
      <c r="CW149" s="287"/>
      <c r="CX149" s="287"/>
      <c r="CY149" s="287"/>
      <c r="CZ149" s="287"/>
      <c r="DA149" s="287"/>
      <c r="DB149" s="287"/>
      <c r="DC149" s="287"/>
      <c r="DD149" s="287"/>
      <c r="DE149" s="287"/>
      <c r="DF149" s="287"/>
      <c r="DG149" s="287"/>
      <c r="DH149" s="287"/>
      <c r="DI149" s="287"/>
      <c r="DJ149" s="287"/>
      <c r="DK149" s="287"/>
      <c r="DL149" s="287"/>
      <c r="DM149" s="287"/>
      <c r="DN149" s="287"/>
      <c r="DO149" s="287"/>
      <c r="DP149" s="287"/>
      <c r="DQ149" s="287"/>
      <c r="DR149" s="287"/>
      <c r="DS149" s="287"/>
      <c r="DT149" s="287"/>
      <c r="DU149" s="287"/>
      <c r="DV149" s="287"/>
      <c r="DW149" s="287"/>
      <c r="DX149" s="287"/>
      <c r="DY149" s="287"/>
      <c r="DZ149" s="287"/>
      <c r="EA149" s="287"/>
      <c r="EB149" s="287"/>
      <c r="EC149" s="287"/>
      <c r="ED149" s="287"/>
      <c r="EE149" s="287"/>
      <c r="EF149" s="287"/>
      <c r="EG149" s="287"/>
      <c r="EH149" s="287"/>
      <c r="EI149" s="287"/>
      <c r="EJ149" s="287"/>
      <c r="EK149" s="287"/>
      <c r="EL149" s="287"/>
      <c r="EM149" s="287"/>
      <c r="EN149" s="287"/>
      <c r="EO149" s="287"/>
      <c r="EP149" s="287"/>
      <c r="EQ149" s="287"/>
      <c r="ER149" s="287"/>
      <c r="ES149" s="287"/>
      <c r="ET149" s="287"/>
      <c r="EU149" s="287"/>
      <c r="EV149" s="287"/>
      <c r="EW149" s="287"/>
      <c r="EX149" s="287"/>
      <c r="EY149" s="287"/>
      <c r="EZ149" s="287"/>
      <c r="FA149" s="287"/>
      <c r="FB149" s="287"/>
      <c r="FC149" s="287"/>
      <c r="FD149" s="287"/>
      <c r="FE149" s="287"/>
      <c r="FF149" s="287"/>
      <c r="FG149" s="287"/>
      <c r="FH149" s="287"/>
      <c r="FI149" s="287"/>
      <c r="FJ149" s="287"/>
      <c r="FK149" s="287"/>
      <c r="FL149" s="287"/>
      <c r="FM149" s="287"/>
      <c r="FN149" s="287"/>
      <c r="FO149" s="287"/>
      <c r="FP149" s="287"/>
      <c r="FQ149" s="287"/>
      <c r="FR149" s="287"/>
      <c r="FS149" s="287"/>
      <c r="FT149" s="287"/>
      <c r="FU149" s="287"/>
      <c r="FV149" s="287"/>
      <c r="FW149" s="287"/>
      <c r="FX149" s="378">
        <v>58093.53</v>
      </c>
    </row>
    <row r="150" spans="1:180" ht="43.2">
      <c r="A150" s="322" t="s">
        <v>776</v>
      </c>
      <c r="B150" s="288" t="s">
        <v>1958</v>
      </c>
      <c r="C150" s="348" t="s">
        <v>704</v>
      </c>
      <c r="D150" s="377">
        <v>383.05</v>
      </c>
      <c r="E150" s="348" t="s">
        <v>1634</v>
      </c>
      <c r="F150" s="341">
        <v>4.3</v>
      </c>
      <c r="G150" s="328" t="s">
        <v>1698</v>
      </c>
      <c r="H150" s="328">
        <v>0.2</v>
      </c>
      <c r="I150" s="328"/>
      <c r="J150" s="328"/>
      <c r="K150" s="328"/>
      <c r="L150" s="341"/>
      <c r="M150" s="341"/>
      <c r="N150" s="341"/>
      <c r="O150" s="328" t="s">
        <v>992</v>
      </c>
      <c r="P150" s="325">
        <v>329.42</v>
      </c>
      <c r="Q150" s="292" t="s">
        <v>1700</v>
      </c>
      <c r="R150" s="287"/>
      <c r="S150" s="287"/>
      <c r="T150" s="287"/>
      <c r="U150" s="287"/>
      <c r="V150" s="287"/>
      <c r="W150" s="287"/>
      <c r="X150" s="287"/>
      <c r="Y150" s="287"/>
      <c r="Z150" s="287"/>
      <c r="AA150" s="287"/>
      <c r="AB150" s="287"/>
      <c r="AC150" s="287"/>
      <c r="AD150" s="287"/>
      <c r="AE150" s="287"/>
      <c r="AF150" s="287"/>
      <c r="AG150" s="287"/>
      <c r="AH150" s="287"/>
      <c r="AI150" s="287"/>
      <c r="AJ150" s="287"/>
      <c r="AK150" s="287"/>
      <c r="AL150" s="287"/>
      <c r="AM150" s="287"/>
      <c r="AN150" s="287"/>
      <c r="AO150" s="287"/>
      <c r="AP150" s="287"/>
      <c r="AQ150" s="287"/>
      <c r="AR150" s="287"/>
      <c r="AS150" s="287"/>
      <c r="AT150" s="287"/>
      <c r="AU150" s="287"/>
      <c r="AV150" s="287"/>
      <c r="AW150" s="287"/>
      <c r="AX150" s="287"/>
      <c r="AY150" s="287"/>
      <c r="AZ150" s="287"/>
      <c r="BA150" s="287"/>
      <c r="BB150" s="287"/>
      <c r="BC150" s="287"/>
      <c r="BD150" s="287"/>
      <c r="BE150" s="287"/>
      <c r="BF150" s="287"/>
      <c r="BG150" s="287"/>
      <c r="BH150" s="287"/>
      <c r="BI150" s="287"/>
      <c r="BJ150" s="287"/>
      <c r="BK150" s="287"/>
      <c r="BL150" s="287"/>
      <c r="BM150" s="287"/>
      <c r="BN150" s="287"/>
      <c r="BO150" s="287"/>
      <c r="BP150" s="287"/>
      <c r="BQ150" s="287"/>
      <c r="BR150" s="287"/>
      <c r="BS150" s="287"/>
      <c r="BT150" s="287"/>
      <c r="BU150" s="287"/>
      <c r="BV150" s="287"/>
      <c r="BW150" s="287"/>
      <c r="BX150" s="287"/>
      <c r="BY150" s="287"/>
      <c r="BZ150" s="287"/>
      <c r="CA150" s="287"/>
      <c r="CB150" s="287"/>
      <c r="CC150" s="287"/>
      <c r="CD150" s="287"/>
      <c r="CE150" s="287"/>
      <c r="CF150" s="287"/>
      <c r="CG150" s="287"/>
      <c r="CH150" s="287"/>
      <c r="CI150" s="287"/>
      <c r="CJ150" s="287"/>
      <c r="CK150" s="287"/>
      <c r="CL150" s="287"/>
      <c r="CM150" s="287"/>
      <c r="CN150" s="287"/>
      <c r="CO150" s="287"/>
      <c r="CP150" s="287"/>
      <c r="CQ150" s="287"/>
      <c r="CR150" s="287"/>
      <c r="CS150" s="287"/>
      <c r="CT150" s="287"/>
      <c r="CU150" s="287"/>
      <c r="CV150" s="287"/>
      <c r="CW150" s="287"/>
      <c r="CX150" s="287"/>
      <c r="CY150" s="287"/>
      <c r="CZ150" s="287"/>
      <c r="DA150" s="287"/>
      <c r="DB150" s="287"/>
      <c r="DC150" s="287"/>
      <c r="DD150" s="287"/>
      <c r="DE150" s="287"/>
      <c r="DF150" s="287"/>
      <c r="DG150" s="287"/>
      <c r="DH150" s="287"/>
      <c r="DI150" s="287"/>
      <c r="DJ150" s="287"/>
      <c r="DK150" s="287"/>
      <c r="DL150" s="287"/>
      <c r="DM150" s="287"/>
      <c r="DN150" s="287"/>
      <c r="DO150" s="287"/>
      <c r="DP150" s="287"/>
      <c r="DQ150" s="287"/>
      <c r="DR150" s="287"/>
      <c r="DS150" s="287"/>
      <c r="DT150" s="287"/>
      <c r="DU150" s="287"/>
      <c r="DV150" s="287"/>
      <c r="DW150" s="287"/>
      <c r="DX150" s="287"/>
      <c r="DY150" s="287"/>
      <c r="DZ150" s="287"/>
      <c r="EA150" s="287"/>
      <c r="EB150" s="287"/>
      <c r="EC150" s="287"/>
      <c r="ED150" s="287"/>
      <c r="EE150" s="287"/>
      <c r="EF150" s="287"/>
      <c r="EG150" s="287"/>
      <c r="EH150" s="287"/>
      <c r="EI150" s="287"/>
      <c r="EJ150" s="287"/>
      <c r="EK150" s="287"/>
      <c r="EL150" s="287"/>
      <c r="EM150" s="287"/>
      <c r="EN150" s="287"/>
      <c r="EO150" s="287"/>
      <c r="EP150" s="287"/>
      <c r="EQ150" s="287"/>
      <c r="ER150" s="287"/>
      <c r="ES150" s="287"/>
      <c r="ET150" s="287"/>
      <c r="EU150" s="287"/>
      <c r="EV150" s="287"/>
      <c r="EW150" s="287"/>
      <c r="EX150" s="287"/>
      <c r="EY150" s="287"/>
      <c r="EZ150" s="287"/>
      <c r="FA150" s="287"/>
      <c r="FB150" s="287"/>
      <c r="FC150" s="287"/>
      <c r="FD150" s="287"/>
      <c r="FE150" s="287"/>
      <c r="FF150" s="287"/>
      <c r="FG150" s="287"/>
      <c r="FH150" s="287"/>
      <c r="FI150" s="287"/>
      <c r="FJ150" s="287"/>
      <c r="FK150" s="287"/>
      <c r="FL150" s="287"/>
      <c r="FM150" s="287"/>
      <c r="FN150" s="287"/>
      <c r="FO150" s="287"/>
      <c r="FP150" s="287"/>
      <c r="FQ150" s="287"/>
      <c r="FR150" s="287"/>
      <c r="FS150" s="287"/>
      <c r="FT150" s="287"/>
      <c r="FU150" s="287"/>
      <c r="FV150" s="287"/>
      <c r="FW150" s="287"/>
      <c r="FX150" s="378">
        <v>262.42</v>
      </c>
    </row>
    <row r="152" spans="1:180" ht="19.95" customHeight="1">
      <c r="A152" s="322" t="s">
        <v>781</v>
      </c>
      <c r="B152" s="364" t="s">
        <v>770</v>
      </c>
      <c r="C152" s="334"/>
      <c r="D152" s="334"/>
      <c r="E152" s="334"/>
      <c r="F152" s="334"/>
      <c r="G152" s="334"/>
      <c r="H152" s="334"/>
      <c r="I152" s="334"/>
      <c r="J152" s="334"/>
      <c r="K152" s="334"/>
      <c r="L152" s="334"/>
      <c r="M152" s="334"/>
      <c r="N152" s="334"/>
      <c r="O152" s="334"/>
      <c r="P152" s="334"/>
      <c r="Q152" s="1084" t="s">
        <v>1701</v>
      </c>
      <c r="R152" s="287"/>
      <c r="S152" s="287"/>
      <c r="T152" s="287"/>
      <c r="U152" s="287"/>
      <c r="V152" s="287"/>
      <c r="W152" s="287"/>
      <c r="X152" s="287"/>
      <c r="Y152" s="287"/>
      <c r="Z152" s="287"/>
      <c r="AA152" s="287"/>
      <c r="AB152" s="287"/>
      <c r="AC152" s="287"/>
      <c r="AD152" s="287"/>
      <c r="AE152" s="287"/>
      <c r="AF152" s="287"/>
      <c r="AG152" s="287"/>
      <c r="AH152" s="287"/>
      <c r="AI152" s="287"/>
      <c r="AJ152" s="287"/>
      <c r="AK152" s="287"/>
      <c r="AL152" s="287"/>
      <c r="AM152" s="287"/>
      <c r="AN152" s="287"/>
      <c r="AO152" s="287"/>
      <c r="AP152" s="287"/>
      <c r="AQ152" s="287"/>
      <c r="AR152" s="287"/>
      <c r="AS152" s="287"/>
      <c r="AT152" s="287"/>
      <c r="AU152" s="287"/>
      <c r="AV152" s="287"/>
      <c r="AW152" s="287"/>
      <c r="AX152" s="287"/>
      <c r="AY152" s="287"/>
      <c r="AZ152" s="287"/>
      <c r="BA152" s="287"/>
      <c r="BB152" s="287"/>
      <c r="BC152" s="287"/>
      <c r="BD152" s="287"/>
      <c r="BE152" s="287"/>
      <c r="BF152" s="287"/>
      <c r="BG152" s="287"/>
      <c r="BH152" s="287"/>
      <c r="BI152" s="287"/>
      <c r="BJ152" s="287"/>
      <c r="BK152" s="287"/>
      <c r="BL152" s="287"/>
      <c r="BM152" s="287"/>
      <c r="BN152" s="287"/>
      <c r="BO152" s="287"/>
      <c r="BP152" s="287"/>
      <c r="BQ152" s="287"/>
      <c r="BR152" s="287"/>
      <c r="BS152" s="287"/>
      <c r="BT152" s="287"/>
      <c r="BU152" s="287"/>
      <c r="BV152" s="287"/>
      <c r="BW152" s="287"/>
      <c r="BX152" s="287"/>
      <c r="BY152" s="287"/>
      <c r="BZ152" s="287"/>
      <c r="CA152" s="287"/>
      <c r="CB152" s="287"/>
      <c r="CC152" s="287"/>
      <c r="CD152" s="287"/>
      <c r="CE152" s="287"/>
      <c r="CF152" s="287"/>
      <c r="CG152" s="287"/>
      <c r="CH152" s="287"/>
      <c r="CI152" s="287"/>
      <c r="CJ152" s="287"/>
      <c r="CK152" s="287"/>
      <c r="CL152" s="287"/>
      <c r="CM152" s="287"/>
      <c r="CN152" s="287"/>
      <c r="CO152" s="287"/>
      <c r="CP152" s="287"/>
      <c r="CQ152" s="287"/>
      <c r="CR152" s="287"/>
      <c r="CS152" s="287"/>
      <c r="CT152" s="287"/>
      <c r="CU152" s="287"/>
      <c r="CV152" s="287"/>
      <c r="CW152" s="287"/>
      <c r="CX152" s="287"/>
      <c r="CY152" s="287"/>
      <c r="CZ152" s="287"/>
      <c r="DA152" s="287"/>
      <c r="DB152" s="287"/>
      <c r="DC152" s="287"/>
      <c r="DD152" s="287"/>
      <c r="DE152" s="287"/>
      <c r="DF152" s="287"/>
      <c r="DG152" s="287"/>
      <c r="DH152" s="287"/>
      <c r="DI152" s="287"/>
      <c r="DJ152" s="287"/>
      <c r="DK152" s="287"/>
      <c r="DL152" s="287"/>
      <c r="DM152" s="287"/>
      <c r="DN152" s="287"/>
      <c r="DO152" s="287"/>
      <c r="DP152" s="287"/>
      <c r="DQ152" s="287"/>
      <c r="DR152" s="287"/>
      <c r="DS152" s="287"/>
      <c r="DT152" s="287"/>
      <c r="DU152" s="287"/>
      <c r="DV152" s="287"/>
      <c r="DW152" s="287"/>
      <c r="DX152" s="287"/>
      <c r="DY152" s="287"/>
      <c r="DZ152" s="287"/>
      <c r="EA152" s="287"/>
      <c r="EB152" s="287"/>
      <c r="EC152" s="287"/>
      <c r="ED152" s="287"/>
      <c r="EE152" s="287"/>
      <c r="EF152" s="287"/>
      <c r="EG152" s="287"/>
      <c r="EH152" s="287"/>
      <c r="EI152" s="287"/>
      <c r="EJ152" s="287"/>
      <c r="EK152" s="287"/>
      <c r="EL152" s="287"/>
      <c r="EM152" s="287"/>
      <c r="EN152" s="287"/>
      <c r="EO152" s="287"/>
      <c r="EP152" s="287"/>
      <c r="EQ152" s="287"/>
      <c r="ER152" s="287"/>
      <c r="ES152" s="287"/>
      <c r="ET152" s="287"/>
      <c r="EU152" s="287"/>
      <c r="EV152" s="287"/>
      <c r="EW152" s="287"/>
      <c r="EX152" s="287"/>
      <c r="EY152" s="287"/>
      <c r="EZ152" s="287"/>
      <c r="FA152" s="287"/>
      <c r="FB152" s="287"/>
      <c r="FC152" s="287"/>
      <c r="FD152" s="287"/>
      <c r="FE152" s="287"/>
      <c r="FF152" s="287"/>
      <c r="FG152" s="287"/>
      <c r="FH152" s="287"/>
      <c r="FI152" s="287"/>
      <c r="FJ152" s="287"/>
      <c r="FK152" s="287"/>
      <c r="FL152" s="287"/>
      <c r="FM152" s="287"/>
      <c r="FN152" s="287"/>
      <c r="FO152" s="287"/>
      <c r="FP152" s="287"/>
      <c r="FQ152" s="287"/>
      <c r="FR152" s="287"/>
      <c r="FS152" s="287"/>
      <c r="FT152" s="287"/>
      <c r="FU152" s="287"/>
      <c r="FV152" s="287"/>
      <c r="FW152" s="287"/>
      <c r="FX152" s="287"/>
    </row>
    <row r="153" spans="1:180" ht="208.2" customHeight="1">
      <c r="A153" s="322" t="s">
        <v>783</v>
      </c>
      <c r="B153" s="288" t="s">
        <v>772</v>
      </c>
      <c r="C153" s="348" t="s">
        <v>654</v>
      </c>
      <c r="D153" s="377">
        <v>239</v>
      </c>
      <c r="E153" s="348" t="s">
        <v>1634</v>
      </c>
      <c r="F153" s="341">
        <v>7.2</v>
      </c>
      <c r="G153" s="290" t="s">
        <v>1622</v>
      </c>
      <c r="H153" s="290">
        <v>111.6</v>
      </c>
      <c r="I153" s="290" t="s">
        <v>1634</v>
      </c>
      <c r="J153" s="290">
        <v>100</v>
      </c>
      <c r="K153" s="290" t="s">
        <v>1622</v>
      </c>
      <c r="L153" s="291">
        <v>457.63</v>
      </c>
      <c r="M153" s="291"/>
      <c r="N153" s="291"/>
      <c r="O153" s="328" t="s">
        <v>992</v>
      </c>
      <c r="P153" s="325">
        <v>13338.43</v>
      </c>
      <c r="Q153" s="1084"/>
      <c r="R153" s="355"/>
      <c r="S153" s="355"/>
      <c r="T153" s="355"/>
      <c r="U153" s="355"/>
      <c r="V153" s="355"/>
      <c r="W153" s="355"/>
      <c r="X153" s="355"/>
      <c r="Y153" s="355"/>
      <c r="Z153" s="355"/>
      <c r="AA153" s="355"/>
      <c r="AB153" s="355"/>
      <c r="AC153" s="355"/>
      <c r="AD153" s="355"/>
      <c r="AE153" s="355"/>
      <c r="AF153" s="355"/>
      <c r="AG153" s="355"/>
      <c r="AH153" s="355"/>
      <c r="AI153" s="355"/>
      <c r="AJ153" s="355"/>
      <c r="AK153" s="355"/>
      <c r="AL153" s="355"/>
      <c r="AM153" s="355"/>
      <c r="AN153" s="355"/>
      <c r="AO153" s="355"/>
      <c r="AP153" s="355"/>
      <c r="AQ153" s="355"/>
      <c r="AR153" s="355"/>
      <c r="AS153" s="355"/>
      <c r="AT153" s="355"/>
      <c r="AU153" s="355"/>
      <c r="AV153" s="355"/>
      <c r="AW153" s="355"/>
      <c r="AX153" s="355"/>
      <c r="AY153" s="355"/>
      <c r="AZ153" s="355"/>
      <c r="BA153" s="355"/>
      <c r="BB153" s="355"/>
      <c r="BC153" s="355"/>
      <c r="BD153" s="355"/>
      <c r="BE153" s="355"/>
      <c r="BF153" s="355"/>
      <c r="BG153" s="355"/>
      <c r="BH153" s="355"/>
      <c r="BI153" s="355"/>
      <c r="BJ153" s="355"/>
      <c r="BK153" s="355"/>
      <c r="BL153" s="355"/>
      <c r="BM153" s="355"/>
      <c r="BN153" s="355"/>
      <c r="BO153" s="355"/>
      <c r="BP153" s="355"/>
      <c r="BQ153" s="355"/>
      <c r="BR153" s="355"/>
      <c r="BS153" s="355"/>
      <c r="BT153" s="355"/>
      <c r="BU153" s="355"/>
      <c r="BV153" s="355"/>
      <c r="BW153" s="355"/>
      <c r="BX153" s="355"/>
      <c r="BY153" s="355"/>
      <c r="BZ153" s="355"/>
      <c r="CA153" s="355"/>
      <c r="CB153" s="355"/>
      <c r="CC153" s="355"/>
      <c r="CD153" s="355"/>
      <c r="CE153" s="355"/>
      <c r="CF153" s="355"/>
      <c r="CG153" s="355"/>
      <c r="CH153" s="355"/>
      <c r="CI153" s="355"/>
      <c r="CJ153" s="355"/>
      <c r="CK153" s="355"/>
      <c r="CL153" s="355"/>
      <c r="CM153" s="355"/>
      <c r="CN153" s="355"/>
      <c r="CO153" s="355"/>
      <c r="CP153" s="355"/>
      <c r="CQ153" s="355"/>
      <c r="CR153" s="355"/>
      <c r="CS153" s="355"/>
      <c r="CT153" s="355"/>
      <c r="CU153" s="355"/>
      <c r="CV153" s="355"/>
      <c r="CW153" s="355"/>
      <c r="CX153" s="355"/>
      <c r="CY153" s="355"/>
      <c r="CZ153" s="355"/>
      <c r="DA153" s="355"/>
      <c r="DB153" s="355"/>
      <c r="DC153" s="355"/>
      <c r="DD153" s="355"/>
      <c r="DE153" s="355"/>
      <c r="DF153" s="355"/>
      <c r="DG153" s="355"/>
      <c r="DH153" s="355"/>
      <c r="DI153" s="355"/>
      <c r="DJ153" s="355"/>
      <c r="DK153" s="355"/>
      <c r="DL153" s="355"/>
      <c r="DM153" s="355"/>
      <c r="DN153" s="355"/>
      <c r="DO153" s="355"/>
      <c r="DP153" s="355"/>
      <c r="DQ153" s="355"/>
      <c r="DR153" s="355"/>
      <c r="DS153" s="355"/>
      <c r="DT153" s="355"/>
      <c r="DU153" s="355"/>
      <c r="DV153" s="355"/>
      <c r="DW153" s="355"/>
      <c r="DX153" s="355"/>
      <c r="DY153" s="355"/>
      <c r="DZ153" s="355"/>
      <c r="EA153" s="355"/>
      <c r="EB153" s="355"/>
      <c r="EC153" s="355"/>
      <c r="ED153" s="355"/>
      <c r="EE153" s="355"/>
      <c r="EF153" s="355"/>
      <c r="EG153" s="355"/>
      <c r="EH153" s="355"/>
      <c r="EI153" s="355"/>
      <c r="EJ153" s="355"/>
      <c r="EK153" s="355"/>
      <c r="EL153" s="355"/>
      <c r="EM153" s="355"/>
      <c r="EN153" s="355"/>
      <c r="EO153" s="355"/>
      <c r="EP153" s="355"/>
      <c r="EQ153" s="355"/>
      <c r="ER153" s="355"/>
      <c r="ES153" s="355"/>
      <c r="ET153" s="355"/>
      <c r="EU153" s="355"/>
      <c r="EV153" s="355"/>
      <c r="EW153" s="355"/>
      <c r="EX153" s="355"/>
      <c r="EY153" s="355"/>
      <c r="EZ153" s="355"/>
      <c r="FA153" s="355"/>
      <c r="FB153" s="355"/>
      <c r="FC153" s="355"/>
      <c r="FD153" s="355"/>
      <c r="FE153" s="355"/>
      <c r="FF153" s="355"/>
      <c r="FG153" s="355"/>
      <c r="FH153" s="355"/>
      <c r="FI153" s="355"/>
      <c r="FJ153" s="355"/>
      <c r="FK153" s="355"/>
      <c r="FL153" s="355"/>
      <c r="FM153" s="355"/>
      <c r="FN153" s="355"/>
      <c r="FO153" s="355"/>
      <c r="FP153" s="355"/>
      <c r="FQ153" s="355"/>
      <c r="FR153" s="355"/>
      <c r="FS153" s="355"/>
      <c r="FT153" s="355"/>
      <c r="FU153" s="355"/>
      <c r="FV153" s="355"/>
      <c r="FW153" s="355"/>
      <c r="FX153" s="287"/>
    </row>
    <row r="154" spans="1:180" ht="43.2">
      <c r="A154" s="322" t="s">
        <v>784</v>
      </c>
      <c r="B154" s="288" t="s">
        <v>774</v>
      </c>
      <c r="C154" s="348" t="s">
        <v>757</v>
      </c>
      <c r="D154" s="377">
        <v>1407.96</v>
      </c>
      <c r="E154" s="348" t="s">
        <v>952</v>
      </c>
      <c r="F154" s="341">
        <v>60</v>
      </c>
      <c r="G154" s="328"/>
      <c r="H154" s="328"/>
      <c r="I154" s="328"/>
      <c r="J154" s="328"/>
      <c r="K154" s="328"/>
      <c r="L154" s="341"/>
      <c r="M154" s="341"/>
      <c r="N154" s="341"/>
      <c r="O154" s="328" t="s">
        <v>992</v>
      </c>
      <c r="P154" s="325">
        <v>84477.6</v>
      </c>
      <c r="Q154" s="292" t="s">
        <v>1702</v>
      </c>
      <c r="R154" s="382"/>
      <c r="S154" s="382"/>
      <c r="T154" s="382"/>
      <c r="U154" s="382"/>
      <c r="V154" s="382"/>
      <c r="W154" s="382"/>
      <c r="X154" s="382"/>
      <c r="Y154" s="382"/>
      <c r="Z154" s="382"/>
      <c r="AA154" s="382"/>
      <c r="AB154" s="382"/>
      <c r="AC154" s="382"/>
      <c r="AD154" s="382"/>
      <c r="AE154" s="382"/>
      <c r="AF154" s="382"/>
      <c r="AG154" s="382"/>
      <c r="AH154" s="382"/>
      <c r="AI154" s="382"/>
      <c r="AJ154" s="382"/>
      <c r="AK154" s="382"/>
      <c r="AL154" s="382"/>
      <c r="AM154" s="382"/>
      <c r="AN154" s="382"/>
      <c r="AO154" s="382"/>
      <c r="AP154" s="382"/>
      <c r="AQ154" s="382"/>
      <c r="AR154" s="382"/>
      <c r="AS154" s="382"/>
      <c r="AT154" s="382"/>
      <c r="AU154" s="382"/>
      <c r="AV154" s="382"/>
      <c r="AW154" s="382"/>
      <c r="AX154" s="382"/>
      <c r="AY154" s="382"/>
      <c r="AZ154" s="382"/>
      <c r="BA154" s="382"/>
      <c r="BB154" s="382"/>
      <c r="BC154" s="382"/>
      <c r="BD154" s="382"/>
      <c r="BE154" s="382"/>
      <c r="BF154" s="382"/>
      <c r="BG154" s="382"/>
      <c r="BH154" s="382"/>
      <c r="BI154" s="382"/>
      <c r="BJ154" s="382"/>
      <c r="BK154" s="382"/>
      <c r="BL154" s="382"/>
      <c r="BM154" s="382"/>
      <c r="BN154" s="382"/>
      <c r="BO154" s="382"/>
      <c r="BP154" s="382"/>
      <c r="BQ154" s="382"/>
      <c r="BR154" s="382"/>
      <c r="BS154" s="382"/>
      <c r="BT154" s="382"/>
      <c r="BU154" s="382"/>
      <c r="BV154" s="382"/>
      <c r="BW154" s="382"/>
      <c r="BX154" s="382"/>
      <c r="BY154" s="382"/>
      <c r="BZ154" s="382"/>
      <c r="CA154" s="382"/>
      <c r="CB154" s="382"/>
      <c r="CC154" s="382"/>
      <c r="CD154" s="382"/>
      <c r="CE154" s="382"/>
      <c r="CF154" s="382"/>
      <c r="CG154" s="382"/>
      <c r="CH154" s="382"/>
      <c r="CI154" s="382"/>
      <c r="CJ154" s="382"/>
      <c r="CK154" s="382"/>
      <c r="CL154" s="382"/>
      <c r="CM154" s="382"/>
      <c r="CN154" s="382"/>
      <c r="CO154" s="382"/>
      <c r="CP154" s="382"/>
      <c r="CQ154" s="382"/>
      <c r="CR154" s="382"/>
      <c r="CS154" s="382"/>
      <c r="CT154" s="382"/>
      <c r="CU154" s="382"/>
      <c r="CV154" s="382"/>
      <c r="CW154" s="382"/>
      <c r="CX154" s="382"/>
      <c r="CY154" s="382"/>
      <c r="CZ154" s="382"/>
      <c r="DA154" s="382"/>
      <c r="DB154" s="382"/>
      <c r="DC154" s="382"/>
      <c r="DD154" s="382"/>
      <c r="DE154" s="382"/>
      <c r="DF154" s="382"/>
      <c r="DG154" s="382"/>
      <c r="DH154" s="382"/>
      <c r="DI154" s="382"/>
      <c r="DJ154" s="382"/>
      <c r="DK154" s="382"/>
      <c r="DL154" s="382"/>
      <c r="DM154" s="382"/>
      <c r="DN154" s="382"/>
      <c r="DO154" s="382"/>
      <c r="DP154" s="382"/>
      <c r="DQ154" s="382"/>
      <c r="DR154" s="382"/>
      <c r="DS154" s="382"/>
      <c r="DT154" s="382"/>
      <c r="DU154" s="382"/>
      <c r="DV154" s="382"/>
      <c r="DW154" s="382"/>
      <c r="DX154" s="382"/>
      <c r="DY154" s="382"/>
      <c r="DZ154" s="382"/>
      <c r="EA154" s="382"/>
      <c r="EB154" s="382"/>
      <c r="EC154" s="382"/>
      <c r="ED154" s="382"/>
      <c r="EE154" s="382"/>
      <c r="EF154" s="382"/>
      <c r="EG154" s="382"/>
      <c r="EH154" s="382"/>
      <c r="EI154" s="382"/>
      <c r="EJ154" s="382"/>
      <c r="EK154" s="382"/>
      <c r="EL154" s="382"/>
      <c r="EM154" s="382"/>
      <c r="EN154" s="382"/>
      <c r="EO154" s="382"/>
      <c r="EP154" s="382"/>
      <c r="EQ154" s="382"/>
      <c r="ER154" s="382"/>
      <c r="ES154" s="382"/>
      <c r="ET154" s="382"/>
      <c r="EU154" s="382"/>
      <c r="EV154" s="382"/>
      <c r="EW154" s="382"/>
      <c r="EX154" s="382"/>
      <c r="EY154" s="382"/>
      <c r="EZ154" s="382"/>
      <c r="FA154" s="382"/>
      <c r="FB154" s="382"/>
      <c r="FC154" s="382"/>
      <c r="FD154" s="382"/>
      <c r="FE154" s="382"/>
      <c r="FF154" s="382"/>
      <c r="FG154" s="382"/>
      <c r="FH154" s="382"/>
      <c r="FI154" s="382"/>
      <c r="FJ154" s="382"/>
      <c r="FK154" s="382"/>
      <c r="FL154" s="382"/>
      <c r="FM154" s="382"/>
      <c r="FN154" s="382"/>
      <c r="FO154" s="382"/>
      <c r="FP154" s="382"/>
      <c r="FQ154" s="382"/>
      <c r="FR154" s="382"/>
      <c r="FS154" s="382"/>
      <c r="FT154" s="382"/>
      <c r="FU154" s="382"/>
      <c r="FV154" s="382"/>
      <c r="FW154" s="382"/>
      <c r="FX154" s="287"/>
    </row>
    <row r="155" spans="1:180" ht="43.2">
      <c r="A155" s="379"/>
      <c r="B155" s="323" t="s">
        <v>758</v>
      </c>
      <c r="C155" s="348" t="s">
        <v>757</v>
      </c>
      <c r="D155" s="326">
        <v>1407.96</v>
      </c>
      <c r="E155" s="348" t="s">
        <v>952</v>
      </c>
      <c r="F155" s="341">
        <v>80</v>
      </c>
      <c r="G155" s="328"/>
      <c r="H155" s="328"/>
      <c r="I155" s="328"/>
      <c r="J155" s="328"/>
      <c r="K155" s="328"/>
      <c r="L155" s="341"/>
      <c r="M155" s="341"/>
      <c r="N155" s="341"/>
      <c r="O155" s="328" t="s">
        <v>992</v>
      </c>
      <c r="P155" s="325">
        <v>112636.8</v>
      </c>
      <c r="Q155" s="363" t="s">
        <v>1703</v>
      </c>
      <c r="R155" s="313"/>
      <c r="S155" s="313"/>
      <c r="T155" s="313"/>
      <c r="U155" s="313"/>
      <c r="V155" s="313"/>
      <c r="W155" s="313"/>
      <c r="X155" s="313"/>
      <c r="Y155" s="313"/>
      <c r="Z155" s="313"/>
      <c r="AA155" s="313"/>
      <c r="AB155" s="313"/>
      <c r="AC155" s="313"/>
      <c r="AD155" s="313"/>
      <c r="AE155" s="313"/>
      <c r="AF155" s="313"/>
      <c r="AG155" s="313"/>
      <c r="AH155" s="313"/>
      <c r="AI155" s="313"/>
      <c r="AJ155" s="313"/>
      <c r="AK155" s="313"/>
      <c r="AL155" s="313"/>
      <c r="AM155" s="313"/>
      <c r="AN155" s="313"/>
      <c r="AO155" s="313"/>
      <c r="AP155" s="313"/>
      <c r="AQ155" s="313"/>
      <c r="AR155" s="313"/>
      <c r="AS155" s="313"/>
      <c r="AT155" s="313"/>
      <c r="AU155" s="313"/>
      <c r="AV155" s="313"/>
      <c r="AW155" s="313"/>
      <c r="AX155" s="313"/>
      <c r="AY155" s="313"/>
      <c r="AZ155" s="313"/>
      <c r="BA155" s="313"/>
      <c r="BB155" s="313"/>
      <c r="BC155" s="313"/>
      <c r="BD155" s="313"/>
      <c r="BE155" s="313"/>
      <c r="BF155" s="313"/>
      <c r="BG155" s="313"/>
      <c r="BH155" s="313"/>
      <c r="BI155" s="313"/>
      <c r="BJ155" s="313"/>
      <c r="BK155" s="313"/>
      <c r="BL155" s="313"/>
      <c r="BM155" s="313"/>
      <c r="BN155" s="313"/>
      <c r="BO155" s="313"/>
      <c r="BP155" s="313"/>
      <c r="BQ155" s="313"/>
      <c r="BR155" s="313"/>
      <c r="BS155" s="313"/>
      <c r="BT155" s="313"/>
      <c r="BU155" s="313"/>
      <c r="BV155" s="313"/>
      <c r="BW155" s="313"/>
      <c r="BX155" s="313"/>
      <c r="BY155" s="313"/>
      <c r="BZ155" s="313"/>
      <c r="CA155" s="313"/>
      <c r="CB155" s="313"/>
      <c r="CC155" s="313"/>
      <c r="CD155" s="313"/>
      <c r="CE155" s="313"/>
      <c r="CF155" s="313"/>
      <c r="CG155" s="313"/>
      <c r="CH155" s="313"/>
      <c r="CI155" s="313"/>
      <c r="CJ155" s="313"/>
      <c r="CK155" s="313"/>
      <c r="CL155" s="313"/>
      <c r="CM155" s="313"/>
      <c r="CN155" s="313"/>
      <c r="CO155" s="313"/>
      <c r="CP155" s="313"/>
      <c r="CQ155" s="313"/>
      <c r="CR155" s="313"/>
      <c r="CS155" s="313"/>
      <c r="CT155" s="313"/>
      <c r="CU155" s="313"/>
      <c r="CV155" s="313"/>
      <c r="CW155" s="313"/>
      <c r="CX155" s="313"/>
      <c r="CY155" s="313"/>
      <c r="CZ155" s="313"/>
      <c r="DA155" s="313"/>
      <c r="DB155" s="313"/>
      <c r="DC155" s="313"/>
      <c r="DD155" s="313"/>
      <c r="DE155" s="313"/>
      <c r="DF155" s="313"/>
      <c r="DG155" s="313"/>
      <c r="DH155" s="313"/>
      <c r="DI155" s="313"/>
      <c r="DJ155" s="313"/>
      <c r="DK155" s="313"/>
      <c r="DL155" s="313"/>
      <c r="DM155" s="313"/>
      <c r="DN155" s="313"/>
      <c r="DO155" s="313"/>
      <c r="DP155" s="313"/>
      <c r="DQ155" s="313"/>
      <c r="DR155" s="313"/>
      <c r="DS155" s="313"/>
      <c r="DT155" s="313"/>
      <c r="DU155" s="313"/>
      <c r="DV155" s="313"/>
      <c r="DW155" s="313"/>
      <c r="DX155" s="313"/>
      <c r="DY155" s="313"/>
      <c r="DZ155" s="313"/>
      <c r="EA155" s="313"/>
      <c r="EB155" s="313"/>
      <c r="EC155" s="313"/>
      <c r="ED155" s="313"/>
      <c r="EE155" s="313"/>
      <c r="EF155" s="313"/>
      <c r="EG155" s="313"/>
      <c r="EH155" s="313"/>
      <c r="EI155" s="313"/>
      <c r="EJ155" s="313"/>
      <c r="EK155" s="313"/>
      <c r="EL155" s="313"/>
      <c r="EM155" s="313"/>
      <c r="EN155" s="313"/>
      <c r="EO155" s="313"/>
      <c r="EP155" s="313"/>
      <c r="EQ155" s="313"/>
      <c r="ER155" s="313"/>
      <c r="ES155" s="313"/>
      <c r="ET155" s="313"/>
      <c r="EU155" s="313"/>
      <c r="EV155" s="313"/>
      <c r="EW155" s="313"/>
      <c r="EX155" s="313"/>
      <c r="EY155" s="313"/>
      <c r="EZ155" s="313"/>
      <c r="FA155" s="313"/>
      <c r="FB155" s="313"/>
      <c r="FC155" s="313"/>
      <c r="FD155" s="313"/>
      <c r="FE155" s="313"/>
      <c r="FF155" s="313"/>
      <c r="FG155" s="313"/>
      <c r="FH155" s="313"/>
      <c r="FI155" s="313"/>
      <c r="FJ155" s="313"/>
      <c r="FK155" s="313"/>
      <c r="FL155" s="313"/>
      <c r="FM155" s="313"/>
      <c r="FN155" s="313"/>
      <c r="FO155" s="313"/>
      <c r="FP155" s="313"/>
      <c r="FQ155" s="313"/>
      <c r="FR155" s="313"/>
      <c r="FS155" s="313"/>
      <c r="FT155" s="313"/>
      <c r="FU155" s="313"/>
      <c r="FV155" s="313"/>
      <c r="FW155" s="313"/>
      <c r="FX155" s="355"/>
    </row>
    <row r="156" spans="1:180" ht="43.2">
      <c r="A156" s="333" t="s">
        <v>788</v>
      </c>
      <c r="B156" s="288" t="s">
        <v>777</v>
      </c>
      <c r="C156" s="348" t="s">
        <v>704</v>
      </c>
      <c r="D156" s="383">
        <v>12.56</v>
      </c>
      <c r="E156" s="327" t="s">
        <v>1634</v>
      </c>
      <c r="F156" s="328">
        <v>100</v>
      </c>
      <c r="G156" s="328" t="s">
        <v>1704</v>
      </c>
      <c r="H156" s="328">
        <v>0.54</v>
      </c>
      <c r="I156" s="328" t="s">
        <v>1634</v>
      </c>
      <c r="J156" s="328">
        <v>239</v>
      </c>
      <c r="K156" s="328" t="s">
        <v>1622</v>
      </c>
      <c r="L156" s="328">
        <v>22.9</v>
      </c>
      <c r="M156" s="328"/>
      <c r="N156" s="328"/>
      <c r="O156" s="380" t="s">
        <v>992</v>
      </c>
      <c r="P156" s="325">
        <v>1407.96</v>
      </c>
      <c r="Q156" s="292" t="s">
        <v>1700</v>
      </c>
      <c r="R156" s="287"/>
      <c r="S156" s="287"/>
      <c r="T156" s="287"/>
      <c r="U156" s="287"/>
      <c r="V156" s="287"/>
      <c r="W156" s="287"/>
      <c r="X156" s="287"/>
      <c r="Y156" s="287"/>
      <c r="Z156" s="287"/>
      <c r="AA156" s="287"/>
      <c r="AB156" s="287"/>
      <c r="AC156" s="287"/>
      <c r="AD156" s="287"/>
      <c r="AE156" s="287"/>
      <c r="AF156" s="287"/>
      <c r="AG156" s="287"/>
      <c r="AH156" s="287"/>
      <c r="AI156" s="287"/>
      <c r="AJ156" s="287"/>
      <c r="AK156" s="287"/>
      <c r="AL156" s="287"/>
      <c r="AM156" s="287"/>
      <c r="AN156" s="287"/>
      <c r="AO156" s="287"/>
      <c r="AP156" s="287"/>
      <c r="AQ156" s="287"/>
      <c r="AR156" s="287"/>
      <c r="AS156" s="287"/>
      <c r="AT156" s="287"/>
      <c r="AU156" s="287"/>
      <c r="AV156" s="287"/>
      <c r="AW156" s="287"/>
      <c r="AX156" s="287"/>
      <c r="AY156" s="287"/>
      <c r="AZ156" s="287"/>
      <c r="BA156" s="287"/>
      <c r="BB156" s="287"/>
      <c r="BC156" s="287"/>
      <c r="BD156" s="287"/>
      <c r="BE156" s="287"/>
      <c r="BF156" s="287"/>
      <c r="BG156" s="287"/>
      <c r="BH156" s="287"/>
      <c r="BI156" s="287"/>
      <c r="BJ156" s="287"/>
      <c r="BK156" s="287"/>
      <c r="BL156" s="287"/>
      <c r="BM156" s="287"/>
      <c r="BN156" s="287"/>
      <c r="BO156" s="287"/>
      <c r="BP156" s="287"/>
      <c r="BQ156" s="287"/>
      <c r="BR156" s="287"/>
      <c r="BS156" s="287"/>
      <c r="BT156" s="287"/>
      <c r="BU156" s="287"/>
      <c r="BV156" s="287"/>
      <c r="BW156" s="287"/>
      <c r="BX156" s="287"/>
      <c r="BY156" s="287"/>
      <c r="BZ156" s="287"/>
      <c r="CA156" s="287"/>
      <c r="CB156" s="287"/>
      <c r="CC156" s="287"/>
      <c r="CD156" s="287"/>
      <c r="CE156" s="287"/>
      <c r="CF156" s="287"/>
      <c r="CG156" s="287"/>
      <c r="CH156" s="287"/>
      <c r="CI156" s="287"/>
      <c r="CJ156" s="287"/>
      <c r="CK156" s="287"/>
      <c r="CL156" s="287"/>
      <c r="CM156" s="287"/>
      <c r="CN156" s="287"/>
      <c r="CO156" s="287"/>
      <c r="CP156" s="287"/>
      <c r="CQ156" s="287"/>
      <c r="CR156" s="287"/>
      <c r="CS156" s="287"/>
      <c r="CT156" s="287"/>
      <c r="CU156" s="287"/>
      <c r="CV156" s="287"/>
      <c r="CW156" s="287"/>
      <c r="CX156" s="287"/>
      <c r="CY156" s="287"/>
      <c r="CZ156" s="287"/>
      <c r="DA156" s="287"/>
      <c r="DB156" s="287"/>
      <c r="DC156" s="287"/>
      <c r="DD156" s="287"/>
      <c r="DE156" s="287"/>
      <c r="DF156" s="287"/>
      <c r="DG156" s="287"/>
      <c r="DH156" s="287"/>
      <c r="DI156" s="287"/>
      <c r="DJ156" s="287"/>
      <c r="DK156" s="287"/>
      <c r="DL156" s="287"/>
      <c r="DM156" s="287"/>
      <c r="DN156" s="287"/>
      <c r="DO156" s="287"/>
      <c r="DP156" s="287"/>
      <c r="DQ156" s="287"/>
      <c r="DR156" s="287"/>
      <c r="DS156" s="287"/>
      <c r="DT156" s="287"/>
      <c r="DU156" s="287"/>
      <c r="DV156" s="287"/>
      <c r="DW156" s="287"/>
      <c r="DX156" s="287"/>
      <c r="DY156" s="287"/>
      <c r="DZ156" s="287"/>
      <c r="EA156" s="287"/>
      <c r="EB156" s="287"/>
      <c r="EC156" s="287"/>
      <c r="ED156" s="287"/>
      <c r="EE156" s="287"/>
      <c r="EF156" s="287"/>
      <c r="EG156" s="287"/>
      <c r="EH156" s="287"/>
      <c r="EI156" s="287"/>
      <c r="EJ156" s="287"/>
      <c r="EK156" s="287"/>
      <c r="EL156" s="287"/>
      <c r="EM156" s="287"/>
      <c r="EN156" s="287"/>
      <c r="EO156" s="287"/>
      <c r="EP156" s="287"/>
      <c r="EQ156" s="287"/>
      <c r="ER156" s="287"/>
      <c r="ES156" s="287"/>
      <c r="ET156" s="287"/>
      <c r="EU156" s="287"/>
      <c r="EV156" s="287"/>
      <c r="EW156" s="287"/>
      <c r="EX156" s="287"/>
      <c r="EY156" s="287"/>
      <c r="EZ156" s="287"/>
      <c r="FA156" s="287"/>
      <c r="FB156" s="287"/>
      <c r="FC156" s="287"/>
      <c r="FD156" s="287"/>
      <c r="FE156" s="287"/>
      <c r="FF156" s="287"/>
      <c r="FG156" s="287"/>
      <c r="FH156" s="287"/>
      <c r="FI156" s="287"/>
      <c r="FJ156" s="287"/>
      <c r="FK156" s="287"/>
      <c r="FL156" s="287"/>
      <c r="FM156" s="287"/>
      <c r="FN156" s="287"/>
      <c r="FO156" s="287"/>
      <c r="FP156" s="287"/>
      <c r="FQ156" s="287"/>
      <c r="FR156" s="287"/>
      <c r="FS156" s="287"/>
      <c r="FT156" s="287"/>
      <c r="FU156" s="287"/>
      <c r="FV156" s="287"/>
      <c r="FW156" s="287"/>
      <c r="FX156" s="287"/>
    </row>
    <row r="157" spans="1:180" ht="19.95" customHeight="1">
      <c r="A157" s="333"/>
      <c r="B157" s="353" t="s">
        <v>780</v>
      </c>
      <c r="C157" s="348"/>
      <c r="D157" s="383"/>
      <c r="E157" s="327"/>
      <c r="F157" s="328"/>
      <c r="G157" s="328"/>
      <c r="H157" s="328"/>
      <c r="I157" s="328"/>
      <c r="J157" s="328"/>
      <c r="K157" s="328"/>
      <c r="L157" s="328"/>
      <c r="M157" s="328"/>
      <c r="N157" s="328"/>
      <c r="O157" s="380"/>
      <c r="P157" s="325"/>
      <c r="Q157" s="292"/>
      <c r="R157" s="287"/>
      <c r="S157" s="287"/>
      <c r="T157" s="287"/>
      <c r="U157" s="287"/>
      <c r="V157" s="287"/>
      <c r="W157" s="287"/>
      <c r="X157" s="287"/>
      <c r="Y157" s="287"/>
      <c r="Z157" s="287"/>
      <c r="AA157" s="287"/>
      <c r="AB157" s="287"/>
      <c r="AC157" s="287"/>
      <c r="AD157" s="287"/>
      <c r="AE157" s="287"/>
      <c r="AF157" s="287"/>
      <c r="AG157" s="287"/>
      <c r="AH157" s="287"/>
      <c r="AI157" s="287"/>
      <c r="AJ157" s="287"/>
      <c r="AK157" s="287"/>
      <c r="AL157" s="287"/>
      <c r="AM157" s="287"/>
      <c r="AN157" s="287"/>
      <c r="AO157" s="287"/>
      <c r="AP157" s="287"/>
      <c r="AQ157" s="287"/>
      <c r="AR157" s="287"/>
      <c r="AS157" s="287"/>
      <c r="AT157" s="287"/>
      <c r="AU157" s="287"/>
      <c r="AV157" s="287"/>
      <c r="AW157" s="287"/>
      <c r="AX157" s="287"/>
      <c r="AY157" s="287"/>
      <c r="AZ157" s="287"/>
      <c r="BA157" s="287"/>
      <c r="BB157" s="287"/>
      <c r="BC157" s="287"/>
      <c r="BD157" s="287"/>
      <c r="BE157" s="287"/>
      <c r="BF157" s="287"/>
      <c r="BG157" s="287"/>
      <c r="BH157" s="287"/>
      <c r="BI157" s="287"/>
      <c r="BJ157" s="287"/>
      <c r="BK157" s="287"/>
      <c r="BL157" s="287"/>
      <c r="BM157" s="287"/>
      <c r="BN157" s="287"/>
      <c r="BO157" s="287"/>
      <c r="BP157" s="287"/>
      <c r="BQ157" s="287"/>
      <c r="BR157" s="287"/>
      <c r="BS157" s="287"/>
      <c r="BT157" s="287"/>
      <c r="BU157" s="287"/>
      <c r="BV157" s="287"/>
      <c r="BW157" s="287"/>
      <c r="BX157" s="287"/>
      <c r="BY157" s="287"/>
      <c r="BZ157" s="287"/>
      <c r="CA157" s="287"/>
      <c r="CB157" s="287"/>
      <c r="CC157" s="287"/>
      <c r="CD157" s="287"/>
      <c r="CE157" s="287"/>
      <c r="CF157" s="287"/>
      <c r="CG157" s="287"/>
      <c r="CH157" s="287"/>
      <c r="CI157" s="287"/>
      <c r="CJ157" s="287"/>
      <c r="CK157" s="287"/>
      <c r="CL157" s="287"/>
      <c r="CM157" s="287"/>
      <c r="CN157" s="287"/>
      <c r="CO157" s="287"/>
      <c r="CP157" s="287"/>
      <c r="CQ157" s="287"/>
      <c r="CR157" s="287"/>
      <c r="CS157" s="287"/>
      <c r="CT157" s="287"/>
      <c r="CU157" s="287"/>
      <c r="CV157" s="287"/>
      <c r="CW157" s="287"/>
      <c r="CX157" s="287"/>
      <c r="CY157" s="287"/>
      <c r="CZ157" s="287"/>
      <c r="DA157" s="287"/>
      <c r="DB157" s="287"/>
      <c r="DC157" s="287"/>
      <c r="DD157" s="287"/>
      <c r="DE157" s="287"/>
      <c r="DF157" s="287"/>
      <c r="DG157" s="287"/>
      <c r="DH157" s="287"/>
      <c r="DI157" s="287"/>
      <c r="DJ157" s="287"/>
      <c r="DK157" s="287"/>
      <c r="DL157" s="287"/>
      <c r="DM157" s="287"/>
      <c r="DN157" s="287"/>
      <c r="DO157" s="287"/>
      <c r="DP157" s="287"/>
      <c r="DQ157" s="287"/>
      <c r="DR157" s="287"/>
      <c r="DS157" s="287"/>
      <c r="DT157" s="287"/>
      <c r="DU157" s="287"/>
      <c r="DV157" s="287"/>
      <c r="DW157" s="287"/>
      <c r="DX157" s="287"/>
      <c r="DY157" s="287"/>
      <c r="DZ157" s="287"/>
      <c r="EA157" s="287"/>
      <c r="EB157" s="287"/>
      <c r="EC157" s="287"/>
      <c r="ED157" s="287"/>
      <c r="EE157" s="287"/>
      <c r="EF157" s="287"/>
      <c r="EG157" s="287"/>
      <c r="EH157" s="287"/>
      <c r="EI157" s="287"/>
      <c r="EJ157" s="287"/>
      <c r="EK157" s="287"/>
      <c r="EL157" s="287"/>
      <c r="EM157" s="287"/>
      <c r="EN157" s="287"/>
      <c r="EO157" s="287"/>
      <c r="EP157" s="287"/>
      <c r="EQ157" s="287"/>
      <c r="ER157" s="287"/>
      <c r="ES157" s="287"/>
      <c r="ET157" s="287"/>
      <c r="EU157" s="287"/>
      <c r="EV157" s="287"/>
      <c r="EW157" s="287"/>
      <c r="EX157" s="287"/>
      <c r="EY157" s="287"/>
      <c r="EZ157" s="287"/>
      <c r="FA157" s="287"/>
      <c r="FB157" s="287"/>
      <c r="FC157" s="287"/>
      <c r="FD157" s="287"/>
      <c r="FE157" s="287"/>
      <c r="FF157" s="287"/>
      <c r="FG157" s="287"/>
      <c r="FH157" s="287"/>
      <c r="FI157" s="287"/>
      <c r="FJ157" s="287"/>
      <c r="FK157" s="287"/>
      <c r="FL157" s="287"/>
      <c r="FM157" s="287"/>
      <c r="FN157" s="287"/>
      <c r="FO157" s="287"/>
      <c r="FP157" s="287"/>
      <c r="FQ157" s="287"/>
      <c r="FR157" s="287"/>
      <c r="FS157" s="287"/>
      <c r="FT157" s="287"/>
      <c r="FU157" s="287"/>
      <c r="FV157" s="287"/>
      <c r="FW157" s="287"/>
      <c r="FX157" s="287"/>
    </row>
    <row r="158" spans="1:180" ht="72">
      <c r="A158" s="333"/>
      <c r="B158" s="288" t="s">
        <v>772</v>
      </c>
      <c r="C158" s="327" t="s">
        <v>654</v>
      </c>
      <c r="D158" s="383">
        <v>1344.77</v>
      </c>
      <c r="E158" s="327" t="s">
        <v>1634</v>
      </c>
      <c r="F158" s="328">
        <v>12</v>
      </c>
      <c r="G158" s="328"/>
      <c r="H158" s="328"/>
      <c r="I158" s="328"/>
      <c r="J158" s="328"/>
      <c r="K158" s="328"/>
      <c r="L158" s="328"/>
      <c r="M158" s="328"/>
      <c r="N158" s="328"/>
      <c r="O158" s="380" t="s">
        <v>992</v>
      </c>
      <c r="P158" s="325">
        <v>16137.24</v>
      </c>
      <c r="Q158" s="363" t="s">
        <v>1705</v>
      </c>
      <c r="R158" s="287"/>
      <c r="S158" s="287"/>
      <c r="T158" s="287"/>
      <c r="U158" s="287"/>
      <c r="V158" s="287"/>
      <c r="W158" s="287"/>
      <c r="X158" s="287"/>
      <c r="Y158" s="287"/>
      <c r="Z158" s="287"/>
      <c r="AA158" s="287"/>
      <c r="AB158" s="287"/>
      <c r="AC158" s="287"/>
      <c r="AD158" s="287"/>
      <c r="AE158" s="287"/>
      <c r="AF158" s="287"/>
      <c r="AG158" s="287"/>
      <c r="AH158" s="287"/>
      <c r="AI158" s="287"/>
      <c r="AJ158" s="287"/>
      <c r="AK158" s="287"/>
      <c r="AL158" s="287"/>
      <c r="AM158" s="287"/>
      <c r="AN158" s="287"/>
      <c r="AO158" s="287"/>
      <c r="AP158" s="287"/>
      <c r="AQ158" s="287"/>
      <c r="AR158" s="287"/>
      <c r="AS158" s="287"/>
      <c r="AT158" s="287"/>
      <c r="AU158" s="287"/>
      <c r="AV158" s="287"/>
      <c r="AW158" s="287"/>
      <c r="AX158" s="287"/>
      <c r="AY158" s="287"/>
      <c r="AZ158" s="287"/>
      <c r="BA158" s="287"/>
      <c r="BB158" s="287"/>
      <c r="BC158" s="287"/>
      <c r="BD158" s="287"/>
      <c r="BE158" s="287"/>
      <c r="BF158" s="287"/>
      <c r="BG158" s="287"/>
      <c r="BH158" s="287"/>
      <c r="BI158" s="287"/>
      <c r="BJ158" s="287"/>
      <c r="BK158" s="287"/>
      <c r="BL158" s="287"/>
      <c r="BM158" s="287"/>
      <c r="BN158" s="287"/>
      <c r="BO158" s="287"/>
      <c r="BP158" s="287"/>
      <c r="BQ158" s="287"/>
      <c r="BR158" s="287"/>
      <c r="BS158" s="287"/>
      <c r="BT158" s="287"/>
      <c r="BU158" s="287"/>
      <c r="BV158" s="287"/>
      <c r="BW158" s="287"/>
      <c r="BX158" s="287"/>
      <c r="BY158" s="287"/>
      <c r="BZ158" s="287"/>
      <c r="CA158" s="287"/>
      <c r="CB158" s="287"/>
      <c r="CC158" s="287"/>
      <c r="CD158" s="287"/>
      <c r="CE158" s="287"/>
      <c r="CF158" s="287"/>
      <c r="CG158" s="287"/>
      <c r="CH158" s="287"/>
      <c r="CI158" s="287"/>
      <c r="CJ158" s="287"/>
      <c r="CK158" s="287"/>
      <c r="CL158" s="287"/>
      <c r="CM158" s="287"/>
      <c r="CN158" s="287"/>
      <c r="CO158" s="287"/>
      <c r="CP158" s="287"/>
      <c r="CQ158" s="287"/>
      <c r="CR158" s="287"/>
      <c r="CS158" s="287"/>
      <c r="CT158" s="287"/>
      <c r="CU158" s="287"/>
      <c r="CV158" s="287"/>
      <c r="CW158" s="287"/>
      <c r="CX158" s="287"/>
      <c r="CY158" s="287"/>
      <c r="CZ158" s="287"/>
      <c r="DA158" s="287"/>
      <c r="DB158" s="287"/>
      <c r="DC158" s="287"/>
      <c r="DD158" s="287"/>
      <c r="DE158" s="287"/>
      <c r="DF158" s="287"/>
      <c r="DG158" s="287"/>
      <c r="DH158" s="287"/>
      <c r="DI158" s="287"/>
      <c r="DJ158" s="287"/>
      <c r="DK158" s="287"/>
      <c r="DL158" s="287"/>
      <c r="DM158" s="287"/>
      <c r="DN158" s="287"/>
      <c r="DO158" s="287"/>
      <c r="DP158" s="287"/>
      <c r="DQ158" s="287"/>
      <c r="DR158" s="287"/>
      <c r="DS158" s="287"/>
      <c r="DT158" s="287"/>
      <c r="DU158" s="287"/>
      <c r="DV158" s="287"/>
      <c r="DW158" s="287"/>
      <c r="DX158" s="287"/>
      <c r="DY158" s="287"/>
      <c r="DZ158" s="287"/>
      <c r="EA158" s="287"/>
      <c r="EB158" s="287"/>
      <c r="EC158" s="287"/>
      <c r="ED158" s="287"/>
      <c r="EE158" s="287"/>
      <c r="EF158" s="287"/>
      <c r="EG158" s="287"/>
      <c r="EH158" s="287"/>
      <c r="EI158" s="287"/>
      <c r="EJ158" s="287"/>
      <c r="EK158" s="287"/>
      <c r="EL158" s="287"/>
      <c r="EM158" s="287"/>
      <c r="EN158" s="287"/>
      <c r="EO158" s="287"/>
      <c r="EP158" s="287"/>
      <c r="EQ158" s="287"/>
      <c r="ER158" s="287"/>
      <c r="ES158" s="287"/>
      <c r="ET158" s="287"/>
      <c r="EU158" s="287"/>
      <c r="EV158" s="287"/>
      <c r="EW158" s="287"/>
      <c r="EX158" s="287"/>
      <c r="EY158" s="287"/>
      <c r="EZ158" s="287"/>
      <c r="FA158" s="287"/>
      <c r="FB158" s="287"/>
      <c r="FC158" s="287"/>
      <c r="FD158" s="287"/>
      <c r="FE158" s="287"/>
      <c r="FF158" s="287"/>
      <c r="FG158" s="287"/>
      <c r="FH158" s="287"/>
      <c r="FI158" s="287"/>
      <c r="FJ158" s="287"/>
      <c r="FK158" s="287"/>
      <c r="FL158" s="287"/>
      <c r="FM158" s="287"/>
      <c r="FN158" s="287"/>
      <c r="FO158" s="287"/>
      <c r="FP158" s="287"/>
      <c r="FQ158" s="287"/>
      <c r="FR158" s="287"/>
      <c r="FS158" s="287"/>
      <c r="FT158" s="287"/>
      <c r="FU158" s="287"/>
      <c r="FV158" s="287"/>
      <c r="FW158" s="287"/>
      <c r="FX158" s="287"/>
    </row>
    <row r="159" spans="1:180" ht="43.2">
      <c r="A159" s="333"/>
      <c r="B159" s="288" t="s">
        <v>777</v>
      </c>
      <c r="C159" s="327" t="s">
        <v>704</v>
      </c>
      <c r="D159" s="336">
        <v>1344.77</v>
      </c>
      <c r="E159" s="327"/>
      <c r="F159" s="290"/>
      <c r="G159" s="328"/>
      <c r="H159" s="328"/>
      <c r="I159" s="328"/>
      <c r="J159" s="328"/>
      <c r="K159" s="328"/>
      <c r="L159" s="328"/>
      <c r="M159" s="328"/>
      <c r="N159" s="328"/>
      <c r="O159" s="328" t="s">
        <v>992</v>
      </c>
      <c r="P159" s="325">
        <v>1344.77</v>
      </c>
      <c r="Q159" s="363" t="s">
        <v>1706</v>
      </c>
      <c r="R159" s="287"/>
      <c r="S159" s="287"/>
      <c r="T159" s="287"/>
      <c r="U159" s="287"/>
      <c r="V159" s="287"/>
      <c r="W159" s="287"/>
      <c r="X159" s="287"/>
      <c r="Y159" s="287"/>
      <c r="Z159" s="287"/>
      <c r="AA159" s="287"/>
      <c r="AB159" s="287"/>
      <c r="AC159" s="287"/>
      <c r="AD159" s="287"/>
      <c r="AE159" s="287"/>
      <c r="AF159" s="287"/>
      <c r="AG159" s="287"/>
      <c r="AH159" s="287"/>
      <c r="AI159" s="287"/>
      <c r="AJ159" s="287"/>
      <c r="AK159" s="287"/>
      <c r="AL159" s="287"/>
      <c r="AM159" s="287"/>
      <c r="AN159" s="287"/>
      <c r="AO159" s="287"/>
      <c r="AP159" s="287"/>
      <c r="AQ159" s="287"/>
      <c r="AR159" s="287"/>
      <c r="AS159" s="287"/>
      <c r="AT159" s="287"/>
      <c r="AU159" s="287"/>
      <c r="AV159" s="287"/>
      <c r="AW159" s="287"/>
      <c r="AX159" s="287"/>
      <c r="AY159" s="287"/>
      <c r="AZ159" s="287"/>
      <c r="BA159" s="287"/>
      <c r="BB159" s="287"/>
      <c r="BC159" s="287"/>
      <c r="BD159" s="287"/>
      <c r="BE159" s="287"/>
      <c r="BF159" s="287"/>
      <c r="BG159" s="287"/>
      <c r="BH159" s="287"/>
      <c r="BI159" s="287"/>
      <c r="BJ159" s="287"/>
      <c r="BK159" s="287"/>
      <c r="BL159" s="287"/>
      <c r="BM159" s="287"/>
      <c r="BN159" s="287"/>
      <c r="BO159" s="287"/>
      <c r="BP159" s="287"/>
      <c r="BQ159" s="287"/>
      <c r="BR159" s="287"/>
      <c r="BS159" s="287"/>
      <c r="BT159" s="287"/>
      <c r="BU159" s="287"/>
      <c r="BV159" s="287"/>
      <c r="BW159" s="287"/>
      <c r="BX159" s="287"/>
      <c r="BY159" s="287"/>
      <c r="BZ159" s="287"/>
      <c r="CA159" s="287"/>
      <c r="CB159" s="287"/>
      <c r="CC159" s="287"/>
      <c r="CD159" s="287"/>
      <c r="CE159" s="287"/>
      <c r="CF159" s="287"/>
      <c r="CG159" s="287"/>
      <c r="CH159" s="287"/>
      <c r="CI159" s="287"/>
      <c r="CJ159" s="287"/>
      <c r="CK159" s="287"/>
      <c r="CL159" s="287"/>
      <c r="CM159" s="287"/>
      <c r="CN159" s="287"/>
      <c r="CO159" s="287"/>
      <c r="CP159" s="287"/>
      <c r="CQ159" s="287"/>
      <c r="CR159" s="287"/>
      <c r="CS159" s="287"/>
      <c r="CT159" s="287"/>
      <c r="CU159" s="287"/>
      <c r="CV159" s="287"/>
      <c r="CW159" s="287"/>
      <c r="CX159" s="287"/>
      <c r="CY159" s="287"/>
      <c r="CZ159" s="287"/>
      <c r="DA159" s="287"/>
      <c r="DB159" s="287"/>
      <c r="DC159" s="287"/>
      <c r="DD159" s="287"/>
      <c r="DE159" s="287"/>
      <c r="DF159" s="287"/>
      <c r="DG159" s="287"/>
      <c r="DH159" s="287"/>
      <c r="DI159" s="287"/>
      <c r="DJ159" s="287"/>
      <c r="DK159" s="287"/>
      <c r="DL159" s="287"/>
      <c r="DM159" s="287"/>
      <c r="DN159" s="287"/>
      <c r="DO159" s="287"/>
      <c r="DP159" s="287"/>
      <c r="DQ159" s="287"/>
      <c r="DR159" s="287"/>
      <c r="DS159" s="287"/>
      <c r="DT159" s="287"/>
      <c r="DU159" s="287"/>
      <c r="DV159" s="287"/>
      <c r="DW159" s="287"/>
      <c r="DX159" s="287"/>
      <c r="DY159" s="287"/>
      <c r="DZ159" s="287"/>
      <c r="EA159" s="287"/>
      <c r="EB159" s="287"/>
      <c r="EC159" s="287"/>
      <c r="ED159" s="287"/>
      <c r="EE159" s="287"/>
      <c r="EF159" s="287"/>
      <c r="EG159" s="287"/>
      <c r="EH159" s="287"/>
      <c r="EI159" s="287"/>
      <c r="EJ159" s="287"/>
      <c r="EK159" s="287"/>
      <c r="EL159" s="287"/>
      <c r="EM159" s="287"/>
      <c r="EN159" s="287"/>
      <c r="EO159" s="287"/>
      <c r="EP159" s="287"/>
      <c r="EQ159" s="287"/>
      <c r="ER159" s="287"/>
      <c r="ES159" s="287"/>
      <c r="ET159" s="287"/>
      <c r="EU159" s="287"/>
      <c r="EV159" s="287"/>
      <c r="EW159" s="287"/>
      <c r="EX159" s="287"/>
      <c r="EY159" s="287"/>
      <c r="EZ159" s="287"/>
      <c r="FA159" s="287"/>
      <c r="FB159" s="287"/>
      <c r="FC159" s="287"/>
      <c r="FD159" s="287"/>
      <c r="FE159" s="287"/>
      <c r="FF159" s="287"/>
      <c r="FG159" s="287"/>
      <c r="FH159" s="287"/>
      <c r="FI159" s="287"/>
      <c r="FJ159" s="287"/>
      <c r="FK159" s="287"/>
      <c r="FL159" s="287"/>
      <c r="FM159" s="287"/>
      <c r="FN159" s="287"/>
      <c r="FO159" s="287"/>
      <c r="FP159" s="287"/>
      <c r="FQ159" s="287"/>
      <c r="FR159" s="287"/>
      <c r="FS159" s="287"/>
      <c r="FT159" s="287"/>
      <c r="FU159" s="287"/>
      <c r="FV159" s="287"/>
      <c r="FW159" s="287"/>
      <c r="FX159" s="287"/>
    </row>
    <row r="160" spans="1:180" ht="43.2">
      <c r="A160" s="333"/>
      <c r="B160" s="323" t="s">
        <v>758</v>
      </c>
      <c r="C160" s="327" t="s">
        <v>757</v>
      </c>
      <c r="D160" s="291">
        <v>1344.77</v>
      </c>
      <c r="E160" s="327" t="s">
        <v>957</v>
      </c>
      <c r="F160" s="328">
        <v>40</v>
      </c>
      <c r="G160" s="328"/>
      <c r="H160" s="328"/>
      <c r="I160" s="328"/>
      <c r="J160" s="328"/>
      <c r="K160" s="328"/>
      <c r="L160" s="328"/>
      <c r="M160" s="328"/>
      <c r="N160" s="328"/>
      <c r="O160" s="328" t="s">
        <v>992</v>
      </c>
      <c r="P160" s="325">
        <v>53790.8</v>
      </c>
      <c r="Q160" s="363" t="s">
        <v>1707</v>
      </c>
      <c r="R160" s="287"/>
      <c r="S160" s="287"/>
      <c r="T160" s="287"/>
      <c r="U160" s="287"/>
      <c r="V160" s="287"/>
      <c r="W160" s="287"/>
      <c r="X160" s="287"/>
      <c r="Y160" s="287"/>
      <c r="Z160" s="287"/>
      <c r="AA160" s="287"/>
      <c r="AB160" s="287"/>
      <c r="AC160" s="287"/>
      <c r="AD160" s="287"/>
      <c r="AE160" s="287"/>
      <c r="AF160" s="287"/>
      <c r="AG160" s="287"/>
      <c r="AH160" s="287"/>
      <c r="AI160" s="287"/>
      <c r="AJ160" s="287"/>
      <c r="AK160" s="287"/>
      <c r="AL160" s="287"/>
      <c r="AM160" s="287"/>
      <c r="AN160" s="287"/>
      <c r="AO160" s="287"/>
      <c r="AP160" s="287"/>
      <c r="AQ160" s="287"/>
      <c r="AR160" s="287"/>
      <c r="AS160" s="287"/>
      <c r="AT160" s="287"/>
      <c r="AU160" s="287"/>
      <c r="AV160" s="287"/>
      <c r="AW160" s="287"/>
      <c r="AX160" s="287"/>
      <c r="AY160" s="287"/>
      <c r="AZ160" s="287"/>
      <c r="BA160" s="287"/>
      <c r="BB160" s="287"/>
      <c r="BC160" s="287"/>
      <c r="BD160" s="287"/>
      <c r="BE160" s="287"/>
      <c r="BF160" s="287"/>
      <c r="BG160" s="287"/>
      <c r="BH160" s="287"/>
      <c r="BI160" s="287"/>
      <c r="BJ160" s="287"/>
      <c r="BK160" s="287"/>
      <c r="BL160" s="287"/>
      <c r="BM160" s="287"/>
      <c r="BN160" s="287"/>
      <c r="BO160" s="287"/>
      <c r="BP160" s="287"/>
      <c r="BQ160" s="287"/>
      <c r="BR160" s="287"/>
      <c r="BS160" s="287"/>
      <c r="BT160" s="287"/>
      <c r="BU160" s="287"/>
      <c r="BV160" s="287"/>
      <c r="BW160" s="287"/>
      <c r="BX160" s="287"/>
      <c r="BY160" s="287"/>
      <c r="BZ160" s="287"/>
      <c r="CA160" s="287"/>
      <c r="CB160" s="287"/>
      <c r="CC160" s="287"/>
      <c r="CD160" s="287"/>
      <c r="CE160" s="287"/>
      <c r="CF160" s="287"/>
      <c r="CG160" s="287"/>
      <c r="CH160" s="287"/>
      <c r="CI160" s="287"/>
      <c r="CJ160" s="287"/>
      <c r="CK160" s="287"/>
      <c r="CL160" s="287"/>
      <c r="CM160" s="287"/>
      <c r="CN160" s="287"/>
      <c r="CO160" s="287"/>
      <c r="CP160" s="287"/>
      <c r="CQ160" s="287"/>
      <c r="CR160" s="287"/>
      <c r="CS160" s="287"/>
      <c r="CT160" s="287"/>
      <c r="CU160" s="287"/>
      <c r="CV160" s="287"/>
      <c r="CW160" s="287"/>
      <c r="CX160" s="287"/>
      <c r="CY160" s="287"/>
      <c r="CZ160" s="287"/>
      <c r="DA160" s="287"/>
      <c r="DB160" s="287"/>
      <c r="DC160" s="287"/>
      <c r="DD160" s="287"/>
      <c r="DE160" s="287"/>
      <c r="DF160" s="287"/>
      <c r="DG160" s="287"/>
      <c r="DH160" s="287"/>
      <c r="DI160" s="287"/>
      <c r="DJ160" s="287"/>
      <c r="DK160" s="287"/>
      <c r="DL160" s="287"/>
      <c r="DM160" s="287"/>
      <c r="DN160" s="287"/>
      <c r="DO160" s="287"/>
      <c r="DP160" s="287"/>
      <c r="DQ160" s="287"/>
      <c r="DR160" s="287"/>
      <c r="DS160" s="287"/>
      <c r="DT160" s="287"/>
      <c r="DU160" s="287"/>
      <c r="DV160" s="287"/>
      <c r="DW160" s="287"/>
      <c r="DX160" s="287"/>
      <c r="DY160" s="287"/>
      <c r="DZ160" s="287"/>
      <c r="EA160" s="287"/>
      <c r="EB160" s="287"/>
      <c r="EC160" s="287"/>
      <c r="ED160" s="287"/>
      <c r="EE160" s="287"/>
      <c r="EF160" s="287"/>
      <c r="EG160" s="287"/>
      <c r="EH160" s="287"/>
      <c r="EI160" s="287"/>
      <c r="EJ160" s="287"/>
      <c r="EK160" s="287"/>
      <c r="EL160" s="287"/>
      <c r="EM160" s="287"/>
      <c r="EN160" s="287"/>
      <c r="EO160" s="287"/>
      <c r="EP160" s="287"/>
      <c r="EQ160" s="287"/>
      <c r="ER160" s="287"/>
      <c r="ES160" s="287"/>
      <c r="ET160" s="287"/>
      <c r="EU160" s="287"/>
      <c r="EV160" s="287"/>
      <c r="EW160" s="287"/>
      <c r="EX160" s="287"/>
      <c r="EY160" s="287"/>
      <c r="EZ160" s="287"/>
      <c r="FA160" s="287"/>
      <c r="FB160" s="287"/>
      <c r="FC160" s="287"/>
      <c r="FD160" s="287"/>
      <c r="FE160" s="287"/>
      <c r="FF160" s="287"/>
      <c r="FG160" s="287"/>
      <c r="FH160" s="287"/>
      <c r="FI160" s="287"/>
      <c r="FJ160" s="287"/>
      <c r="FK160" s="287"/>
      <c r="FL160" s="287"/>
      <c r="FM160" s="287"/>
      <c r="FN160" s="287"/>
      <c r="FO160" s="287"/>
      <c r="FP160" s="287"/>
      <c r="FQ160" s="287"/>
      <c r="FR160" s="287"/>
      <c r="FS160" s="287"/>
      <c r="FT160" s="287"/>
      <c r="FU160" s="287"/>
      <c r="FV160" s="287"/>
      <c r="FW160" s="287"/>
      <c r="FX160" s="287"/>
    </row>
    <row r="161" spans="1:180" ht="43.2">
      <c r="A161" s="333"/>
      <c r="B161" s="288" t="s">
        <v>756</v>
      </c>
      <c r="C161" s="327" t="s">
        <v>757</v>
      </c>
      <c r="D161" s="291">
        <v>1344.77</v>
      </c>
      <c r="E161" s="327" t="s">
        <v>957</v>
      </c>
      <c r="F161" s="328">
        <v>60</v>
      </c>
      <c r="G161" s="328"/>
      <c r="H161" s="328"/>
      <c r="I161" s="328"/>
      <c r="J161" s="328"/>
      <c r="K161" s="328"/>
      <c r="L161" s="328"/>
      <c r="M161" s="328"/>
      <c r="N161" s="328"/>
      <c r="O161" s="328" t="s">
        <v>992</v>
      </c>
      <c r="P161" s="325">
        <v>80686.2</v>
      </c>
      <c r="Q161" s="363" t="s">
        <v>1708</v>
      </c>
      <c r="R161" s="287"/>
      <c r="S161" s="287"/>
      <c r="T161" s="287"/>
      <c r="U161" s="287"/>
      <c r="V161" s="287"/>
      <c r="W161" s="287"/>
      <c r="X161" s="287"/>
      <c r="Y161" s="287"/>
      <c r="Z161" s="287"/>
      <c r="AA161" s="287"/>
      <c r="AB161" s="287"/>
      <c r="AC161" s="287"/>
      <c r="AD161" s="287"/>
      <c r="AE161" s="287"/>
      <c r="AF161" s="287"/>
      <c r="AG161" s="287"/>
      <c r="AH161" s="287"/>
      <c r="AI161" s="287"/>
      <c r="AJ161" s="287"/>
      <c r="AK161" s="287"/>
      <c r="AL161" s="287"/>
      <c r="AM161" s="287"/>
      <c r="AN161" s="287"/>
      <c r="AO161" s="287"/>
      <c r="AP161" s="287"/>
      <c r="AQ161" s="287"/>
      <c r="AR161" s="287"/>
      <c r="AS161" s="287"/>
      <c r="AT161" s="287"/>
      <c r="AU161" s="287"/>
      <c r="AV161" s="287"/>
      <c r="AW161" s="287"/>
      <c r="AX161" s="287"/>
      <c r="AY161" s="287"/>
      <c r="AZ161" s="287"/>
      <c r="BA161" s="287"/>
      <c r="BB161" s="287"/>
      <c r="BC161" s="287"/>
      <c r="BD161" s="287"/>
      <c r="BE161" s="287"/>
      <c r="BF161" s="287"/>
      <c r="BG161" s="287"/>
      <c r="BH161" s="287"/>
      <c r="BI161" s="287"/>
      <c r="BJ161" s="287"/>
      <c r="BK161" s="287"/>
      <c r="BL161" s="287"/>
      <c r="BM161" s="287"/>
      <c r="BN161" s="287"/>
      <c r="BO161" s="287"/>
      <c r="BP161" s="287"/>
      <c r="BQ161" s="287"/>
      <c r="BR161" s="287"/>
      <c r="BS161" s="287"/>
      <c r="BT161" s="287"/>
      <c r="BU161" s="287"/>
      <c r="BV161" s="287"/>
      <c r="BW161" s="287"/>
      <c r="BX161" s="287"/>
      <c r="BY161" s="287"/>
      <c r="BZ161" s="287"/>
      <c r="CA161" s="287"/>
      <c r="CB161" s="287"/>
      <c r="CC161" s="287"/>
      <c r="CD161" s="287"/>
      <c r="CE161" s="287"/>
      <c r="CF161" s="287"/>
      <c r="CG161" s="287"/>
      <c r="CH161" s="287"/>
      <c r="CI161" s="287"/>
      <c r="CJ161" s="287"/>
      <c r="CK161" s="287"/>
      <c r="CL161" s="287"/>
      <c r="CM161" s="287"/>
      <c r="CN161" s="287"/>
      <c r="CO161" s="287"/>
      <c r="CP161" s="287"/>
      <c r="CQ161" s="287"/>
      <c r="CR161" s="287"/>
      <c r="CS161" s="287"/>
      <c r="CT161" s="287"/>
      <c r="CU161" s="287"/>
      <c r="CV161" s="287"/>
      <c r="CW161" s="287"/>
      <c r="CX161" s="287"/>
      <c r="CY161" s="287"/>
      <c r="CZ161" s="287"/>
      <c r="DA161" s="287"/>
      <c r="DB161" s="287"/>
      <c r="DC161" s="287"/>
      <c r="DD161" s="287"/>
      <c r="DE161" s="287"/>
      <c r="DF161" s="287"/>
      <c r="DG161" s="287"/>
      <c r="DH161" s="287"/>
      <c r="DI161" s="287"/>
      <c r="DJ161" s="287"/>
      <c r="DK161" s="287"/>
      <c r="DL161" s="287"/>
      <c r="DM161" s="287"/>
      <c r="DN161" s="287"/>
      <c r="DO161" s="287"/>
      <c r="DP161" s="287"/>
      <c r="DQ161" s="287"/>
      <c r="DR161" s="287"/>
      <c r="DS161" s="287"/>
      <c r="DT161" s="287"/>
      <c r="DU161" s="287"/>
      <c r="DV161" s="287"/>
      <c r="DW161" s="287"/>
      <c r="DX161" s="287"/>
      <c r="DY161" s="287"/>
      <c r="DZ161" s="287"/>
      <c r="EA161" s="287"/>
      <c r="EB161" s="287"/>
      <c r="EC161" s="287"/>
      <c r="ED161" s="287"/>
      <c r="EE161" s="287"/>
      <c r="EF161" s="287"/>
      <c r="EG161" s="287"/>
      <c r="EH161" s="287"/>
      <c r="EI161" s="287"/>
      <c r="EJ161" s="287"/>
      <c r="EK161" s="287"/>
      <c r="EL161" s="287"/>
      <c r="EM161" s="287"/>
      <c r="EN161" s="287"/>
      <c r="EO161" s="287"/>
      <c r="EP161" s="287"/>
      <c r="EQ161" s="287"/>
      <c r="ER161" s="287"/>
      <c r="ES161" s="287"/>
      <c r="ET161" s="287"/>
      <c r="EU161" s="287"/>
      <c r="EV161" s="287"/>
      <c r="EW161" s="287"/>
      <c r="EX161" s="287"/>
      <c r="EY161" s="287"/>
      <c r="EZ161" s="287"/>
      <c r="FA161" s="287"/>
      <c r="FB161" s="287"/>
      <c r="FC161" s="287"/>
      <c r="FD161" s="287"/>
      <c r="FE161" s="287"/>
      <c r="FF161" s="287"/>
      <c r="FG161" s="287"/>
      <c r="FH161" s="287"/>
      <c r="FI161" s="287"/>
      <c r="FJ161" s="287"/>
      <c r="FK161" s="287"/>
      <c r="FL161" s="287"/>
      <c r="FM161" s="287"/>
      <c r="FN161" s="287"/>
      <c r="FO161" s="287"/>
      <c r="FP161" s="287"/>
      <c r="FQ161" s="287"/>
      <c r="FR161" s="287"/>
      <c r="FS161" s="287"/>
      <c r="FT161" s="287"/>
      <c r="FU161" s="287"/>
      <c r="FV161" s="287"/>
      <c r="FW161" s="287"/>
      <c r="FX161" s="287"/>
    </row>
    <row r="162" spans="1:180" ht="19.95" customHeight="1">
      <c r="A162" s="333"/>
      <c r="B162" s="288"/>
      <c r="C162" s="348"/>
      <c r="D162" s="383"/>
      <c r="E162" s="327"/>
      <c r="F162" s="328"/>
      <c r="G162" s="328"/>
      <c r="H162" s="328"/>
      <c r="I162" s="328"/>
      <c r="J162" s="328"/>
      <c r="K162" s="328"/>
      <c r="L162" s="328"/>
      <c r="M162" s="328"/>
      <c r="N162" s="328"/>
      <c r="O162" s="380"/>
      <c r="P162" s="325"/>
      <c r="Q162" s="292"/>
      <c r="R162" s="287"/>
      <c r="S162" s="287"/>
      <c r="T162" s="287"/>
      <c r="U162" s="287"/>
      <c r="V162" s="287"/>
      <c r="W162" s="287"/>
      <c r="X162" s="287"/>
      <c r="Y162" s="287"/>
      <c r="Z162" s="287"/>
      <c r="AA162" s="287"/>
      <c r="AB162" s="287"/>
      <c r="AC162" s="287"/>
      <c r="AD162" s="287"/>
      <c r="AE162" s="287"/>
      <c r="AF162" s="287"/>
      <c r="AG162" s="287"/>
      <c r="AH162" s="287"/>
      <c r="AI162" s="287"/>
      <c r="AJ162" s="287"/>
      <c r="AK162" s="287"/>
      <c r="AL162" s="287"/>
      <c r="AM162" s="287"/>
      <c r="AN162" s="287"/>
      <c r="AO162" s="287"/>
      <c r="AP162" s="287"/>
      <c r="AQ162" s="287"/>
      <c r="AR162" s="287"/>
      <c r="AS162" s="287"/>
      <c r="AT162" s="287"/>
      <c r="AU162" s="287"/>
      <c r="AV162" s="287"/>
      <c r="AW162" s="287"/>
      <c r="AX162" s="287"/>
      <c r="AY162" s="287"/>
      <c r="AZ162" s="287"/>
      <c r="BA162" s="287"/>
      <c r="BB162" s="287"/>
      <c r="BC162" s="287"/>
      <c r="BD162" s="287"/>
      <c r="BE162" s="287"/>
      <c r="BF162" s="287"/>
      <c r="BG162" s="287"/>
      <c r="BH162" s="287"/>
      <c r="BI162" s="287"/>
      <c r="BJ162" s="287"/>
      <c r="BK162" s="287"/>
      <c r="BL162" s="287"/>
      <c r="BM162" s="287"/>
      <c r="BN162" s="287"/>
      <c r="BO162" s="287"/>
      <c r="BP162" s="287"/>
      <c r="BQ162" s="287"/>
      <c r="BR162" s="287"/>
      <c r="BS162" s="287"/>
      <c r="BT162" s="287"/>
      <c r="BU162" s="287"/>
      <c r="BV162" s="287"/>
      <c r="BW162" s="287"/>
      <c r="BX162" s="287"/>
      <c r="BY162" s="287"/>
      <c r="BZ162" s="287"/>
      <c r="CA162" s="287"/>
      <c r="CB162" s="287"/>
      <c r="CC162" s="287"/>
      <c r="CD162" s="287"/>
      <c r="CE162" s="287"/>
      <c r="CF162" s="287"/>
      <c r="CG162" s="287"/>
      <c r="CH162" s="287"/>
      <c r="CI162" s="287"/>
      <c r="CJ162" s="287"/>
      <c r="CK162" s="287"/>
      <c r="CL162" s="287"/>
      <c r="CM162" s="287"/>
      <c r="CN162" s="287"/>
      <c r="CO162" s="287"/>
      <c r="CP162" s="287"/>
      <c r="CQ162" s="287"/>
      <c r="CR162" s="287"/>
      <c r="CS162" s="287"/>
      <c r="CT162" s="287"/>
      <c r="CU162" s="287"/>
      <c r="CV162" s="287"/>
      <c r="CW162" s="287"/>
      <c r="CX162" s="287"/>
      <c r="CY162" s="287"/>
      <c r="CZ162" s="287"/>
      <c r="DA162" s="287"/>
      <c r="DB162" s="287"/>
      <c r="DC162" s="287"/>
      <c r="DD162" s="287"/>
      <c r="DE162" s="287"/>
      <c r="DF162" s="287"/>
      <c r="DG162" s="287"/>
      <c r="DH162" s="287"/>
      <c r="DI162" s="287"/>
      <c r="DJ162" s="287"/>
      <c r="DK162" s="287"/>
      <c r="DL162" s="287"/>
      <c r="DM162" s="287"/>
      <c r="DN162" s="287"/>
      <c r="DO162" s="287"/>
      <c r="DP162" s="287"/>
      <c r="DQ162" s="287"/>
      <c r="DR162" s="287"/>
      <c r="DS162" s="287"/>
      <c r="DT162" s="287"/>
      <c r="DU162" s="287"/>
      <c r="DV162" s="287"/>
      <c r="DW162" s="287"/>
      <c r="DX162" s="287"/>
      <c r="DY162" s="287"/>
      <c r="DZ162" s="287"/>
      <c r="EA162" s="287"/>
      <c r="EB162" s="287"/>
      <c r="EC162" s="287"/>
      <c r="ED162" s="287"/>
      <c r="EE162" s="287"/>
      <c r="EF162" s="287"/>
      <c r="EG162" s="287"/>
      <c r="EH162" s="287"/>
      <c r="EI162" s="287"/>
      <c r="EJ162" s="287"/>
      <c r="EK162" s="287"/>
      <c r="EL162" s="287"/>
      <c r="EM162" s="287"/>
      <c r="EN162" s="287"/>
      <c r="EO162" s="287"/>
      <c r="EP162" s="287"/>
      <c r="EQ162" s="287"/>
      <c r="ER162" s="287"/>
      <c r="ES162" s="287"/>
      <c r="ET162" s="287"/>
      <c r="EU162" s="287"/>
      <c r="EV162" s="287"/>
      <c r="EW162" s="287"/>
      <c r="EX162" s="287"/>
      <c r="EY162" s="287"/>
      <c r="EZ162" s="287"/>
      <c r="FA162" s="287"/>
      <c r="FB162" s="287"/>
      <c r="FC162" s="287"/>
      <c r="FD162" s="287"/>
      <c r="FE162" s="287"/>
      <c r="FF162" s="287"/>
      <c r="FG162" s="287"/>
      <c r="FH162" s="287"/>
      <c r="FI162" s="287"/>
      <c r="FJ162" s="287"/>
      <c r="FK162" s="287"/>
      <c r="FL162" s="287"/>
      <c r="FM162" s="287"/>
      <c r="FN162" s="287"/>
      <c r="FO162" s="287"/>
      <c r="FP162" s="287"/>
      <c r="FQ162" s="287"/>
      <c r="FR162" s="287"/>
      <c r="FS162" s="287"/>
      <c r="FT162" s="287"/>
      <c r="FU162" s="287"/>
      <c r="FV162" s="287"/>
      <c r="FW162" s="287"/>
      <c r="FX162" s="287"/>
    </row>
    <row r="163" spans="1:180" ht="19.95" customHeight="1">
      <c r="A163" s="333"/>
      <c r="B163" s="353" t="s">
        <v>1709</v>
      </c>
      <c r="C163" s="348"/>
      <c r="D163" s="383"/>
      <c r="E163" s="327"/>
      <c r="F163" s="328"/>
      <c r="G163" s="328"/>
      <c r="H163" s="328"/>
      <c r="I163" s="328"/>
      <c r="J163" s="328"/>
      <c r="K163" s="328"/>
      <c r="L163" s="328"/>
      <c r="M163" s="328"/>
      <c r="N163" s="328"/>
      <c r="O163" s="380"/>
      <c r="P163" s="325"/>
      <c r="Q163" s="292"/>
      <c r="R163" s="287"/>
      <c r="S163" s="287"/>
      <c r="T163" s="287"/>
      <c r="U163" s="287"/>
      <c r="V163" s="287"/>
      <c r="W163" s="287"/>
      <c r="X163" s="287"/>
      <c r="Y163" s="287"/>
      <c r="Z163" s="287"/>
      <c r="AA163" s="287"/>
      <c r="AB163" s="287"/>
      <c r="AC163" s="287"/>
      <c r="AD163" s="287"/>
      <c r="AE163" s="287"/>
      <c r="AF163" s="287"/>
      <c r="AG163" s="287"/>
      <c r="AH163" s="287"/>
      <c r="AI163" s="287"/>
      <c r="AJ163" s="287"/>
      <c r="AK163" s="287"/>
      <c r="AL163" s="287"/>
      <c r="AM163" s="287"/>
      <c r="AN163" s="287"/>
      <c r="AO163" s="287"/>
      <c r="AP163" s="287"/>
      <c r="AQ163" s="287"/>
      <c r="AR163" s="287"/>
      <c r="AS163" s="287"/>
      <c r="AT163" s="287"/>
      <c r="AU163" s="287"/>
      <c r="AV163" s="287"/>
      <c r="AW163" s="287"/>
      <c r="AX163" s="287"/>
      <c r="AY163" s="287"/>
      <c r="AZ163" s="287"/>
      <c r="BA163" s="287"/>
      <c r="BB163" s="287"/>
      <c r="BC163" s="287"/>
      <c r="BD163" s="287"/>
      <c r="BE163" s="287"/>
      <c r="BF163" s="287"/>
      <c r="BG163" s="287"/>
      <c r="BH163" s="287"/>
      <c r="BI163" s="287"/>
      <c r="BJ163" s="287"/>
      <c r="BK163" s="287"/>
      <c r="BL163" s="287"/>
      <c r="BM163" s="287"/>
      <c r="BN163" s="287"/>
      <c r="BO163" s="287"/>
      <c r="BP163" s="287"/>
      <c r="BQ163" s="287"/>
      <c r="BR163" s="287"/>
      <c r="BS163" s="287"/>
      <c r="BT163" s="287"/>
      <c r="BU163" s="287"/>
      <c r="BV163" s="287"/>
      <c r="BW163" s="287"/>
      <c r="BX163" s="287"/>
      <c r="BY163" s="287"/>
      <c r="BZ163" s="287"/>
      <c r="CA163" s="287"/>
      <c r="CB163" s="287"/>
      <c r="CC163" s="287"/>
      <c r="CD163" s="287"/>
      <c r="CE163" s="287"/>
      <c r="CF163" s="287"/>
      <c r="CG163" s="287"/>
      <c r="CH163" s="287"/>
      <c r="CI163" s="287"/>
      <c r="CJ163" s="287"/>
      <c r="CK163" s="287"/>
      <c r="CL163" s="287"/>
      <c r="CM163" s="287"/>
      <c r="CN163" s="287"/>
      <c r="CO163" s="287"/>
      <c r="CP163" s="287"/>
      <c r="CQ163" s="287"/>
      <c r="CR163" s="287"/>
      <c r="CS163" s="287"/>
      <c r="CT163" s="287"/>
      <c r="CU163" s="287"/>
      <c r="CV163" s="287"/>
      <c r="CW163" s="287"/>
      <c r="CX163" s="287"/>
      <c r="CY163" s="287"/>
      <c r="CZ163" s="287"/>
      <c r="DA163" s="287"/>
      <c r="DB163" s="287"/>
      <c r="DC163" s="287"/>
      <c r="DD163" s="287"/>
      <c r="DE163" s="287"/>
      <c r="DF163" s="287"/>
      <c r="DG163" s="287"/>
      <c r="DH163" s="287"/>
      <c r="DI163" s="287"/>
      <c r="DJ163" s="287"/>
      <c r="DK163" s="287"/>
      <c r="DL163" s="287"/>
      <c r="DM163" s="287"/>
      <c r="DN163" s="287"/>
      <c r="DO163" s="287"/>
      <c r="DP163" s="287"/>
      <c r="DQ163" s="287"/>
      <c r="DR163" s="287"/>
      <c r="DS163" s="287"/>
      <c r="DT163" s="287"/>
      <c r="DU163" s="287"/>
      <c r="DV163" s="287"/>
      <c r="DW163" s="287"/>
      <c r="DX163" s="287"/>
      <c r="DY163" s="287"/>
      <c r="DZ163" s="287"/>
      <c r="EA163" s="287"/>
      <c r="EB163" s="287"/>
      <c r="EC163" s="287"/>
      <c r="ED163" s="287"/>
      <c r="EE163" s="287"/>
      <c r="EF163" s="287"/>
      <c r="EG163" s="287"/>
      <c r="EH163" s="287"/>
      <c r="EI163" s="287"/>
      <c r="EJ163" s="287"/>
      <c r="EK163" s="287"/>
      <c r="EL163" s="287"/>
      <c r="EM163" s="287"/>
      <c r="EN163" s="287"/>
      <c r="EO163" s="287"/>
      <c r="EP163" s="287"/>
      <c r="EQ163" s="287"/>
      <c r="ER163" s="287"/>
      <c r="ES163" s="287"/>
      <c r="ET163" s="287"/>
      <c r="EU163" s="287"/>
      <c r="EV163" s="287"/>
      <c r="EW163" s="287"/>
      <c r="EX163" s="287"/>
      <c r="EY163" s="287"/>
      <c r="EZ163" s="287"/>
      <c r="FA163" s="287"/>
      <c r="FB163" s="287"/>
      <c r="FC163" s="287"/>
      <c r="FD163" s="287"/>
      <c r="FE163" s="287"/>
      <c r="FF163" s="287"/>
      <c r="FG163" s="287"/>
      <c r="FH163" s="287"/>
      <c r="FI163" s="287"/>
      <c r="FJ163" s="287"/>
      <c r="FK163" s="287"/>
      <c r="FL163" s="287"/>
      <c r="FM163" s="287"/>
      <c r="FN163" s="287"/>
      <c r="FO163" s="287"/>
      <c r="FP163" s="287"/>
      <c r="FQ163" s="287"/>
      <c r="FR163" s="287"/>
      <c r="FS163" s="287"/>
      <c r="FT163" s="287"/>
      <c r="FU163" s="287"/>
      <c r="FV163" s="287"/>
      <c r="FW163" s="287"/>
      <c r="FX163" s="287"/>
    </row>
    <row r="164" spans="1:180" ht="72">
      <c r="A164" s="322" t="s">
        <v>789</v>
      </c>
      <c r="B164" s="288" t="s">
        <v>772</v>
      </c>
      <c r="C164" s="327" t="s">
        <v>654</v>
      </c>
      <c r="D164" s="383">
        <v>50406.85</v>
      </c>
      <c r="E164" s="327"/>
      <c r="F164" s="328"/>
      <c r="G164" s="328"/>
      <c r="H164" s="328"/>
      <c r="I164" s="328"/>
      <c r="J164" s="328"/>
      <c r="K164" s="328"/>
      <c r="L164" s="328"/>
      <c r="M164" s="328"/>
      <c r="N164" s="328"/>
      <c r="O164" s="380" t="s">
        <v>992</v>
      </c>
      <c r="P164" s="325">
        <v>50406.85</v>
      </c>
      <c r="Q164" s="363" t="s">
        <v>1705</v>
      </c>
      <c r="R164" s="287"/>
      <c r="S164" s="287"/>
      <c r="T164" s="287">
        <v>20333</v>
      </c>
      <c r="U164" s="287">
        <v>7357</v>
      </c>
      <c r="V164" s="287">
        <v>33263</v>
      </c>
      <c r="W164" s="287">
        <v>7721</v>
      </c>
      <c r="X164" s="287"/>
      <c r="Y164" s="287"/>
      <c r="Z164" s="287"/>
      <c r="AA164" s="287"/>
      <c r="AB164" s="287"/>
      <c r="AC164" s="287"/>
      <c r="AD164" s="287"/>
      <c r="AE164" s="287"/>
      <c r="AF164" s="287"/>
      <c r="AG164" s="287"/>
      <c r="AH164" s="287"/>
      <c r="AI164" s="287"/>
      <c r="AJ164" s="287"/>
      <c r="AK164" s="287"/>
      <c r="AL164" s="287"/>
      <c r="AM164" s="287"/>
      <c r="AN164" s="287"/>
      <c r="AO164" s="287"/>
      <c r="AP164" s="287"/>
      <c r="AQ164" s="287"/>
      <c r="AR164" s="287"/>
      <c r="AS164" s="287"/>
      <c r="AT164" s="287"/>
      <c r="AU164" s="287"/>
      <c r="AV164" s="287"/>
      <c r="AW164" s="287"/>
      <c r="AX164" s="287"/>
      <c r="AY164" s="287"/>
      <c r="AZ164" s="287"/>
      <c r="BA164" s="287"/>
      <c r="BB164" s="287"/>
      <c r="BC164" s="287"/>
      <c r="BD164" s="287"/>
      <c r="BE164" s="287"/>
      <c r="BF164" s="287"/>
      <c r="BG164" s="287"/>
      <c r="BH164" s="287"/>
      <c r="BI164" s="287"/>
      <c r="BJ164" s="287"/>
      <c r="BK164" s="287"/>
      <c r="BL164" s="287"/>
      <c r="BM164" s="287"/>
      <c r="BN164" s="287"/>
      <c r="BO164" s="287"/>
      <c r="BP164" s="287"/>
      <c r="BQ164" s="287"/>
      <c r="BR164" s="287"/>
      <c r="BS164" s="287"/>
      <c r="BT164" s="287"/>
      <c r="BU164" s="287"/>
      <c r="BV164" s="287"/>
      <c r="BW164" s="287"/>
      <c r="BX164" s="287"/>
      <c r="BY164" s="287"/>
      <c r="BZ164" s="287"/>
      <c r="CA164" s="287"/>
      <c r="CB164" s="287"/>
      <c r="CC164" s="287"/>
      <c r="CD164" s="287"/>
      <c r="CE164" s="287"/>
      <c r="CF164" s="287"/>
      <c r="CG164" s="287"/>
      <c r="CH164" s="287"/>
      <c r="CI164" s="287"/>
      <c r="CJ164" s="287"/>
      <c r="CK164" s="287"/>
      <c r="CL164" s="287"/>
      <c r="CM164" s="287"/>
      <c r="CN164" s="287"/>
      <c r="CO164" s="287"/>
      <c r="CP164" s="287"/>
      <c r="CQ164" s="287"/>
      <c r="CR164" s="287"/>
      <c r="CS164" s="287"/>
      <c r="CT164" s="287"/>
      <c r="CU164" s="287"/>
      <c r="CV164" s="287"/>
      <c r="CW164" s="287"/>
      <c r="CX164" s="287"/>
      <c r="CY164" s="287"/>
      <c r="CZ164" s="287"/>
      <c r="DA164" s="287"/>
      <c r="DB164" s="287"/>
      <c r="DC164" s="287"/>
      <c r="DD164" s="287"/>
      <c r="DE164" s="287"/>
      <c r="DF164" s="287"/>
      <c r="DG164" s="287"/>
      <c r="DH164" s="287"/>
      <c r="DI164" s="287"/>
      <c r="DJ164" s="287"/>
      <c r="DK164" s="287"/>
      <c r="DL164" s="287"/>
      <c r="DM164" s="287"/>
      <c r="DN164" s="287"/>
      <c r="DO164" s="287"/>
      <c r="DP164" s="287"/>
      <c r="DQ164" s="287"/>
      <c r="DR164" s="287"/>
      <c r="DS164" s="287"/>
      <c r="DT164" s="287"/>
      <c r="DU164" s="287"/>
      <c r="DV164" s="287"/>
      <c r="DW164" s="287"/>
      <c r="DX164" s="287"/>
      <c r="DY164" s="287"/>
      <c r="DZ164" s="287"/>
      <c r="EA164" s="287"/>
      <c r="EB164" s="287"/>
      <c r="EC164" s="287"/>
      <c r="ED164" s="287"/>
      <c r="EE164" s="287"/>
      <c r="EF164" s="287"/>
      <c r="EG164" s="287"/>
      <c r="EH164" s="287"/>
      <c r="EI164" s="287"/>
      <c r="EJ164" s="287"/>
      <c r="EK164" s="287"/>
      <c r="EL164" s="287"/>
      <c r="EM164" s="287"/>
      <c r="EN164" s="287"/>
      <c r="EO164" s="287"/>
      <c r="EP164" s="287"/>
      <c r="EQ164" s="287"/>
      <c r="ER164" s="287"/>
      <c r="ES164" s="287"/>
      <c r="ET164" s="287"/>
      <c r="EU164" s="287"/>
      <c r="EV164" s="287"/>
      <c r="EW164" s="287"/>
      <c r="EX164" s="287"/>
      <c r="EY164" s="287"/>
      <c r="EZ164" s="287"/>
      <c r="FA164" s="287"/>
      <c r="FB164" s="287"/>
      <c r="FC164" s="287"/>
      <c r="FD164" s="287"/>
      <c r="FE164" s="287"/>
      <c r="FF164" s="287"/>
      <c r="FG164" s="287"/>
      <c r="FH164" s="287"/>
      <c r="FI164" s="287"/>
      <c r="FJ164" s="287"/>
      <c r="FK164" s="287"/>
      <c r="FL164" s="287"/>
      <c r="FM164" s="287"/>
      <c r="FN164" s="287"/>
      <c r="FO164" s="287"/>
      <c r="FP164" s="287"/>
      <c r="FQ164" s="287"/>
      <c r="FR164" s="287"/>
      <c r="FS164" s="287"/>
      <c r="FT164" s="287"/>
      <c r="FU164" s="287"/>
      <c r="FV164" s="287"/>
      <c r="FW164" s="287"/>
      <c r="FX164" s="287"/>
    </row>
    <row r="165" spans="1:180" ht="43.2">
      <c r="A165" s="322" t="s">
        <v>1040</v>
      </c>
      <c r="B165" s="288" t="s">
        <v>777</v>
      </c>
      <c r="C165" s="327" t="s">
        <v>704</v>
      </c>
      <c r="D165" s="336">
        <v>4339.71</v>
      </c>
      <c r="E165" s="327"/>
      <c r="F165" s="290"/>
      <c r="G165" s="328"/>
      <c r="H165" s="328"/>
      <c r="I165" s="328"/>
      <c r="J165" s="328"/>
      <c r="K165" s="328"/>
      <c r="L165" s="328"/>
      <c r="M165" s="328"/>
      <c r="N165" s="328"/>
      <c r="O165" s="328" t="s">
        <v>992</v>
      </c>
      <c r="P165" s="325">
        <v>4339.71</v>
      </c>
      <c r="Q165" s="363" t="s">
        <v>1706</v>
      </c>
      <c r="R165" s="287"/>
      <c r="S165" s="287"/>
      <c r="T165" s="287">
        <v>1452</v>
      </c>
      <c r="U165" s="287">
        <v>550</v>
      </c>
      <c r="V165" s="287">
        <v>2376</v>
      </c>
      <c r="W165" s="287">
        <v>551</v>
      </c>
      <c r="X165" s="287"/>
      <c r="Y165" s="287"/>
      <c r="Z165" s="287"/>
      <c r="AA165" s="287"/>
      <c r="AB165" s="287"/>
      <c r="AC165" s="287"/>
      <c r="AD165" s="287"/>
      <c r="AE165" s="287"/>
      <c r="AF165" s="287"/>
      <c r="AG165" s="287"/>
      <c r="AH165" s="287"/>
      <c r="AI165" s="287"/>
      <c r="AJ165" s="287"/>
      <c r="AK165" s="287"/>
      <c r="AL165" s="287"/>
      <c r="AM165" s="287"/>
      <c r="AN165" s="287"/>
      <c r="AO165" s="287"/>
      <c r="AP165" s="287"/>
      <c r="AQ165" s="287"/>
      <c r="AR165" s="287"/>
      <c r="AS165" s="287"/>
      <c r="AT165" s="287"/>
      <c r="AU165" s="287"/>
      <c r="AV165" s="287"/>
      <c r="AW165" s="287"/>
      <c r="AX165" s="287"/>
      <c r="AY165" s="287"/>
      <c r="AZ165" s="287"/>
      <c r="BA165" s="287"/>
      <c r="BB165" s="287"/>
      <c r="BC165" s="287"/>
      <c r="BD165" s="287"/>
      <c r="BE165" s="287"/>
      <c r="BF165" s="287"/>
      <c r="BG165" s="287"/>
      <c r="BH165" s="287"/>
      <c r="BI165" s="287"/>
      <c r="BJ165" s="287"/>
      <c r="BK165" s="287"/>
      <c r="BL165" s="287"/>
      <c r="BM165" s="287"/>
      <c r="BN165" s="287"/>
      <c r="BO165" s="287"/>
      <c r="BP165" s="287"/>
      <c r="BQ165" s="287"/>
      <c r="BR165" s="287"/>
      <c r="BS165" s="287"/>
      <c r="BT165" s="287"/>
      <c r="BU165" s="287"/>
      <c r="BV165" s="287"/>
      <c r="BW165" s="287"/>
      <c r="BX165" s="287"/>
      <c r="BY165" s="287"/>
      <c r="BZ165" s="287"/>
      <c r="CA165" s="287"/>
      <c r="CB165" s="287"/>
      <c r="CC165" s="287"/>
      <c r="CD165" s="287"/>
      <c r="CE165" s="287"/>
      <c r="CF165" s="287"/>
      <c r="CG165" s="287"/>
      <c r="CH165" s="287"/>
      <c r="CI165" s="287"/>
      <c r="CJ165" s="287"/>
      <c r="CK165" s="287"/>
      <c r="CL165" s="287"/>
      <c r="CM165" s="287"/>
      <c r="CN165" s="287"/>
      <c r="CO165" s="287"/>
      <c r="CP165" s="287"/>
      <c r="CQ165" s="287"/>
      <c r="CR165" s="287"/>
      <c r="CS165" s="287"/>
      <c r="CT165" s="287"/>
      <c r="CU165" s="287"/>
      <c r="CV165" s="287"/>
      <c r="CW165" s="287"/>
      <c r="CX165" s="287"/>
      <c r="CY165" s="287"/>
      <c r="CZ165" s="287"/>
      <c r="DA165" s="287"/>
      <c r="DB165" s="287"/>
      <c r="DC165" s="287"/>
      <c r="DD165" s="287"/>
      <c r="DE165" s="287"/>
      <c r="DF165" s="287"/>
      <c r="DG165" s="287"/>
      <c r="DH165" s="287"/>
      <c r="DI165" s="287"/>
      <c r="DJ165" s="287"/>
      <c r="DK165" s="287"/>
      <c r="DL165" s="287"/>
      <c r="DM165" s="287"/>
      <c r="DN165" s="287"/>
      <c r="DO165" s="287"/>
      <c r="DP165" s="287"/>
      <c r="DQ165" s="287"/>
      <c r="DR165" s="287"/>
      <c r="DS165" s="287"/>
      <c r="DT165" s="287"/>
      <c r="DU165" s="287"/>
      <c r="DV165" s="287"/>
      <c r="DW165" s="287"/>
      <c r="DX165" s="287"/>
      <c r="DY165" s="287"/>
      <c r="DZ165" s="287"/>
      <c r="EA165" s="287"/>
      <c r="EB165" s="287"/>
      <c r="EC165" s="287"/>
      <c r="ED165" s="287"/>
      <c r="EE165" s="287"/>
      <c r="EF165" s="287"/>
      <c r="EG165" s="287"/>
      <c r="EH165" s="287"/>
      <c r="EI165" s="287"/>
      <c r="EJ165" s="287"/>
      <c r="EK165" s="287"/>
      <c r="EL165" s="287"/>
      <c r="EM165" s="287"/>
      <c r="EN165" s="287"/>
      <c r="EO165" s="287"/>
      <c r="EP165" s="287"/>
      <c r="EQ165" s="287"/>
      <c r="ER165" s="287"/>
      <c r="ES165" s="287"/>
      <c r="ET165" s="287"/>
      <c r="EU165" s="287"/>
      <c r="EV165" s="287"/>
      <c r="EW165" s="287"/>
      <c r="EX165" s="287"/>
      <c r="EY165" s="287"/>
      <c r="EZ165" s="287"/>
      <c r="FA165" s="287"/>
      <c r="FB165" s="287"/>
      <c r="FC165" s="287"/>
      <c r="FD165" s="287"/>
      <c r="FE165" s="287"/>
      <c r="FF165" s="287"/>
      <c r="FG165" s="287"/>
      <c r="FH165" s="287"/>
      <c r="FI165" s="287"/>
      <c r="FJ165" s="287"/>
      <c r="FK165" s="287"/>
      <c r="FL165" s="287"/>
      <c r="FM165" s="287"/>
      <c r="FN165" s="287"/>
      <c r="FO165" s="287"/>
      <c r="FP165" s="287"/>
      <c r="FQ165" s="287"/>
      <c r="FR165" s="287"/>
      <c r="FS165" s="287"/>
      <c r="FT165" s="287"/>
      <c r="FU165" s="287"/>
      <c r="FV165" s="287"/>
      <c r="FW165" s="287"/>
      <c r="FX165" s="287"/>
    </row>
    <row r="166" spans="1:180" ht="43.2">
      <c r="A166" s="322" t="s">
        <v>790</v>
      </c>
      <c r="B166" s="323" t="s">
        <v>758</v>
      </c>
      <c r="C166" s="327" t="s">
        <v>757</v>
      </c>
      <c r="D166" s="291">
        <v>4339.71</v>
      </c>
      <c r="E166" s="327" t="s">
        <v>957</v>
      </c>
      <c r="F166" s="328">
        <v>20</v>
      </c>
      <c r="G166" s="328"/>
      <c r="H166" s="328"/>
      <c r="I166" s="328"/>
      <c r="J166" s="328"/>
      <c r="K166" s="328"/>
      <c r="L166" s="328"/>
      <c r="M166" s="328"/>
      <c r="N166" s="328"/>
      <c r="O166" s="328" t="s">
        <v>992</v>
      </c>
      <c r="P166" s="325">
        <v>86794.2</v>
      </c>
      <c r="Q166" s="363" t="s">
        <v>1707</v>
      </c>
      <c r="R166" s="287"/>
      <c r="S166" s="287"/>
      <c r="T166" s="287"/>
      <c r="U166" s="287"/>
      <c r="V166" s="287"/>
      <c r="W166" s="287"/>
      <c r="X166" s="287"/>
      <c r="Y166" s="287"/>
      <c r="Z166" s="287"/>
      <c r="AA166" s="287"/>
      <c r="AB166" s="287"/>
      <c r="AC166" s="287"/>
      <c r="AD166" s="287"/>
      <c r="AE166" s="287"/>
      <c r="AF166" s="287"/>
      <c r="AG166" s="287"/>
      <c r="AH166" s="287"/>
      <c r="AI166" s="287"/>
      <c r="AJ166" s="287"/>
      <c r="AK166" s="287"/>
      <c r="AL166" s="287"/>
      <c r="AM166" s="287"/>
      <c r="AN166" s="287"/>
      <c r="AO166" s="287"/>
      <c r="AP166" s="287"/>
      <c r="AQ166" s="287"/>
      <c r="AR166" s="287"/>
      <c r="AS166" s="287"/>
      <c r="AT166" s="287"/>
      <c r="AU166" s="287"/>
      <c r="AV166" s="287"/>
      <c r="AW166" s="287"/>
      <c r="AX166" s="287"/>
      <c r="AY166" s="287"/>
      <c r="AZ166" s="287"/>
      <c r="BA166" s="287"/>
      <c r="BB166" s="287"/>
      <c r="BC166" s="287"/>
      <c r="BD166" s="287"/>
      <c r="BE166" s="287"/>
      <c r="BF166" s="287"/>
      <c r="BG166" s="287"/>
      <c r="BH166" s="287"/>
      <c r="BI166" s="287"/>
      <c r="BJ166" s="287"/>
      <c r="BK166" s="287"/>
      <c r="BL166" s="287"/>
      <c r="BM166" s="287"/>
      <c r="BN166" s="287"/>
      <c r="BO166" s="287"/>
      <c r="BP166" s="287"/>
      <c r="BQ166" s="287"/>
      <c r="BR166" s="287"/>
      <c r="BS166" s="287"/>
      <c r="BT166" s="287"/>
      <c r="BU166" s="287"/>
      <c r="BV166" s="287"/>
      <c r="BW166" s="287"/>
      <c r="BX166" s="287"/>
      <c r="BY166" s="287"/>
      <c r="BZ166" s="287"/>
      <c r="CA166" s="287"/>
      <c r="CB166" s="287"/>
      <c r="CC166" s="287"/>
      <c r="CD166" s="287"/>
      <c r="CE166" s="287"/>
      <c r="CF166" s="287"/>
      <c r="CG166" s="287"/>
      <c r="CH166" s="287"/>
      <c r="CI166" s="287"/>
      <c r="CJ166" s="287"/>
      <c r="CK166" s="287"/>
      <c r="CL166" s="287"/>
      <c r="CM166" s="287"/>
      <c r="CN166" s="287"/>
      <c r="CO166" s="287"/>
      <c r="CP166" s="287"/>
      <c r="CQ166" s="287"/>
      <c r="CR166" s="287"/>
      <c r="CS166" s="287"/>
      <c r="CT166" s="287"/>
      <c r="CU166" s="287"/>
      <c r="CV166" s="287"/>
      <c r="CW166" s="287"/>
      <c r="CX166" s="287"/>
      <c r="CY166" s="287"/>
      <c r="CZ166" s="287"/>
      <c r="DA166" s="287"/>
      <c r="DB166" s="287"/>
      <c r="DC166" s="287"/>
      <c r="DD166" s="287"/>
      <c r="DE166" s="287"/>
      <c r="DF166" s="287"/>
      <c r="DG166" s="287"/>
      <c r="DH166" s="287"/>
      <c r="DI166" s="287"/>
      <c r="DJ166" s="287"/>
      <c r="DK166" s="287"/>
      <c r="DL166" s="287"/>
      <c r="DM166" s="287"/>
      <c r="DN166" s="287"/>
      <c r="DO166" s="287"/>
      <c r="DP166" s="287"/>
      <c r="DQ166" s="287"/>
      <c r="DR166" s="287"/>
      <c r="DS166" s="287"/>
      <c r="DT166" s="287"/>
      <c r="DU166" s="287"/>
      <c r="DV166" s="287"/>
      <c r="DW166" s="287"/>
      <c r="DX166" s="287"/>
      <c r="DY166" s="287"/>
      <c r="DZ166" s="287"/>
      <c r="EA166" s="287"/>
      <c r="EB166" s="287"/>
      <c r="EC166" s="287"/>
      <c r="ED166" s="287"/>
      <c r="EE166" s="287"/>
      <c r="EF166" s="287"/>
      <c r="EG166" s="287"/>
      <c r="EH166" s="287"/>
      <c r="EI166" s="287"/>
      <c r="EJ166" s="287"/>
      <c r="EK166" s="287"/>
      <c r="EL166" s="287"/>
      <c r="EM166" s="287"/>
      <c r="EN166" s="287"/>
      <c r="EO166" s="287"/>
      <c r="EP166" s="287"/>
      <c r="EQ166" s="287"/>
      <c r="ER166" s="287"/>
      <c r="ES166" s="287"/>
      <c r="ET166" s="287"/>
      <c r="EU166" s="287"/>
      <c r="EV166" s="287"/>
      <c r="EW166" s="287"/>
      <c r="EX166" s="287"/>
      <c r="EY166" s="287"/>
      <c r="EZ166" s="287"/>
      <c r="FA166" s="287"/>
      <c r="FB166" s="287"/>
      <c r="FC166" s="287"/>
      <c r="FD166" s="287"/>
      <c r="FE166" s="287"/>
      <c r="FF166" s="287"/>
      <c r="FG166" s="287"/>
      <c r="FH166" s="287"/>
      <c r="FI166" s="287"/>
      <c r="FJ166" s="287"/>
      <c r="FK166" s="287"/>
      <c r="FL166" s="287"/>
      <c r="FM166" s="287"/>
      <c r="FN166" s="287"/>
      <c r="FO166" s="287"/>
      <c r="FP166" s="287"/>
      <c r="FQ166" s="287"/>
      <c r="FR166" s="287"/>
      <c r="FS166" s="287"/>
      <c r="FT166" s="287"/>
      <c r="FU166" s="287"/>
      <c r="FV166" s="287"/>
      <c r="FW166" s="287"/>
      <c r="FX166" s="287"/>
    </row>
    <row r="167" spans="1:180" ht="43.2">
      <c r="A167" s="322" t="s">
        <v>791</v>
      </c>
      <c r="B167" s="288" t="s">
        <v>756</v>
      </c>
      <c r="C167" s="327" t="s">
        <v>757</v>
      </c>
      <c r="D167" s="291">
        <v>4339.71</v>
      </c>
      <c r="E167" s="327" t="s">
        <v>957</v>
      </c>
      <c r="F167" s="328">
        <v>55</v>
      </c>
      <c r="G167" s="328"/>
      <c r="H167" s="328"/>
      <c r="I167" s="328"/>
      <c r="J167" s="328"/>
      <c r="K167" s="328"/>
      <c r="L167" s="328"/>
      <c r="M167" s="328"/>
      <c r="N167" s="328"/>
      <c r="O167" s="328" t="s">
        <v>992</v>
      </c>
      <c r="P167" s="325">
        <v>238684.05</v>
      </c>
      <c r="Q167" s="363" t="s">
        <v>1708</v>
      </c>
      <c r="R167" s="287"/>
      <c r="S167" s="287"/>
      <c r="T167" s="287"/>
      <c r="U167" s="287"/>
      <c r="V167" s="287"/>
      <c r="W167" s="287"/>
      <c r="X167" s="287"/>
      <c r="Y167" s="287"/>
      <c r="Z167" s="287"/>
      <c r="AA167" s="287"/>
      <c r="AB167" s="287"/>
      <c r="AC167" s="287"/>
      <c r="AD167" s="287"/>
      <c r="AE167" s="287"/>
      <c r="AF167" s="287"/>
      <c r="AG167" s="287"/>
      <c r="AH167" s="287"/>
      <c r="AI167" s="287"/>
      <c r="AJ167" s="287"/>
      <c r="AK167" s="287"/>
      <c r="AL167" s="287"/>
      <c r="AM167" s="287"/>
      <c r="AN167" s="287"/>
      <c r="AO167" s="287"/>
      <c r="AP167" s="287"/>
      <c r="AQ167" s="287"/>
      <c r="AR167" s="287"/>
      <c r="AS167" s="287"/>
      <c r="AT167" s="287"/>
      <c r="AU167" s="287"/>
      <c r="AV167" s="287"/>
      <c r="AW167" s="287"/>
      <c r="AX167" s="287"/>
      <c r="AY167" s="287"/>
      <c r="AZ167" s="287"/>
      <c r="BA167" s="287"/>
      <c r="BB167" s="287"/>
      <c r="BC167" s="287"/>
      <c r="BD167" s="287"/>
      <c r="BE167" s="287"/>
      <c r="BF167" s="287"/>
      <c r="BG167" s="287"/>
      <c r="BH167" s="287"/>
      <c r="BI167" s="287"/>
      <c r="BJ167" s="287"/>
      <c r="BK167" s="287"/>
      <c r="BL167" s="287"/>
      <c r="BM167" s="287"/>
      <c r="BN167" s="287"/>
      <c r="BO167" s="287"/>
      <c r="BP167" s="287"/>
      <c r="BQ167" s="287"/>
      <c r="BR167" s="287"/>
      <c r="BS167" s="287"/>
      <c r="BT167" s="287"/>
      <c r="BU167" s="287"/>
      <c r="BV167" s="287"/>
      <c r="BW167" s="287"/>
      <c r="BX167" s="287"/>
      <c r="BY167" s="287"/>
      <c r="BZ167" s="287"/>
      <c r="CA167" s="287"/>
      <c r="CB167" s="287"/>
      <c r="CC167" s="287"/>
      <c r="CD167" s="287"/>
      <c r="CE167" s="287"/>
      <c r="CF167" s="287"/>
      <c r="CG167" s="287"/>
      <c r="CH167" s="287"/>
      <c r="CI167" s="287"/>
      <c r="CJ167" s="287"/>
      <c r="CK167" s="287"/>
      <c r="CL167" s="287"/>
      <c r="CM167" s="287"/>
      <c r="CN167" s="287"/>
      <c r="CO167" s="287"/>
      <c r="CP167" s="287"/>
      <c r="CQ167" s="287"/>
      <c r="CR167" s="287"/>
      <c r="CS167" s="287"/>
      <c r="CT167" s="287"/>
      <c r="CU167" s="287"/>
      <c r="CV167" s="287"/>
      <c r="CW167" s="287"/>
      <c r="CX167" s="287"/>
      <c r="CY167" s="287"/>
      <c r="CZ167" s="287"/>
      <c r="DA167" s="287"/>
      <c r="DB167" s="287"/>
      <c r="DC167" s="287"/>
      <c r="DD167" s="287"/>
      <c r="DE167" s="287"/>
      <c r="DF167" s="287"/>
      <c r="DG167" s="287"/>
      <c r="DH167" s="287"/>
      <c r="DI167" s="287"/>
      <c r="DJ167" s="287"/>
      <c r="DK167" s="287"/>
      <c r="DL167" s="287"/>
      <c r="DM167" s="287"/>
      <c r="DN167" s="287"/>
      <c r="DO167" s="287"/>
      <c r="DP167" s="287"/>
      <c r="DQ167" s="287"/>
      <c r="DR167" s="287"/>
      <c r="DS167" s="287"/>
      <c r="DT167" s="287"/>
      <c r="DU167" s="287"/>
      <c r="DV167" s="287"/>
      <c r="DW167" s="287"/>
      <c r="DX167" s="287"/>
      <c r="DY167" s="287"/>
      <c r="DZ167" s="287"/>
      <c r="EA167" s="287"/>
      <c r="EB167" s="287"/>
      <c r="EC167" s="287"/>
      <c r="ED167" s="287"/>
      <c r="EE167" s="287"/>
      <c r="EF167" s="287"/>
      <c r="EG167" s="287"/>
      <c r="EH167" s="287"/>
      <c r="EI167" s="287"/>
      <c r="EJ167" s="287"/>
      <c r="EK167" s="287"/>
      <c r="EL167" s="287"/>
      <c r="EM167" s="287"/>
      <c r="EN167" s="287"/>
      <c r="EO167" s="287"/>
      <c r="EP167" s="287"/>
      <c r="EQ167" s="287"/>
      <c r="ER167" s="287"/>
      <c r="ES167" s="287"/>
      <c r="ET167" s="287"/>
      <c r="EU167" s="287"/>
      <c r="EV167" s="287"/>
      <c r="EW167" s="287"/>
      <c r="EX167" s="287"/>
      <c r="EY167" s="287"/>
      <c r="EZ167" s="287"/>
      <c r="FA167" s="287"/>
      <c r="FB167" s="287"/>
      <c r="FC167" s="287"/>
      <c r="FD167" s="287"/>
      <c r="FE167" s="287"/>
      <c r="FF167" s="287"/>
      <c r="FG167" s="287"/>
      <c r="FH167" s="287"/>
      <c r="FI167" s="287"/>
      <c r="FJ167" s="287"/>
      <c r="FK167" s="287"/>
      <c r="FL167" s="287"/>
      <c r="FM167" s="287"/>
      <c r="FN167" s="287"/>
      <c r="FO167" s="287"/>
      <c r="FP167" s="287"/>
      <c r="FQ167" s="287"/>
      <c r="FR167" s="287"/>
      <c r="FS167" s="287"/>
      <c r="FT167" s="287"/>
      <c r="FU167" s="287"/>
      <c r="FV167" s="287"/>
      <c r="FW167" s="287"/>
      <c r="FX167" s="287"/>
    </row>
    <row r="168" spans="1:180" ht="28.8">
      <c r="A168" s="322" t="s">
        <v>793</v>
      </c>
      <c r="B168" s="288" t="s">
        <v>786</v>
      </c>
      <c r="C168" s="327" t="s">
        <v>607</v>
      </c>
      <c r="D168" s="384">
        <v>50406.85</v>
      </c>
      <c r="E168" s="340"/>
      <c r="F168" s="384"/>
      <c r="G168" s="320"/>
      <c r="H168" s="320"/>
      <c r="I168" s="320"/>
      <c r="J168" s="320"/>
      <c r="K168" s="320"/>
      <c r="L168" s="320"/>
      <c r="M168" s="320"/>
      <c r="N168" s="320"/>
      <c r="O168" s="340" t="s">
        <v>992</v>
      </c>
      <c r="P168" s="328">
        <v>50406.85</v>
      </c>
      <c r="Q168" s="363" t="s">
        <v>1041</v>
      </c>
      <c r="R168" s="313"/>
      <c r="S168" s="313"/>
      <c r="T168" s="313"/>
      <c r="U168" s="313"/>
      <c r="V168" s="313"/>
      <c r="W168" s="313"/>
      <c r="X168" s="313"/>
      <c r="Y168" s="313"/>
      <c r="Z168" s="313"/>
      <c r="AA168" s="313"/>
      <c r="AB168" s="313"/>
      <c r="AC168" s="313"/>
      <c r="AD168" s="313"/>
      <c r="AE168" s="313"/>
      <c r="AF168" s="313"/>
      <c r="AG168" s="313"/>
      <c r="AH168" s="313"/>
      <c r="AI168" s="313"/>
      <c r="AJ168" s="313"/>
      <c r="AK168" s="313"/>
      <c r="AL168" s="313"/>
      <c r="AM168" s="313"/>
      <c r="AN168" s="313"/>
      <c r="AO168" s="313"/>
      <c r="AP168" s="313"/>
      <c r="AQ168" s="313"/>
      <c r="AR168" s="313"/>
      <c r="AS168" s="313"/>
      <c r="AT168" s="313"/>
      <c r="AU168" s="313"/>
      <c r="AV168" s="313"/>
      <c r="AW168" s="313"/>
      <c r="AX168" s="313"/>
      <c r="AY168" s="313"/>
      <c r="AZ168" s="313"/>
      <c r="BA168" s="313"/>
      <c r="BB168" s="313"/>
      <c r="BC168" s="313"/>
      <c r="BD168" s="313"/>
      <c r="BE168" s="313"/>
      <c r="BF168" s="313"/>
      <c r="BG168" s="313"/>
      <c r="BH168" s="313"/>
      <c r="BI168" s="313"/>
      <c r="BJ168" s="313"/>
      <c r="BK168" s="313"/>
      <c r="BL168" s="313"/>
      <c r="BM168" s="313"/>
      <c r="BN168" s="313"/>
      <c r="BO168" s="313"/>
      <c r="BP168" s="313"/>
      <c r="BQ168" s="313"/>
      <c r="BR168" s="313"/>
      <c r="BS168" s="313"/>
      <c r="BT168" s="313"/>
      <c r="BU168" s="313"/>
      <c r="BV168" s="313"/>
      <c r="BW168" s="313"/>
      <c r="BX168" s="313"/>
      <c r="BY168" s="313"/>
      <c r="BZ168" s="313"/>
      <c r="CA168" s="313"/>
      <c r="CB168" s="313"/>
      <c r="CC168" s="313"/>
      <c r="CD168" s="313"/>
      <c r="CE168" s="313"/>
      <c r="CF168" s="313"/>
      <c r="CG168" s="313"/>
      <c r="CH168" s="313"/>
      <c r="CI168" s="313"/>
      <c r="CJ168" s="313"/>
      <c r="CK168" s="313"/>
      <c r="CL168" s="313"/>
      <c r="CM168" s="313"/>
      <c r="CN168" s="313"/>
      <c r="CO168" s="313"/>
      <c r="CP168" s="313"/>
      <c r="CQ168" s="313"/>
      <c r="CR168" s="313"/>
      <c r="CS168" s="313"/>
      <c r="CT168" s="313"/>
      <c r="CU168" s="313"/>
      <c r="CV168" s="313"/>
      <c r="CW168" s="313"/>
      <c r="CX168" s="313"/>
      <c r="CY168" s="313"/>
      <c r="CZ168" s="313"/>
      <c r="DA168" s="313"/>
      <c r="DB168" s="313"/>
      <c r="DC168" s="313"/>
      <c r="DD168" s="313"/>
      <c r="DE168" s="313"/>
      <c r="DF168" s="313"/>
      <c r="DG168" s="313"/>
      <c r="DH168" s="313"/>
      <c r="DI168" s="313"/>
      <c r="DJ168" s="313"/>
      <c r="DK168" s="313"/>
      <c r="DL168" s="313"/>
      <c r="DM168" s="313"/>
      <c r="DN168" s="313"/>
      <c r="DO168" s="313"/>
      <c r="DP168" s="313"/>
      <c r="DQ168" s="313"/>
      <c r="DR168" s="313"/>
      <c r="DS168" s="313"/>
      <c r="DT168" s="313"/>
      <c r="DU168" s="313"/>
      <c r="DV168" s="313"/>
      <c r="DW168" s="313"/>
      <c r="DX168" s="313"/>
      <c r="DY168" s="313"/>
      <c r="DZ168" s="313"/>
      <c r="EA168" s="313"/>
      <c r="EB168" s="313"/>
      <c r="EC168" s="313"/>
      <c r="ED168" s="313"/>
      <c r="EE168" s="313"/>
      <c r="EF168" s="313"/>
      <c r="EG168" s="313"/>
      <c r="EH168" s="313"/>
      <c r="EI168" s="313"/>
      <c r="EJ168" s="313"/>
      <c r="EK168" s="313"/>
      <c r="EL168" s="313"/>
      <c r="EM168" s="313"/>
      <c r="EN168" s="313"/>
      <c r="EO168" s="313"/>
      <c r="EP168" s="313"/>
      <c r="EQ168" s="313"/>
      <c r="ER168" s="313"/>
      <c r="ES168" s="313"/>
      <c r="ET168" s="313"/>
      <c r="EU168" s="313"/>
      <c r="EV168" s="313"/>
      <c r="EW168" s="313"/>
      <c r="EX168" s="313"/>
      <c r="EY168" s="313"/>
      <c r="EZ168" s="313"/>
      <c r="FA168" s="313"/>
      <c r="FB168" s="313"/>
      <c r="FC168" s="313"/>
      <c r="FD168" s="313"/>
      <c r="FE168" s="313"/>
      <c r="FF168" s="313"/>
      <c r="FG168" s="313"/>
      <c r="FH168" s="313"/>
      <c r="FI168" s="313"/>
      <c r="FJ168" s="313"/>
      <c r="FK168" s="313"/>
      <c r="FL168" s="313"/>
      <c r="FM168" s="313"/>
      <c r="FN168" s="313"/>
      <c r="FO168" s="313"/>
      <c r="FP168" s="313"/>
      <c r="FQ168" s="313"/>
      <c r="FR168" s="313"/>
      <c r="FS168" s="313"/>
      <c r="FT168" s="313"/>
      <c r="FU168" s="313"/>
      <c r="FV168" s="313"/>
      <c r="FW168" s="313"/>
      <c r="FX168" s="313"/>
    </row>
    <row r="169" spans="1:180" ht="19.95" customHeight="1">
      <c r="A169" s="322"/>
      <c r="B169" s="288"/>
      <c r="C169" s="320"/>
      <c r="D169" s="320"/>
      <c r="E169" s="320"/>
      <c r="F169" s="320"/>
      <c r="G169" s="320"/>
      <c r="H169" s="320"/>
      <c r="I169" s="320"/>
      <c r="J169" s="320"/>
      <c r="K169" s="320"/>
      <c r="L169" s="320"/>
      <c r="M169" s="320"/>
      <c r="N169" s="320"/>
      <c r="O169" s="320"/>
      <c r="P169" s="380"/>
      <c r="Q169" s="363"/>
      <c r="R169" s="313"/>
      <c r="S169" s="313"/>
      <c r="T169" s="313"/>
      <c r="U169" s="313"/>
      <c r="V169" s="313"/>
      <c r="W169" s="313"/>
      <c r="X169" s="313"/>
      <c r="Y169" s="313"/>
      <c r="Z169" s="313"/>
      <c r="AA169" s="313"/>
      <c r="AB169" s="313"/>
      <c r="AC169" s="313"/>
      <c r="AD169" s="313"/>
      <c r="AE169" s="313"/>
      <c r="AF169" s="313"/>
      <c r="AG169" s="313"/>
      <c r="AH169" s="313"/>
      <c r="AI169" s="313"/>
      <c r="AJ169" s="313"/>
      <c r="AK169" s="313"/>
      <c r="AL169" s="313"/>
      <c r="AM169" s="313"/>
      <c r="AN169" s="313"/>
      <c r="AO169" s="313"/>
      <c r="AP169" s="313"/>
      <c r="AQ169" s="313"/>
      <c r="AR169" s="313"/>
      <c r="AS169" s="313"/>
      <c r="AT169" s="313"/>
      <c r="AU169" s="313"/>
      <c r="AV169" s="313"/>
      <c r="AW169" s="313"/>
      <c r="AX169" s="313"/>
      <c r="AY169" s="313"/>
      <c r="AZ169" s="313"/>
      <c r="BA169" s="313"/>
      <c r="BB169" s="313"/>
      <c r="BC169" s="313"/>
      <c r="BD169" s="313"/>
      <c r="BE169" s="313"/>
      <c r="BF169" s="313"/>
      <c r="BG169" s="313"/>
      <c r="BH169" s="313"/>
      <c r="BI169" s="313"/>
      <c r="BJ169" s="313"/>
      <c r="BK169" s="313"/>
      <c r="BL169" s="313"/>
      <c r="BM169" s="313"/>
      <c r="BN169" s="313"/>
      <c r="BO169" s="313"/>
      <c r="BP169" s="313"/>
      <c r="BQ169" s="313"/>
      <c r="BR169" s="313"/>
      <c r="BS169" s="313"/>
      <c r="BT169" s="313"/>
      <c r="BU169" s="313"/>
      <c r="BV169" s="313"/>
      <c r="BW169" s="313"/>
      <c r="BX169" s="313"/>
      <c r="BY169" s="313"/>
      <c r="BZ169" s="313"/>
      <c r="CA169" s="313"/>
      <c r="CB169" s="313"/>
      <c r="CC169" s="313"/>
      <c r="CD169" s="313"/>
      <c r="CE169" s="313"/>
      <c r="CF169" s="313"/>
      <c r="CG169" s="313"/>
      <c r="CH169" s="313"/>
      <c r="CI169" s="313"/>
      <c r="CJ169" s="313"/>
      <c r="CK169" s="313"/>
      <c r="CL169" s="313"/>
      <c r="CM169" s="313"/>
      <c r="CN169" s="313"/>
      <c r="CO169" s="313"/>
      <c r="CP169" s="313"/>
      <c r="CQ169" s="313"/>
      <c r="CR169" s="313"/>
      <c r="CS169" s="313"/>
      <c r="CT169" s="313"/>
      <c r="CU169" s="313"/>
      <c r="CV169" s="313"/>
      <c r="CW169" s="313"/>
      <c r="CX169" s="313"/>
      <c r="CY169" s="313"/>
      <c r="CZ169" s="313"/>
      <c r="DA169" s="313"/>
      <c r="DB169" s="313"/>
      <c r="DC169" s="313"/>
      <c r="DD169" s="313"/>
      <c r="DE169" s="313"/>
      <c r="DF169" s="313"/>
      <c r="DG169" s="313"/>
      <c r="DH169" s="313"/>
      <c r="DI169" s="313"/>
      <c r="DJ169" s="313"/>
      <c r="DK169" s="313"/>
      <c r="DL169" s="313"/>
      <c r="DM169" s="313"/>
      <c r="DN169" s="313"/>
      <c r="DO169" s="313"/>
      <c r="DP169" s="313"/>
      <c r="DQ169" s="313"/>
      <c r="DR169" s="313"/>
      <c r="DS169" s="313"/>
      <c r="DT169" s="313"/>
      <c r="DU169" s="313"/>
      <c r="DV169" s="313"/>
      <c r="DW169" s="313"/>
      <c r="DX169" s="313"/>
      <c r="DY169" s="313"/>
      <c r="DZ169" s="313"/>
      <c r="EA169" s="313"/>
      <c r="EB169" s="313"/>
      <c r="EC169" s="313"/>
      <c r="ED169" s="313"/>
      <c r="EE169" s="313"/>
      <c r="EF169" s="313"/>
      <c r="EG169" s="313"/>
      <c r="EH169" s="313"/>
      <c r="EI169" s="313"/>
      <c r="EJ169" s="313"/>
      <c r="EK169" s="313"/>
      <c r="EL169" s="313"/>
      <c r="EM169" s="313"/>
      <c r="EN169" s="313"/>
      <c r="EO169" s="313"/>
      <c r="EP169" s="313"/>
      <c r="EQ169" s="313"/>
      <c r="ER169" s="313"/>
      <c r="ES169" s="313"/>
      <c r="ET169" s="313"/>
      <c r="EU169" s="313"/>
      <c r="EV169" s="313"/>
      <c r="EW169" s="313"/>
      <c r="EX169" s="313"/>
      <c r="EY169" s="313"/>
      <c r="EZ169" s="313"/>
      <c r="FA169" s="313"/>
      <c r="FB169" s="313"/>
      <c r="FC169" s="313"/>
      <c r="FD169" s="313"/>
      <c r="FE169" s="313"/>
      <c r="FF169" s="313"/>
      <c r="FG169" s="313"/>
      <c r="FH169" s="313"/>
      <c r="FI169" s="313"/>
      <c r="FJ169" s="313"/>
      <c r="FK169" s="313"/>
      <c r="FL169" s="313"/>
      <c r="FM169" s="313"/>
      <c r="FN169" s="313"/>
      <c r="FO169" s="313"/>
      <c r="FP169" s="313"/>
      <c r="FQ169" s="313"/>
      <c r="FR169" s="313"/>
      <c r="FS169" s="313"/>
      <c r="FT169" s="313"/>
      <c r="FU169" s="313"/>
      <c r="FV169" s="313"/>
      <c r="FW169" s="313"/>
      <c r="FX169" s="313"/>
    </row>
    <row r="170" spans="1:180" ht="19.95" customHeight="1">
      <c r="A170" s="287"/>
      <c r="B170" s="287"/>
      <c r="C170" s="287"/>
      <c r="D170" s="287"/>
      <c r="E170" s="287"/>
      <c r="F170" s="287"/>
      <c r="G170" s="287"/>
      <c r="H170" s="287"/>
      <c r="I170" s="287"/>
      <c r="J170" s="287"/>
      <c r="K170" s="287"/>
      <c r="L170" s="287"/>
      <c r="M170" s="287"/>
      <c r="N170" s="287"/>
      <c r="O170" s="287"/>
      <c r="P170" s="287"/>
      <c r="Q170" s="287"/>
      <c r="R170" s="287"/>
      <c r="S170" s="287"/>
      <c r="T170" s="287"/>
      <c r="U170" s="287"/>
      <c r="V170" s="287"/>
      <c r="W170" s="287"/>
      <c r="X170" s="287"/>
      <c r="Y170" s="287"/>
      <c r="Z170" s="287"/>
      <c r="AA170" s="287"/>
      <c r="AB170" s="287"/>
      <c r="AC170" s="287"/>
      <c r="AD170" s="287"/>
      <c r="AE170" s="287"/>
      <c r="AF170" s="287"/>
      <c r="AG170" s="287"/>
      <c r="AH170" s="287"/>
      <c r="AI170" s="287"/>
      <c r="AJ170" s="287"/>
      <c r="AK170" s="287"/>
      <c r="AL170" s="287"/>
      <c r="AM170" s="287"/>
      <c r="AN170" s="287"/>
      <c r="AO170" s="287"/>
      <c r="AP170" s="287"/>
      <c r="AQ170" s="287"/>
      <c r="AR170" s="287"/>
      <c r="AS170" s="287"/>
      <c r="AT170" s="287"/>
      <c r="AU170" s="287"/>
      <c r="AV170" s="287"/>
      <c r="AW170" s="287"/>
      <c r="AX170" s="287"/>
      <c r="AY170" s="287"/>
      <c r="AZ170" s="287"/>
      <c r="BA170" s="287"/>
      <c r="BB170" s="287"/>
      <c r="BC170" s="287"/>
      <c r="BD170" s="287"/>
      <c r="BE170" s="287"/>
      <c r="BF170" s="287"/>
      <c r="BG170" s="287"/>
      <c r="BH170" s="287"/>
      <c r="BI170" s="287"/>
      <c r="BJ170" s="287"/>
      <c r="BK170" s="287"/>
      <c r="BL170" s="287"/>
      <c r="BM170" s="287"/>
      <c r="BN170" s="287"/>
      <c r="BO170" s="287"/>
      <c r="BP170" s="287"/>
      <c r="BQ170" s="287"/>
      <c r="BR170" s="287"/>
      <c r="BS170" s="287"/>
      <c r="BT170" s="287"/>
      <c r="BU170" s="287"/>
      <c r="BV170" s="287"/>
      <c r="BW170" s="287"/>
      <c r="BX170" s="287"/>
      <c r="BY170" s="287"/>
      <c r="BZ170" s="287"/>
      <c r="CA170" s="287"/>
      <c r="CB170" s="287"/>
      <c r="CC170" s="287"/>
      <c r="CD170" s="287"/>
      <c r="CE170" s="287"/>
      <c r="CF170" s="287"/>
      <c r="CG170" s="287"/>
      <c r="CH170" s="287"/>
      <c r="CI170" s="287"/>
      <c r="CJ170" s="287"/>
      <c r="CK170" s="287"/>
      <c r="CL170" s="287"/>
      <c r="CM170" s="287"/>
      <c r="CN170" s="287"/>
      <c r="CO170" s="287"/>
      <c r="CP170" s="287"/>
      <c r="CQ170" s="287"/>
      <c r="CR170" s="287"/>
      <c r="CS170" s="287"/>
      <c r="CT170" s="287"/>
      <c r="CU170" s="287"/>
      <c r="CV170" s="287"/>
      <c r="CW170" s="287"/>
      <c r="CX170" s="287"/>
      <c r="CY170" s="287"/>
      <c r="CZ170" s="287"/>
      <c r="DA170" s="287"/>
      <c r="DB170" s="287"/>
      <c r="DC170" s="287"/>
      <c r="DD170" s="287"/>
      <c r="DE170" s="287"/>
      <c r="DF170" s="287"/>
      <c r="DG170" s="287"/>
      <c r="DH170" s="287"/>
      <c r="DI170" s="287"/>
      <c r="DJ170" s="287"/>
      <c r="DK170" s="287"/>
      <c r="DL170" s="287"/>
      <c r="DM170" s="287"/>
      <c r="DN170" s="287"/>
      <c r="DO170" s="287"/>
      <c r="DP170" s="287"/>
      <c r="DQ170" s="287"/>
      <c r="DR170" s="287"/>
      <c r="DS170" s="287"/>
      <c r="DT170" s="287"/>
      <c r="DU170" s="287"/>
      <c r="DV170" s="287"/>
      <c r="DW170" s="287"/>
      <c r="DX170" s="287"/>
      <c r="DY170" s="287"/>
      <c r="DZ170" s="287"/>
      <c r="EA170" s="287"/>
      <c r="EB170" s="287"/>
      <c r="EC170" s="287"/>
      <c r="ED170" s="287"/>
      <c r="EE170" s="287"/>
      <c r="EF170" s="287"/>
      <c r="EG170" s="287"/>
      <c r="EH170" s="287"/>
      <c r="EI170" s="287"/>
      <c r="EJ170" s="287"/>
      <c r="EK170" s="287"/>
      <c r="EL170" s="287"/>
      <c r="EM170" s="287"/>
      <c r="EN170" s="287"/>
      <c r="EO170" s="287"/>
      <c r="EP170" s="287"/>
      <c r="EQ170" s="287"/>
      <c r="ER170" s="287"/>
      <c r="ES170" s="287"/>
      <c r="ET170" s="287"/>
      <c r="EU170" s="287"/>
      <c r="EV170" s="287"/>
      <c r="EW170" s="287"/>
      <c r="EX170" s="287"/>
      <c r="EY170" s="287"/>
      <c r="EZ170" s="287"/>
      <c r="FA170" s="287"/>
      <c r="FB170" s="287"/>
      <c r="FC170" s="287"/>
      <c r="FD170" s="287"/>
      <c r="FE170" s="287"/>
      <c r="FF170" s="287"/>
      <c r="FG170" s="287"/>
      <c r="FH170" s="287"/>
      <c r="FI170" s="287"/>
      <c r="FJ170" s="287"/>
      <c r="FK170" s="287"/>
      <c r="FL170" s="287"/>
      <c r="FM170" s="287"/>
      <c r="FN170" s="287"/>
      <c r="FO170" s="287"/>
      <c r="FP170" s="287"/>
      <c r="FQ170" s="287"/>
      <c r="FR170" s="287"/>
      <c r="FS170" s="287"/>
      <c r="FT170" s="287"/>
      <c r="FU170" s="287"/>
      <c r="FV170" s="287"/>
      <c r="FW170" s="287"/>
      <c r="FX170" s="287"/>
    </row>
    <row r="171" spans="1:180" ht="19.95" customHeight="1">
      <c r="A171" s="287"/>
      <c r="B171" s="287"/>
      <c r="C171" s="287"/>
      <c r="D171" s="287"/>
      <c r="E171" s="287"/>
      <c r="F171" s="287"/>
      <c r="G171" s="287"/>
      <c r="H171" s="287"/>
      <c r="I171" s="287"/>
      <c r="J171" s="287"/>
      <c r="K171" s="287"/>
      <c r="L171" s="287"/>
      <c r="M171" s="287"/>
      <c r="N171" s="287"/>
      <c r="O171" s="287"/>
      <c r="P171" s="287"/>
      <c r="Q171" s="287"/>
      <c r="R171" s="287"/>
      <c r="S171" s="287"/>
      <c r="T171" s="287"/>
      <c r="U171" s="287"/>
      <c r="V171" s="287"/>
      <c r="W171" s="287"/>
      <c r="X171" s="287"/>
      <c r="Y171" s="287"/>
      <c r="Z171" s="287"/>
      <c r="AA171" s="287"/>
      <c r="AB171" s="287"/>
      <c r="AC171" s="287"/>
      <c r="AD171" s="287"/>
      <c r="AE171" s="287"/>
      <c r="AF171" s="287"/>
      <c r="AG171" s="287"/>
      <c r="AH171" s="287"/>
      <c r="AI171" s="287"/>
      <c r="AJ171" s="287"/>
      <c r="AK171" s="287"/>
      <c r="AL171" s="287"/>
      <c r="AM171" s="287"/>
      <c r="AN171" s="287"/>
      <c r="AO171" s="287"/>
      <c r="AP171" s="287"/>
      <c r="AQ171" s="287"/>
      <c r="AR171" s="287"/>
      <c r="AS171" s="287"/>
      <c r="AT171" s="287"/>
      <c r="AU171" s="287"/>
      <c r="AV171" s="287"/>
      <c r="AW171" s="287"/>
      <c r="AX171" s="287"/>
      <c r="AY171" s="287"/>
      <c r="AZ171" s="287"/>
      <c r="BA171" s="287"/>
      <c r="BB171" s="287"/>
      <c r="BC171" s="287"/>
      <c r="BD171" s="287"/>
      <c r="BE171" s="287"/>
      <c r="BF171" s="287"/>
      <c r="BG171" s="287"/>
      <c r="BH171" s="287"/>
      <c r="BI171" s="287"/>
      <c r="BJ171" s="287"/>
      <c r="BK171" s="287"/>
      <c r="BL171" s="287"/>
      <c r="BM171" s="287"/>
      <c r="BN171" s="287"/>
      <c r="BO171" s="287"/>
      <c r="BP171" s="287"/>
      <c r="BQ171" s="287"/>
      <c r="BR171" s="287"/>
      <c r="BS171" s="287"/>
      <c r="BT171" s="287"/>
      <c r="BU171" s="287"/>
      <c r="BV171" s="287"/>
      <c r="BW171" s="287"/>
      <c r="BX171" s="287"/>
      <c r="BY171" s="287"/>
      <c r="BZ171" s="287"/>
      <c r="CA171" s="287"/>
      <c r="CB171" s="287"/>
      <c r="CC171" s="287"/>
      <c r="CD171" s="287"/>
      <c r="CE171" s="287"/>
      <c r="CF171" s="287"/>
      <c r="CG171" s="287"/>
      <c r="CH171" s="287"/>
      <c r="CI171" s="287"/>
      <c r="CJ171" s="287"/>
      <c r="CK171" s="287"/>
      <c r="CL171" s="287"/>
      <c r="CM171" s="287"/>
      <c r="CN171" s="287"/>
      <c r="CO171" s="287"/>
      <c r="CP171" s="287"/>
      <c r="CQ171" s="287"/>
      <c r="CR171" s="287"/>
      <c r="CS171" s="287"/>
      <c r="CT171" s="287"/>
      <c r="CU171" s="287"/>
      <c r="CV171" s="287"/>
      <c r="CW171" s="287"/>
      <c r="CX171" s="287"/>
      <c r="CY171" s="287"/>
      <c r="CZ171" s="287"/>
      <c r="DA171" s="287"/>
      <c r="DB171" s="287"/>
      <c r="DC171" s="287"/>
      <c r="DD171" s="287"/>
      <c r="DE171" s="287"/>
      <c r="DF171" s="287"/>
      <c r="DG171" s="287"/>
      <c r="DH171" s="287"/>
      <c r="DI171" s="287"/>
      <c r="DJ171" s="287"/>
      <c r="DK171" s="287"/>
      <c r="DL171" s="287"/>
      <c r="DM171" s="287"/>
      <c r="DN171" s="287"/>
      <c r="DO171" s="287"/>
      <c r="DP171" s="287"/>
      <c r="DQ171" s="287"/>
      <c r="DR171" s="287"/>
      <c r="DS171" s="287"/>
      <c r="DT171" s="287"/>
      <c r="DU171" s="287"/>
      <c r="DV171" s="287"/>
      <c r="DW171" s="287"/>
      <c r="DX171" s="287"/>
      <c r="DY171" s="287"/>
      <c r="DZ171" s="287"/>
      <c r="EA171" s="287"/>
      <c r="EB171" s="287"/>
      <c r="EC171" s="287"/>
      <c r="ED171" s="287"/>
      <c r="EE171" s="287"/>
      <c r="EF171" s="287"/>
      <c r="EG171" s="287"/>
      <c r="EH171" s="287"/>
      <c r="EI171" s="287"/>
      <c r="EJ171" s="287"/>
      <c r="EK171" s="287"/>
      <c r="EL171" s="287"/>
      <c r="EM171" s="287"/>
      <c r="EN171" s="287"/>
      <c r="EO171" s="287"/>
      <c r="EP171" s="287"/>
      <c r="EQ171" s="287"/>
      <c r="ER171" s="287"/>
      <c r="ES171" s="287"/>
      <c r="ET171" s="287"/>
      <c r="EU171" s="287"/>
      <c r="EV171" s="287"/>
      <c r="EW171" s="287"/>
      <c r="EX171" s="287"/>
      <c r="EY171" s="287"/>
      <c r="EZ171" s="287"/>
      <c r="FA171" s="287"/>
      <c r="FB171" s="287"/>
      <c r="FC171" s="287"/>
      <c r="FD171" s="287"/>
      <c r="FE171" s="287"/>
      <c r="FF171" s="287"/>
      <c r="FG171" s="287"/>
      <c r="FH171" s="287"/>
      <c r="FI171" s="287"/>
      <c r="FJ171" s="287"/>
      <c r="FK171" s="287"/>
      <c r="FL171" s="287"/>
      <c r="FM171" s="287"/>
      <c r="FN171" s="287"/>
      <c r="FO171" s="287"/>
      <c r="FP171" s="287"/>
      <c r="FQ171" s="287"/>
      <c r="FR171" s="287"/>
      <c r="FS171" s="287"/>
      <c r="FT171" s="287"/>
      <c r="FU171" s="287"/>
      <c r="FV171" s="287"/>
      <c r="FW171" s="287"/>
      <c r="FX171" s="287"/>
    </row>
    <row r="173" spans="1:180" ht="19.95" customHeight="1">
      <c r="A173" s="287"/>
      <c r="B173" s="287"/>
      <c r="C173" s="287"/>
      <c r="D173" s="287"/>
      <c r="E173" s="287"/>
      <c r="F173" s="287"/>
      <c r="G173" s="287"/>
      <c r="H173" s="287"/>
      <c r="I173" s="287"/>
      <c r="J173" s="287"/>
      <c r="K173" s="287"/>
      <c r="L173" s="287"/>
      <c r="M173" s="287"/>
      <c r="N173" s="287"/>
      <c r="O173" s="287"/>
      <c r="P173" s="287"/>
      <c r="Q173" s="287"/>
      <c r="R173" s="287"/>
      <c r="S173" s="287"/>
      <c r="T173" s="287"/>
      <c r="U173" s="287"/>
      <c r="V173" s="287"/>
      <c r="W173" s="287"/>
      <c r="X173" s="287"/>
      <c r="Y173" s="287"/>
      <c r="Z173" s="287"/>
      <c r="AA173" s="287"/>
      <c r="AB173" s="287"/>
      <c r="AC173" s="287"/>
      <c r="AD173" s="287"/>
      <c r="AE173" s="287"/>
      <c r="AF173" s="287"/>
      <c r="AG173" s="287"/>
      <c r="AH173" s="287"/>
      <c r="AI173" s="287"/>
      <c r="AJ173" s="287"/>
      <c r="AK173" s="287"/>
      <c r="AL173" s="287"/>
      <c r="AM173" s="287"/>
      <c r="AN173" s="287"/>
      <c r="AO173" s="287"/>
      <c r="AP173" s="287"/>
      <c r="AQ173" s="287"/>
      <c r="AR173" s="287"/>
      <c r="AS173" s="287"/>
      <c r="AT173" s="287"/>
      <c r="AU173" s="287"/>
      <c r="AV173" s="287"/>
      <c r="AW173" s="287"/>
      <c r="AX173" s="287"/>
      <c r="AY173" s="287"/>
      <c r="AZ173" s="287"/>
      <c r="BA173" s="287"/>
      <c r="BB173" s="287"/>
      <c r="BC173" s="287"/>
      <c r="BD173" s="287"/>
      <c r="BE173" s="287"/>
      <c r="BF173" s="287"/>
      <c r="BG173" s="287"/>
      <c r="BH173" s="287"/>
      <c r="BI173" s="287"/>
      <c r="BJ173" s="287"/>
      <c r="BK173" s="287"/>
      <c r="BL173" s="287"/>
      <c r="BM173" s="287"/>
      <c r="BN173" s="287"/>
      <c r="BO173" s="287"/>
      <c r="BP173" s="287"/>
      <c r="BQ173" s="287"/>
      <c r="BR173" s="287"/>
      <c r="BS173" s="287"/>
      <c r="BT173" s="287"/>
      <c r="BU173" s="287"/>
      <c r="BV173" s="287"/>
      <c r="BW173" s="287"/>
      <c r="BX173" s="287"/>
      <c r="BY173" s="287"/>
      <c r="BZ173" s="287"/>
      <c r="CA173" s="287"/>
      <c r="CB173" s="287"/>
      <c r="CC173" s="287"/>
      <c r="CD173" s="287"/>
      <c r="CE173" s="287"/>
      <c r="CF173" s="287"/>
      <c r="CG173" s="287"/>
      <c r="CH173" s="287"/>
      <c r="CI173" s="287"/>
      <c r="CJ173" s="287"/>
      <c r="CK173" s="287"/>
      <c r="CL173" s="287"/>
      <c r="CM173" s="287"/>
      <c r="CN173" s="287"/>
      <c r="CO173" s="287"/>
      <c r="CP173" s="287"/>
      <c r="CQ173" s="287"/>
      <c r="CR173" s="287"/>
      <c r="CS173" s="287"/>
      <c r="CT173" s="287"/>
      <c r="CU173" s="287"/>
      <c r="CV173" s="287"/>
      <c r="CW173" s="287"/>
      <c r="CX173" s="287"/>
      <c r="CY173" s="287"/>
      <c r="CZ173" s="287"/>
      <c r="DA173" s="287"/>
      <c r="DB173" s="287"/>
      <c r="DC173" s="287"/>
      <c r="DD173" s="287"/>
      <c r="DE173" s="287"/>
      <c r="DF173" s="287"/>
      <c r="DG173" s="287"/>
      <c r="DH173" s="287"/>
      <c r="DI173" s="287"/>
      <c r="DJ173" s="287"/>
      <c r="DK173" s="287"/>
      <c r="DL173" s="287"/>
      <c r="DM173" s="287"/>
      <c r="DN173" s="287"/>
      <c r="DO173" s="287"/>
      <c r="DP173" s="287"/>
      <c r="DQ173" s="287"/>
      <c r="DR173" s="287"/>
      <c r="DS173" s="287"/>
      <c r="DT173" s="287"/>
      <c r="DU173" s="287"/>
      <c r="DV173" s="287"/>
      <c r="DW173" s="287"/>
      <c r="DX173" s="287"/>
      <c r="DY173" s="287"/>
      <c r="DZ173" s="287"/>
      <c r="EA173" s="287"/>
      <c r="EB173" s="287"/>
      <c r="EC173" s="287"/>
      <c r="ED173" s="287"/>
      <c r="EE173" s="287"/>
      <c r="EF173" s="287"/>
      <c r="EG173" s="287"/>
      <c r="EH173" s="287"/>
      <c r="EI173" s="287"/>
      <c r="EJ173" s="287"/>
      <c r="EK173" s="287"/>
      <c r="EL173" s="287"/>
      <c r="EM173" s="287"/>
      <c r="EN173" s="287"/>
      <c r="EO173" s="287"/>
      <c r="EP173" s="287"/>
      <c r="EQ173" s="287"/>
      <c r="ER173" s="287"/>
      <c r="ES173" s="287"/>
      <c r="ET173" s="287"/>
      <c r="EU173" s="287"/>
      <c r="EV173" s="287"/>
      <c r="EW173" s="287"/>
      <c r="EX173" s="287"/>
      <c r="EY173" s="287"/>
      <c r="EZ173" s="287"/>
      <c r="FA173" s="287"/>
      <c r="FB173" s="287"/>
      <c r="FC173" s="287"/>
      <c r="FD173" s="287"/>
      <c r="FE173" s="287"/>
      <c r="FF173" s="287"/>
      <c r="FG173" s="287"/>
      <c r="FH173" s="287"/>
      <c r="FI173" s="287"/>
      <c r="FJ173" s="287"/>
      <c r="FK173" s="287"/>
      <c r="FL173" s="287"/>
      <c r="FM173" s="287"/>
      <c r="FN173" s="287"/>
      <c r="FO173" s="287"/>
      <c r="FP173" s="287"/>
      <c r="FQ173" s="287"/>
      <c r="FR173" s="287"/>
      <c r="FS173" s="287"/>
      <c r="FT173" s="287"/>
      <c r="FU173" s="287"/>
      <c r="FV173" s="287"/>
      <c r="FW173" s="287"/>
      <c r="FX173" s="287"/>
    </row>
    <row r="174" spans="1:180" ht="19.95" customHeight="1">
      <c r="A174" s="386"/>
      <c r="B174" s="387"/>
      <c r="C174" s="386"/>
      <c r="D174" s="386"/>
      <c r="E174" s="386"/>
      <c r="F174" s="388"/>
      <c r="G174" s="388"/>
      <c r="H174" s="388"/>
      <c r="I174" s="388"/>
      <c r="J174" s="388"/>
      <c r="K174" s="388"/>
      <c r="L174" s="388"/>
      <c r="M174" s="388"/>
      <c r="N174" s="388"/>
      <c r="O174" s="388"/>
      <c r="P174" s="388"/>
      <c r="Q174" s="389"/>
      <c r="R174" s="313"/>
      <c r="S174" s="313"/>
      <c r="T174" s="313"/>
      <c r="U174" s="313"/>
      <c r="V174" s="313"/>
      <c r="W174" s="313"/>
      <c r="X174" s="313"/>
      <c r="Y174" s="313"/>
      <c r="Z174" s="313"/>
      <c r="AA174" s="313"/>
      <c r="AB174" s="313"/>
      <c r="AC174" s="313"/>
      <c r="AD174" s="313"/>
      <c r="AE174" s="313"/>
      <c r="AF174" s="313"/>
      <c r="AG174" s="313"/>
      <c r="AH174" s="313"/>
      <c r="AI174" s="313"/>
      <c r="AJ174" s="313"/>
      <c r="AK174" s="313"/>
      <c r="AL174" s="313"/>
      <c r="AM174" s="313"/>
      <c r="AN174" s="313"/>
      <c r="AO174" s="313"/>
      <c r="AP174" s="313"/>
      <c r="AQ174" s="313"/>
      <c r="AR174" s="313"/>
      <c r="AS174" s="313"/>
      <c r="AT174" s="313"/>
      <c r="AU174" s="313"/>
      <c r="AV174" s="313"/>
      <c r="AW174" s="313"/>
      <c r="AX174" s="313"/>
      <c r="AY174" s="313"/>
      <c r="AZ174" s="313"/>
      <c r="BA174" s="313"/>
      <c r="BB174" s="313"/>
      <c r="BC174" s="313"/>
      <c r="BD174" s="313"/>
      <c r="BE174" s="313"/>
      <c r="BF174" s="313"/>
      <c r="BG174" s="313"/>
      <c r="BH174" s="313"/>
      <c r="BI174" s="313"/>
      <c r="BJ174" s="313"/>
      <c r="BK174" s="313"/>
      <c r="BL174" s="313"/>
      <c r="BM174" s="313"/>
      <c r="BN174" s="313"/>
      <c r="BO174" s="313"/>
      <c r="BP174" s="313"/>
      <c r="BQ174" s="313"/>
      <c r="BR174" s="313"/>
      <c r="BS174" s="313"/>
      <c r="BT174" s="313"/>
      <c r="BU174" s="313"/>
      <c r="BV174" s="313"/>
      <c r="BW174" s="313"/>
      <c r="BX174" s="313"/>
      <c r="BY174" s="313"/>
      <c r="BZ174" s="313"/>
      <c r="CA174" s="313"/>
      <c r="CB174" s="313"/>
      <c r="CC174" s="313"/>
      <c r="CD174" s="313"/>
      <c r="CE174" s="313"/>
      <c r="CF174" s="313"/>
      <c r="CG174" s="313"/>
      <c r="CH174" s="313"/>
      <c r="CI174" s="313"/>
      <c r="CJ174" s="313"/>
      <c r="CK174" s="313"/>
      <c r="CL174" s="313"/>
      <c r="CM174" s="313"/>
      <c r="CN174" s="313"/>
      <c r="CO174" s="313"/>
      <c r="CP174" s="313"/>
      <c r="CQ174" s="313"/>
      <c r="CR174" s="313"/>
      <c r="CS174" s="313"/>
      <c r="CT174" s="313"/>
      <c r="CU174" s="313"/>
      <c r="CV174" s="313"/>
      <c r="CW174" s="313"/>
      <c r="CX174" s="313"/>
      <c r="CY174" s="313"/>
      <c r="CZ174" s="313"/>
      <c r="DA174" s="313"/>
      <c r="DB174" s="313"/>
      <c r="DC174" s="313"/>
      <c r="DD174" s="313"/>
      <c r="DE174" s="313"/>
      <c r="DF174" s="313"/>
      <c r="DG174" s="313"/>
      <c r="DH174" s="313"/>
      <c r="DI174" s="313"/>
      <c r="DJ174" s="313"/>
      <c r="DK174" s="313"/>
      <c r="DL174" s="313"/>
      <c r="DM174" s="313"/>
      <c r="DN174" s="313"/>
      <c r="DO174" s="313"/>
      <c r="DP174" s="313"/>
      <c r="DQ174" s="313"/>
      <c r="DR174" s="313"/>
      <c r="DS174" s="313"/>
      <c r="DT174" s="313"/>
      <c r="DU174" s="313"/>
      <c r="DV174" s="313"/>
      <c r="DW174" s="313"/>
      <c r="DX174" s="313"/>
      <c r="DY174" s="313"/>
      <c r="DZ174" s="313"/>
      <c r="EA174" s="313"/>
      <c r="EB174" s="313"/>
      <c r="EC174" s="313"/>
      <c r="ED174" s="313"/>
      <c r="EE174" s="313"/>
      <c r="EF174" s="313"/>
      <c r="EG174" s="313"/>
      <c r="EH174" s="313"/>
      <c r="EI174" s="313"/>
      <c r="EJ174" s="313"/>
      <c r="EK174" s="313"/>
      <c r="EL174" s="313"/>
      <c r="EM174" s="313"/>
      <c r="EN174" s="313"/>
      <c r="EO174" s="313"/>
      <c r="EP174" s="313"/>
      <c r="EQ174" s="313"/>
      <c r="ER174" s="313"/>
      <c r="ES174" s="313"/>
      <c r="ET174" s="313"/>
      <c r="EU174" s="313"/>
      <c r="EV174" s="313"/>
      <c r="EW174" s="313"/>
      <c r="EX174" s="313"/>
      <c r="EY174" s="313"/>
      <c r="EZ174" s="313"/>
      <c r="FA174" s="313"/>
      <c r="FB174" s="313"/>
      <c r="FC174" s="313"/>
      <c r="FD174" s="313"/>
      <c r="FE174" s="313"/>
      <c r="FF174" s="313"/>
      <c r="FG174" s="313"/>
      <c r="FH174" s="313"/>
      <c r="FI174" s="313"/>
      <c r="FJ174" s="313"/>
      <c r="FK174" s="313"/>
      <c r="FL174" s="313"/>
      <c r="FM174" s="313"/>
      <c r="FN174" s="313"/>
      <c r="FO174" s="313"/>
      <c r="FP174" s="313"/>
      <c r="FQ174" s="313"/>
      <c r="FR174" s="313"/>
      <c r="FS174" s="313"/>
      <c r="FT174" s="313"/>
      <c r="FU174" s="313"/>
      <c r="FV174" s="313"/>
      <c r="FW174" s="313"/>
      <c r="FX174" s="313"/>
    </row>
  </sheetData>
  <mergeCells count="4">
    <mergeCell ref="A1:P1"/>
    <mergeCell ref="A5:Q6"/>
    <mergeCell ref="D7:P7"/>
    <mergeCell ref="Q152:Q153"/>
  </mergeCells>
  <pageMargins left="0.511811024" right="0.511811024" top="0.78740157499999996" bottom="0.78740157499999996" header="0.31496062000000002" footer="0.31496062000000002"/>
  <pageSetup paperSize="9" scale="6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22</vt:i4>
      </vt:variant>
      <vt:variant>
        <vt:lpstr>Intervalos nomeados</vt:lpstr>
      </vt:variant>
      <vt:variant>
        <vt:i4>17</vt:i4>
      </vt:variant>
    </vt:vector>
  </HeadingPairs>
  <TitlesOfParts>
    <vt:vector size="39" baseType="lpstr">
      <vt:lpstr>REVEST FACHADAS</vt:lpstr>
      <vt:lpstr>CORRIMÃO</vt:lpstr>
      <vt:lpstr>ALVENARIA</vt:lpstr>
      <vt:lpstr>ESQUADRIA</vt:lpstr>
      <vt:lpstr>Esquadrias 2</vt:lpstr>
      <vt:lpstr>Revestimentos</vt:lpstr>
      <vt:lpstr>Cobertura</vt:lpstr>
      <vt:lpstr>Planilha Orç</vt:lpstr>
      <vt:lpstr>MEMORIA</vt:lpstr>
      <vt:lpstr>COMPOSICOES</vt:lpstr>
      <vt:lpstr>Piso e Forro</vt:lpstr>
      <vt:lpstr>impermeabilização</vt:lpstr>
      <vt:lpstr>Louças e Metais</vt:lpstr>
      <vt:lpstr>BATE MACA</vt:lpstr>
      <vt:lpstr>Instalações</vt:lpstr>
      <vt:lpstr>Paisagismo</vt:lpstr>
      <vt:lpstr>Pintura Estac.</vt:lpstr>
      <vt:lpstr>Plan1</vt:lpstr>
      <vt:lpstr>Plan2</vt:lpstr>
      <vt:lpstr>Plan3</vt:lpstr>
      <vt:lpstr>Plan4</vt:lpstr>
      <vt:lpstr>Planilha1</vt:lpstr>
      <vt:lpstr>Cobertura!Area_de_impressao</vt:lpstr>
      <vt:lpstr>COMPOSICOES!Area_de_impressao</vt:lpstr>
      <vt:lpstr>ESQUADRIA!Area_de_impressao</vt:lpstr>
      <vt:lpstr>impermeabilização!Area_de_impressao</vt:lpstr>
      <vt:lpstr>Instalações!Area_de_impressao</vt:lpstr>
      <vt:lpstr>'Louças e Metais'!Area_de_impressao</vt:lpstr>
      <vt:lpstr>MEMORIA!Area_de_impressao</vt:lpstr>
      <vt:lpstr>'Piso e Forro'!Area_de_impressao</vt:lpstr>
      <vt:lpstr>Plan2!Area_de_impressao</vt:lpstr>
      <vt:lpstr>Plan4!Area_de_impressao</vt:lpstr>
      <vt:lpstr>'Planilha Orç'!Area_de_impressao</vt:lpstr>
      <vt:lpstr>Revestimentos!Area_de_impressao</vt:lpstr>
      <vt:lpstr>ESQUADRIA!Titulos_de_impressao</vt:lpstr>
      <vt:lpstr>'Esquadrias 2'!Titulos_de_impressao</vt:lpstr>
      <vt:lpstr>impermeabilização!Titulos_de_impressao</vt:lpstr>
      <vt:lpstr>'Louças e Metais'!Titulos_de_impressao</vt:lpstr>
      <vt:lpstr>'Planilha Orç'!Titulos_de_impressao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Edivan D'Brito</dc:creator>
  <cp:lastModifiedBy>Assessoria1</cp:lastModifiedBy>
  <cp:lastPrinted>2017-01-25T15:04:21Z</cp:lastPrinted>
  <dcterms:created xsi:type="dcterms:W3CDTF">2016-01-11T14:59:08Z</dcterms:created>
  <dcterms:modified xsi:type="dcterms:W3CDTF">2017-01-26T15:15:40Z</dcterms:modified>
</cp:coreProperties>
</file>