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8.wmf" ContentType="image/x-wmf"/>
  <Override PartName="/xl/media/image1.png" ContentType="image/png"/>
  <Override PartName="/xl/media/image9.wmf" ContentType="image/x-wmf"/>
  <Override PartName="/xl/media/image2.png" ContentType="image/png"/>
  <Override PartName="/xl/media/image4.jpeg" ContentType="image/jpeg"/>
  <Override PartName="/xl/media/image3.png" ContentType="image/png"/>
  <Override PartName="/xl/media/image7.png" ContentType="image/png"/>
  <Override PartName="/xl/media/image5.jpeg" ContentType="image/jpeg"/>
  <Override PartName="/xl/media/image6.jpeg" ContentType="image/jpeg"/>
  <Override PartName="/xl/media/image10.wmf" ContentType="image/x-wmf"/>
  <Override PartName="/xl/media/image11.wmf" ContentType="image/x-wmf"/>
  <Override PartName="/xl/media/image12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Plan1" sheetId="1" state="visible" r:id="rId2"/>
    <sheet name="ORÇAMENTO" sheetId="2" state="visible" r:id="rId3"/>
    <sheet name="MEMÓRIA DE CÁLCULO" sheetId="3" state="visible" r:id="rId4"/>
    <sheet name="CRONOGRAMA" sheetId="4" state="visible" r:id="rId5"/>
    <sheet name="CRONOGRAMA RESUMO" sheetId="5" state="visible" r:id="rId6"/>
    <sheet name="COMPOSIÇÕES ANALÍTICAS" sheetId="6" state="visible" r:id="rId7"/>
    <sheet name="BDI" sheetId="7" state="visible" r:id="rId8"/>
  </sheets>
  <externalReferences>
    <externalReference r:id="rId9"/>
  </externalReferences>
  <definedNames>
    <definedName function="false" hidden="false" localSheetId="6" name="_xlnm.Print_Area" vbProcedure="false">BDI!$B$1:$G$53</definedName>
    <definedName function="false" hidden="false" localSheetId="5" name="_xlnm.Print_Area" vbProcedure="false">'COMPOSIÇÕES ANALÍTICAS'!$B$1:$G$35</definedName>
    <definedName function="false" hidden="false" localSheetId="3" name="_xlnm.Print_Area" vbProcedure="false">CRONOGRAMA!$B:$N</definedName>
    <definedName function="false" hidden="false" localSheetId="4" name="_xlnm.Print_Area" vbProcedure="false">'CRONOGRAMA RESUMO'!$B:$N</definedName>
    <definedName function="false" hidden="false" localSheetId="2" name="_xlnm.Print_Area" vbProcedure="false">'MEMÓRIA DE CÁLCULO'!$B:$J</definedName>
    <definedName function="false" hidden="false" localSheetId="2" name="_xlnm.Print_Titles" vbProcedure="false">'MEMÓRIA DE CÁLCULO'!$6:$6</definedName>
    <definedName function="false" hidden="false" localSheetId="1" name="_xlnm.Print_Area" vbProcedure="false">ORÇAMENTO!$B:$L</definedName>
    <definedName function="false" hidden="false" localSheetId="1" name="_xlnm.Print_Area" vbProcedure="false">ORÇAMENTO!$B:$L</definedName>
    <definedName function="false" hidden="false" localSheetId="2" name="_xlnm.Print_Area" vbProcedure="false">'MEMÓRIA DE CÁLCULO'!$B:$J</definedName>
    <definedName function="false" hidden="false" localSheetId="2" name="_xlnm.Print_Titles" vbProcedure="false">'MEMÓRIA DE CÁLCULO'!$6:$6</definedName>
    <definedName function="false" hidden="false" localSheetId="3" name="_xlnm.Print_Area" vbProcedure="false">CRONOGRAMA!$B:$N</definedName>
    <definedName function="false" hidden="false" localSheetId="4" name="_xlnm.Print_Area" vbProcedure="false">'CRONOGRAMA RESUMO'!$B:$N</definedName>
    <definedName function="false" hidden="false" localSheetId="5" name="_xlnm.Print_Area" vbProcedure="false">'COMPOSIÇÕES ANALÍTICAS'!$B$1:$G$35</definedName>
    <definedName function="false" hidden="false" localSheetId="6" name="_xlnm.Print_Area" vbProcedure="false">BDI!$B$1:$G$53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<sst xmlns="http://schemas.openxmlformats.org/spreadsheetml/2006/main" count="1590" uniqueCount="446">
  <si>
    <t>COLCHAO DE AREIA PARA PAVIMENTACAO EM PARALELEPIPEDO OU BLOCOS DE CONCRETO INTERTRAVADOS</t>
  </si>
  <si>
    <t>C3446</t>
  </si>
  <si>
    <t>PISO INTERTRAVADO TIPO TIJOLINHO (19,9X10X4)CM CINZA</t>
  </si>
  <si>
    <t> 73922/001</t>
  </si>
  <si>
    <t>PISO CIMENTADO TRACO 1:3 (CIMENTO E AREIA) ACABAMENTO LISO ESPESSURA 3,5CM, PREPARO MANUAL DA ARGAMASSA</t>
  </si>
  <si>
    <t> 73892/002</t>
  </si>
  <si>
    <t>EXECUÇÃO DE PASSEIO (CALÇADA) EM CONCRETO 12 MPA, TRAÇO 1:3:5 (CIMENTO/AREIA/BRITA), PREPARO MECÂNICO, ESPESSURA 7CM, COM JUNTA DE DILATAÇÃO</t>
  </si>
  <si>
    <t>PLANTIO DE GRAMA</t>
  </si>
  <si>
    <t>C3449</t>
  </si>
  <si>
    <t>MEIO-FIO</t>
  </si>
  <si>
    <t>GRADIL DE ALUMINIO ANODIZADO TIPO BARRA CHATA</t>
  </si>
  <si>
    <t>QUANTIDADE DE MANGAS - QM</t>
  </si>
  <si>
    <t>QUANTIDADE DE PESSOAS - QP</t>
  </si>
  <si>
    <t>QANTIDADE DE DIAS NO INTERIOR - QD</t>
  </si>
  <si>
    <t>MANGAS COMIDAS NO INTERIOR - MCI</t>
  </si>
  <si>
    <t>MANGAS POR PESSOA - MP</t>
  </si>
  <si>
    <t>MP = (QM/QP) - (QD x MCI)</t>
  </si>
  <si>
    <t>MP = </t>
  </si>
  <si>
    <t> </t>
  </si>
  <si>
    <t>GABINETE DO SECRETÁRIO</t>
  </si>
  <si>
    <t>NÚCLEO DE INFRA-ESTRUTURA EM SAÚDE - NIS</t>
  </si>
  <si>
    <t>COORDENAÇÃO DE INFRA-ESTRUTURA EM SAÚDE</t>
  </si>
  <si>
    <t>OBRA: REFORMA E URBANIZAÇÃO DA FACHADA E ACESSO PRINCIPAL DO HOSPITAL REGIONAL CHAGAS RODRIGUES</t>
  </si>
  <si>
    <t>MUNICÍPIO: PIRIPIRI - PI</t>
  </si>
  <si>
    <t>ENDEREÇO: PIRIPIRI - PI</t>
  </si>
  <si>
    <t>DATA BASE: SETEMBRO 2015 - DESONERADA</t>
  </si>
  <si>
    <t>I - PLANILHA ORÇAMENTÁRIA DA REFORMA E URBANIZAÇÃO DO ACESSO PRINCIPAL DO HOSPITAL</t>
  </si>
  <si>
    <t>ITEM</t>
  </si>
  <si>
    <t>DESCRIMINAÇÃO</t>
  </si>
  <si>
    <t>UNID</t>
  </si>
  <si>
    <t>QUANT</t>
  </si>
  <si>
    <t>CUSTO</t>
  </si>
  <si>
    <t>CUSTO TOTAL DO SUBITEM</t>
  </si>
  <si>
    <t>%</t>
  </si>
  <si>
    <t>REFERÊNCIA / CÓDIGO</t>
  </si>
  <si>
    <t>UNITÁRIO</t>
  </si>
  <si>
    <t>UNITÁRIO  COM  BDI</t>
  </si>
  <si>
    <t>PARCIAL COM  BDI</t>
  </si>
  <si>
    <t>1.0</t>
  </si>
  <si>
    <t>SERVIÇOS PRELIMINARES (URBANIZAÇÃO)</t>
  </si>
  <si>
    <t>1.1</t>
  </si>
  <si>
    <t>RETIRADA DE PAVIMENTAÇÃO EM PARALELEPÍPEDO OU PEDRA TOSCA</t>
  </si>
  <si>
    <t>M2</t>
  </si>
  <si>
    <t>SEINFRA</t>
  </si>
  <si>
    <t>C2940</t>
  </si>
  <si>
    <t>1.2</t>
  </si>
  <si>
    <t>DEMOLICAO DE CONCRETO SIMPLES</t>
  </si>
  <si>
    <t>M3</t>
  </si>
  <si>
    <t>SINAPI</t>
  </si>
  <si>
    <t>1.3</t>
  </si>
  <si>
    <t>DEMOLICAO DE ALVENARIA DE TIJOLOS FURADOS S/REAPROVEITAMENTO</t>
  </si>
  <si>
    <t>73899/002</t>
  </si>
  <si>
    <t>1.4</t>
  </si>
  <si>
    <t>RETIRADA DE ÁRVORES</t>
  </si>
  <si>
    <t>UN</t>
  </si>
  <si>
    <t>C2204</t>
  </si>
  <si>
    <t>1.5</t>
  </si>
  <si>
    <t>PLACA DE OBRA EM CHAPA DE ACO GALVANIZADO</t>
  </si>
  <si>
    <t>74209/001</t>
  </si>
  <si>
    <t>2.0</t>
  </si>
  <si>
    <t>MOVIMENTAÇÃO DE TERRA (URBANIZAÇÃO)</t>
  </si>
  <si>
    <t>2.1</t>
  </si>
  <si>
    <t>ESCAVACAO MANUAL EM SOLO</t>
  </si>
  <si>
    <t>79517/001</t>
  </si>
  <si>
    <t>2.2</t>
  </si>
  <si>
    <t>ATERRO COM AREIA COM ADENSAMENTO HIDRAULICO</t>
  </si>
  <si>
    <t>2.3</t>
  </si>
  <si>
    <t>CARGA MANUAL DE ENTULHO EM CAMINHAO BASCULANTE 6 M3</t>
  </si>
  <si>
    <t>2.4</t>
  </si>
  <si>
    <t>TRANSPORTE DE ENTULHO COM CAMINHÃO BASCULANTE 6 M3, ATE 0,5 KM</t>
  </si>
  <si>
    <t>3.0</t>
  </si>
  <si>
    <t>INFRA-ESTRUTURA (URBANIZAÇÃO)</t>
  </si>
  <si>
    <t>3.1</t>
  </si>
  <si>
    <t>EMBASAMENTO COM PEDRA ARGAMASSADA</t>
  </si>
  <si>
    <t>3.2</t>
  </si>
  <si>
    <t>ALVENARIA DE EMBASAMENTO DE TIJOLO FURADO</t>
  </si>
  <si>
    <t>3.3</t>
  </si>
  <si>
    <t>CONCRETO ARMADO DOSADO 15 MPA PARA EMBASAMENTO DOS PILARES</t>
  </si>
  <si>
    <t>4.0</t>
  </si>
  <si>
    <t>SUPER-ESTRUTURA (URBANIZAÇÃO)</t>
  </si>
  <si>
    <t>4.1</t>
  </si>
  <si>
    <t>CONCRETO ARMADO DOSADO 15 MPA - PILARES</t>
  </si>
  <si>
    <t>4.2</t>
  </si>
  <si>
    <t>CONCRETO ARMADO DOSADO 15 MPA - CINTA/VIGA INFERIOR</t>
  </si>
  <si>
    <t>4.3</t>
  </si>
  <si>
    <t>CONCRETO ARMADO DOSADO 15 MPA - CINTA/VIGA SUPERIOR</t>
  </si>
  <si>
    <t>4.4</t>
  </si>
  <si>
    <t>LAJE PRE-MOLDADA P/FORRO, SOBRECARGA 100KG/M2, VAOS ATE 3,50M/E=8CM, C/LAJOTAS E CAP.C/CONC FCK=20MPA, 3CM, INTER-EIXO 38CM, C/ESCORAMENTO (REAPR.3X) E FERRAGEM NEGATIVA</t>
  </si>
  <si>
    <t>74202/001</t>
  </si>
  <si>
    <t>4.5</t>
  </si>
  <si>
    <t>CONCRETO ARMADO DOSADO 15 MPA PARA VERGAS E CONTRAVERGAS MOLDADO IN LOCO</t>
  </si>
  <si>
    <t>5.0</t>
  </si>
  <si>
    <t>PAREDES E PAINÉIS (URBANIZAÇÃO)</t>
  </si>
  <si>
    <t>5.1</t>
  </si>
  <si>
    <t>ALVENARIA DE VEDAÇÃO DE BLOCOS CERÂMICOS FURADOS NA HORIZONTAL DE 9X14X19CM, ESP. 9CM</t>
  </si>
  <si>
    <t>6.0</t>
  </si>
  <si>
    <t>COBERTURA (URBANIZAÇÃO)</t>
  </si>
  <si>
    <t>6.1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</si>
  <si>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</si>
  <si>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6.2</t>
  </si>
  <si>
    <t>ESTRUTURA EM MADEIRA APARELHADA, PARA TELHA ONDULADA DE FIBROCIMENTO, ALUMINIO OU PLASTICA, APOIADA EM LAJE OU PAREDE</t>
  </si>
  <si>
    <t>73931/001</t>
  </si>
  <si>
    <t>6.3</t>
  </si>
  <si>
    <t>TELHA TERMOACÚSTICA TRAPEZOIDAL </t>
  </si>
  <si>
    <t>C2450</t>
  </si>
  <si>
    <t>6.4</t>
  </si>
  <si>
    <t>CALHA EM CHAPA DE ACO GALVANIZADO NUMERO 24, DESENVOLVIMENTO DE 33CM</t>
  </si>
  <si>
    <t>M</t>
  </si>
  <si>
    <t>6.5</t>
  </si>
  <si>
    <t>RUFO EM CONCRETO ARMADO, LARGURA 40CM, ESPESSURA 3CM</t>
  </si>
  <si>
    <t>74098/001</t>
  </si>
  <si>
    <t>6.6</t>
  </si>
  <si>
    <t>CHAPIM DE CONCRETO APARENTE COM ACABAMENTO DESEMPENADO, FORMA DE COMPENSADO PLASTIFICADO (MADEIRIT) DE 14 X 10 CM, FUNDIDO NO LOCAL</t>
  </si>
  <si>
    <t>7.0</t>
  </si>
  <si>
    <t>ESQUADRIAS (URBANIZAÇÃO)</t>
  </si>
  <si>
    <t>7.1</t>
  </si>
  <si>
    <t>PORTA DE FERRO, DE ABRIR, TIPO GRADE COM CHAPA, 87X210CM, COM GUARNICOES</t>
  </si>
  <si>
    <t>73933/001</t>
  </si>
  <si>
    <t>7.2</t>
  </si>
  <si>
    <t>GRADE DE FERRO EM BARRA CHATA 3/16"</t>
  </si>
  <si>
    <t>73932/001</t>
  </si>
  <si>
    <t>7.3</t>
  </si>
  <si>
    <t>JANELA DE CORRER EM ALUMINIO, FOLHAS PARA VIDRO, COM BANDEIRA, INCLUSO GUARNICAO E VIDRO LISO INCOLOR</t>
  </si>
  <si>
    <t>74067/002</t>
  </si>
  <si>
    <t>7.4</t>
  </si>
  <si>
    <t>JANELA DE ALUMINIO TIPO MAXIM AR, INCLUSO GUARNICOES E VIDRO FANTASIA</t>
  </si>
  <si>
    <t>73809/001</t>
  </si>
  <si>
    <t>8.0</t>
  </si>
  <si>
    <t>REVESTIMENTO (URBANIZAÇÃO)</t>
  </si>
  <si>
    <t>8.1</t>
  </si>
  <si>
    <t>CHAPISCO, TRAÇO 1:3 </t>
  </si>
  <si>
    <t>8.2</t>
  </si>
  <si>
    <t>EMBOÇO, PARA RECEBIMENTO DE CERÂMICA, EM ARGAMASSA TRAÇO 1:2:8, ESPESSURA DE 20MM</t>
  </si>
  <si>
    <t>8.3</t>
  </si>
  <si>
    <t>MASSA ÚNICA EM ARGAMASSA TRAÇO 1:2:8, APL MANUALMENTE EM FACES INTERNAS, ESPES DE 20MM</t>
  </si>
  <si>
    <t>8.4</t>
  </si>
  <si>
    <t>REVESTIMENTO CERÂMICO PARA PISO COM PLACAS TIPO GRÊS DE DIMENSÕES 35X35 CM APLICADA EM AMBIENTES DE ÁREA MENOR QUE 5 M2</t>
  </si>
  <si>
    <t>8.5</t>
  </si>
  <si>
    <t>REVESTIMENTO METÁLICO, TIPO "REYNOBOND" DUAS CHAPAS</t>
  </si>
  <si>
    <t>C2222</t>
  </si>
  <si>
    <t>8.6</t>
  </si>
  <si>
    <t>CERÂMICA ESMALTADA C/ ARG. PRÉ-FABRICADA ATÉ 10x10cm (100cm²) - DECORATIVA - P/ PAREDE</t>
  </si>
  <si>
    <t>C4442</t>
  </si>
  <si>
    <t>8.7</t>
  </si>
  <si>
    <t>FORRO PVC - LAMBRI (100x6000 OU 200x6000)mm - FORNECIMENTO E MONTAGEM</t>
  </si>
  <si>
    <t>C4468</t>
  </si>
  <si>
    <t>9.0</t>
  </si>
  <si>
    <t>PINTURA (URBANIZAÇÃO)</t>
  </si>
  <si>
    <t>9.1</t>
  </si>
  <si>
    <t>APLICAÇÃO E LIXAMENTO DE MASSA LÁTEX EM TETO, DUAS DEMÃOS</t>
  </si>
  <si>
    <t>9.2</t>
  </si>
  <si>
    <t>APLICAÇÃO MANUAL DE PINTURA COM TINTA LÁTEX PVA EM TETO, DUAS DEMÃOS</t>
  </si>
  <si>
    <t>9.3</t>
  </si>
  <si>
    <t>APLICAÇÃO DE FUNDO SELADOR LÁTEX PVA EM PAREDES, UMA DEMÃO</t>
  </si>
  <si>
    <t>9.4</t>
  </si>
  <si>
    <t>APLICAÇÃO E LIXAMENTO DE MASSA LÁTEX EM PAREDES, DUAS DEMÃOS</t>
  </si>
  <si>
    <t>9.5</t>
  </si>
  <si>
    <t>APLICAÇÃO MANUAL DE PINTURA COM TINTA LÁTEX ACRÍLICA EM PAREDES, DUAS DEMÃOS</t>
  </si>
  <si>
    <t>9.6</t>
  </si>
  <si>
    <t>APLICAÇÃO MANUAL DE PINTURA COM TINTA TEXTURIZADA ACRÍLICA EM PAREDES EXTERNAS, UMA COR</t>
  </si>
  <si>
    <t>9.7</t>
  </si>
  <si>
    <t>PINTURA ESMALTE ACETINADO, DUAS DEMAOS, SOBRE SUPERFICIE METALICA</t>
  </si>
  <si>
    <t>73924/002</t>
  </si>
  <si>
    <t>9.8</t>
  </si>
  <si>
    <t>PINTURA POSTE RETO DE ACO 3,5 A 6M C/1 DEMAO D/TINTA GRAFITE C/PROPRIEDADES DE PRIMER E ACABAMENTO - OBS: C/ALTO TEOR DE ZARCAO</t>
  </si>
  <si>
    <t>79499/001</t>
  </si>
  <si>
    <t>10.0</t>
  </si>
  <si>
    <t>PISO E PAVIMENTAÇÃO (URBANIZAÇÃO)</t>
  </si>
  <si>
    <t>10.1</t>
  </si>
  <si>
    <t>CONTRAPISO/LASTRO DE CONCRETO NAO-ESTRUTURAL, E=5CM</t>
  </si>
  <si>
    <t>73907/003</t>
  </si>
  <si>
    <t>10.2</t>
  </si>
  <si>
    <t>ARGAMASSA TRAÇO 1:3 (CIMENTO E AREIA MÉDIA) PARA CONTRAPISO</t>
  </si>
  <si>
    <t>10.3</t>
  </si>
  <si>
    <t>10.4</t>
  </si>
  <si>
    <t>10.5</t>
  </si>
  <si>
    <t>PAVIMENTACAO EM BLOCOS DE CONCRETO SEXTAVADO, ESPESSURA 8 CM, COM JUNTA RÍGIDA, EM ARGAMASSA NO TRACO 1:4 (CIMENTO E AREIA), COM APOIO DE CAMINHÃO TOCO</t>
  </si>
  <si>
    <t>73764/002</t>
  </si>
  <si>
    <t>10.6</t>
  </si>
  <si>
    <t>10.7</t>
  </si>
  <si>
    <t>10.8</t>
  </si>
  <si>
    <t>MEIO FIO</t>
  </si>
  <si>
    <t>11.0</t>
  </si>
  <si>
    <t>INSTALAÇÕES (URBANIZAÇÃO)</t>
  </si>
  <si>
    <t>11.1</t>
  </si>
  <si>
    <t>INSTALAÇÕES ELÉTRICAS</t>
  </si>
  <si>
    <t>11.1.1</t>
  </si>
  <si>
    <t>PT</t>
  </si>
  <si>
    <t>C. ANALÍTICA</t>
  </si>
  <si>
    <t>11.1.2</t>
  </si>
  <si>
    <t>TOMADA DE EMBUTIR 2P+T 10A/250V C/ PLACA - FORNECIMENTO E INSTALACAO</t>
  </si>
  <si>
    <t>11.1.3</t>
  </si>
  <si>
    <t>PONTO DE LUZ NO TETO, COM ELETRODUTO DE PVC FLEXÍVEL SANFONADO EMBUTIDO 3/4''</t>
  </si>
  <si>
    <t>ORSE</t>
  </si>
  <si>
    <t>11.1.4</t>
  </si>
  <si>
    <t>PONTO TELEFÔNICO, MATERIAL E EXECUÇÃO</t>
  </si>
  <si>
    <t>C1951</t>
  </si>
  <si>
    <t>11.1.5</t>
  </si>
  <si>
    <t>LUMINÁRIA FLUORESCENTE COMPLETA ( 4 X 32 )W - PLAFON</t>
  </si>
  <si>
    <t>C1636</t>
  </si>
  <si>
    <t>11.1.6</t>
  </si>
  <si>
    <t>LUMINARIA TIPO SPOT PARA 1 LAMPADA INCANDESCENTE/FLUORESCENTE COMPACTA</t>
  </si>
  <si>
    <t>74094/001</t>
  </si>
  <si>
    <t>11.1.7</t>
  </si>
  <si>
    <t>LAMPADA FLUORESCENTE 20W - FORNECIMENTO E INSTALACAO</t>
  </si>
  <si>
    <t>11.1.8</t>
  </si>
  <si>
    <t>POSTE DE ACO CONICO CONTINUO RETO, FLANGEADO, H=9M - FORNECIMENTO E INSTALACAO</t>
  </si>
  <si>
    <t>73769/004</t>
  </si>
  <si>
    <t>11.2</t>
  </si>
  <si>
    <t>INSTALAÇÕES HIDRÁULICAS</t>
  </si>
  <si>
    <t>11.2.1</t>
  </si>
  <si>
    <t>PONTO HIDRÁULICO, MATERIAL E EXECUÇÃO</t>
  </si>
  <si>
    <t>C1948</t>
  </si>
  <si>
    <t>11.3</t>
  </si>
  <si>
    <t>INSTALAÇÕES SANITÁRIA</t>
  </si>
  <si>
    <t>11.3.1</t>
  </si>
  <si>
    <t>PONTO SANITÁRIO, MATERIAL E EXECUÇÃO</t>
  </si>
  <si>
    <t>C1950</t>
  </si>
  <si>
    <t>11.3.2</t>
  </si>
  <si>
    <t>PONTO DE ESGOTO EM PVC P/ TANQUE E LAVATÓRIO MSD FUNASA TIPO 10 (MATERIAL E EXECUÇÃO)</t>
  </si>
  <si>
    <t>C4602</t>
  </si>
  <si>
    <t>11.3.3</t>
  </si>
  <si>
    <t>TUBO PVC, SERIE NORMAL, ESGOTO PREDIAL, DN 100 MM, FORNECIDO E INSTALADO EM RAMAL DE DESCARGA OU RAMAL DE ESGOTO SANITÁRIO</t>
  </si>
  <si>
    <t>12.0</t>
  </si>
  <si>
    <t>BANCADAS, LOUÇAS E METAIS (URBANIZAÇÃO)</t>
  </si>
  <si>
    <t>12.1</t>
  </si>
  <si>
    <t>FECHADURA DE EMBUTIR PARA PORTAS INTERNAS, COMPLETA, ACABAMENTO PADRÃO POPULAR, COM EXECUÇÃO DE FURO - FORNECIMENTO E INSTALAÇÃO</t>
  </si>
  <si>
    <t>12.2</t>
  </si>
  <si>
    <t>TORNEIRA CROMADA DE MESA, 1/2" OU 3/4", PARA LAVATÓRIO, PADRÃO POPULAR - FORNECIMENTO E INSTALAÇÃO.</t>
  </si>
  <si>
    <t>12.3</t>
  </si>
  <si>
    <t>VASO SANITÁRIO SIFONADO COM CAIXA ACOPLADA LOUÇA BRANCA - PADRÃO MÉDIO , INCLUSO ENGATE FLEXÍVEL EM PLÁSTICO BRANCO, 1/2" X 40CM - FORNECIMENTO E INSTALAÇÃO</t>
  </si>
  <si>
    <t>12.4</t>
  </si>
  <si>
    <t>KIT DE REGISTRO DE GAVETA BRUTO DE LATÃO ½, COM 02 ADAPTADORES CURTOS COM BOLSA E ROSCA, ROSCÁVEL, INSTALADO EM RAMAL DE ÁGUA FORNECIMENTO E INSTALAÇÃO</t>
  </si>
  <si>
    <t>12.5</t>
  </si>
  <si>
    <t>KIT DE REGISTRO DE PRESSÃO BRUTO DE LATÃO ½, INCLUSIVE CONEXÕES, ROSCÁVEL, INSTALADO EM RAMAL DE ÁGUA FRIA FORNECIMENTO E INSTALAÇÃO</t>
  </si>
  <si>
    <t>12.6</t>
  </si>
  <si>
    <t>PORTA SABÃO LÍQUIDO DE PLÁSTICO ABS BRANCO</t>
  </si>
  <si>
    <t>12.7</t>
  </si>
  <si>
    <t>PORTA-PAPEL TOALHA EM PLÁSTICO ABS BRANCO COM ACRÍLICO</t>
  </si>
  <si>
    <t>12.8</t>
  </si>
  <si>
    <t>PORTA-PAPEL HIGIÊNICO EM PLÁSTICO ABS BRANCO</t>
  </si>
  <si>
    <t>12.9</t>
  </si>
  <si>
    <t>CAIXA SIFONADA, PVC, DN 100 X 100 X 50 MM, FORNECIDA E INSTALADA</t>
  </si>
  <si>
    <t>12.10</t>
  </si>
  <si>
    <t>LAVATÓRIO LOUÇA BRANCA SUSPENSO</t>
  </si>
  <si>
    <t>13.0</t>
  </si>
  <si>
    <t>DIVERSOS (URBANIZAÇÃO)</t>
  </si>
  <si>
    <t>13.1</t>
  </si>
  <si>
    <t>LIMPEZA FINAL DA OBRA</t>
  </si>
  <si>
    <t>13.2</t>
  </si>
  <si>
    <t>PODA DE ARVORES, COM LIMPEZA DE GALHOS SECOS E RETIRADA DE PARASITAS,INCLUINDO REMOCAO DE ENTULHO</t>
  </si>
  <si>
    <t>13.3</t>
  </si>
  <si>
    <t>PLANTIO DE ARBUSTO COM ALTURA 50 A 100CM, EM CAVA DE 60X60X60CM</t>
  </si>
  <si>
    <t>13.4</t>
  </si>
  <si>
    <t>PLANTIO DE GRAMA BATATAIS EM PLACAS</t>
  </si>
  <si>
    <t>74236/001</t>
  </si>
  <si>
    <t>Valor Parcial da Obra</t>
  </si>
  <si>
    <t>II - PLANILHA ORÇAMENTÁRIA DA REFORMA DA FACHADA DO HOSPITAL</t>
  </si>
  <si>
    <t>14.0</t>
  </si>
  <si>
    <t>SERVIÇOS PRELIMINARES (FACHADA)</t>
  </si>
  <si>
    <t>14.1</t>
  </si>
  <si>
    <t>RETIRADA DE ESQUADRIAS METALICAS (JANELAS)</t>
  </si>
  <si>
    <t>14.2</t>
  </si>
  <si>
    <t>RETIRADA DE ESTRUTURA DE MADEIRA COM TESOURAS PARA TELHAS CERAMICAS</t>
  </si>
  <si>
    <t>14.3</t>
  </si>
  <si>
    <t>RETIRADA DE TELHAS DE CERAMICAS</t>
  </si>
  <si>
    <t>15.0</t>
  </si>
  <si>
    <t>PAREDES E PAINÉIS (FACHADA)</t>
  </si>
  <si>
    <t>15.1</t>
  </si>
  <si>
    <t>16.0</t>
  </si>
  <si>
    <t>COBERTURA (FACHADA)</t>
  </si>
  <si>
    <t>16.1</t>
  </si>
  <si>
    <t>16.2</t>
  </si>
  <si>
    <t>16.3</t>
  </si>
  <si>
    <t>16.4</t>
  </si>
  <si>
    <t>16.5</t>
  </si>
  <si>
    <t>17.0</t>
  </si>
  <si>
    <t>ESQUADRIAS (FACHADA)</t>
  </si>
  <si>
    <t>17.1</t>
  </si>
  <si>
    <t>17.2</t>
  </si>
  <si>
    <t>PELÍCULA DE INSULFILM, FORNECIMENTO E APLICAÇÃO</t>
  </si>
  <si>
    <t>C1873</t>
  </si>
  <si>
    <t>18.0</t>
  </si>
  <si>
    <t>REVESTIMENTO (FACHADA)</t>
  </si>
  <si>
    <t>18.1</t>
  </si>
  <si>
    <t>18.2</t>
  </si>
  <si>
    <t>18.3</t>
  </si>
  <si>
    <t>18.4</t>
  </si>
  <si>
    <t>19.0</t>
  </si>
  <si>
    <t>PINTURA (FACHADA)</t>
  </si>
  <si>
    <t>19.1</t>
  </si>
  <si>
    <t>APLICAÇÃO MANUAL DE FUNDO SELADOR ACRÍLICO EM PAREDES EXTERNAS</t>
  </si>
  <si>
    <t>19.2</t>
  </si>
  <si>
    <t>19.3</t>
  </si>
  <si>
    <t>19.4</t>
  </si>
  <si>
    <t>APLICAÇÃO MANUAL DE PINTURA COM TINTA TEXTURIZADA ACRÍLICA EM PAREDES EXTERNAS, DUAS CORES</t>
  </si>
  <si>
    <t>20.0</t>
  </si>
  <si>
    <t>INSTALAÇÕES (FACHADA)</t>
  </si>
  <si>
    <t>20.1</t>
  </si>
  <si>
    <t>20.2</t>
  </si>
  <si>
    <t>20.3</t>
  </si>
  <si>
    <t>PONTO ELÉTRICO, MATERIAL E EXECUÇÃO</t>
  </si>
  <si>
    <t>COMP. ANALÍTICA</t>
  </si>
  <si>
    <t>21.0</t>
  </si>
  <si>
    <t>DIVERSOS (FACHADA)</t>
  </si>
  <si>
    <t>21.1</t>
  </si>
  <si>
    <t>21.2</t>
  </si>
  <si>
    <t>CONFECÇÃO DE LETREIRO EM CHAPA GALVANIZADA COM PINTURA AUTOMOTIVA ILUMINADA POR MODELOS LED COM ALTURA DE 0,70 CM, FACHADA INTERNA</t>
  </si>
  <si>
    <t>CJ</t>
  </si>
  <si>
    <t>COTAÇÃO</t>
  </si>
  <si>
    <t>21.3</t>
  </si>
  <si>
    <t>CONFECÇÃO DE LETREIRO EM CHAPA GALVANIZADA COM PINTURA AUTOMOTIVA ILUMINADA POR MODELOS LED COM ALTURA DE 0,43 CM, FACHADA ENTRADA</t>
  </si>
  <si>
    <t>21.4</t>
  </si>
  <si>
    <t>CONFECÇÃO DE PLACA EM ACRÍLICO DE 1,30x2,70 M ADESIVADA COM ILUMINAÇÃO INTERNA CAIXA EM ACM, FACHADA INTERNA</t>
  </si>
  <si>
    <t>21.5</t>
  </si>
  <si>
    <t>CONFECÇÃO DE PLACA EM ACRÍLICO DE 1,50x0,70 M ADESIVADA COM ILUMINAÇÃO INTERNA CAIXA EM ACM, FACHADA INTERNA</t>
  </si>
  <si>
    <t>21.6</t>
  </si>
  <si>
    <t>CONFECÇÃO DE LETREIRO EM CHAPA GALVANIZADA COM PINTURA AUTOMOTIVA SEM ILUMINAÇÃO COM ALTURA DE 0,43 CM</t>
  </si>
  <si>
    <t>21.7</t>
  </si>
  <si>
    <t>21.8</t>
  </si>
  <si>
    <t>21.9</t>
  </si>
  <si>
    <t>VALOR TOTAL DA OBRA</t>
  </si>
  <si>
    <t>Todos os preços foram retirados das tabelas SINAPI, SEINFRA e ORSE, de SETEMBRO/2015 (COM DESONERAÇÃO), conforme lei federal Nº 12.844, de 19 de julho de 2013. Leis Sociais de 89,46% e BDI de 24,93%.</t>
  </si>
  <si>
    <t>MEMÓRIA DE CÁCULO DA ÁREA ADMINISTRATIVA</t>
  </si>
  <si>
    <t>ITENS</t>
  </si>
  <si>
    <t>COMP. (M)</t>
  </si>
  <si>
    <t>LARGURA (M)</t>
  </si>
  <si>
    <t>ALTURA (M)</t>
  </si>
  <si>
    <t>ÁREA (M²)</t>
  </si>
  <si>
    <t>VOLUME (M³)</t>
  </si>
  <si>
    <t>QUANTIDADE</t>
  </si>
  <si>
    <t>TOTAL</t>
  </si>
  <si>
    <t>CALÇADA</t>
  </si>
  <si>
    <t>MURETA</t>
  </si>
  <si>
    <t>GUARITA X1</t>
  </si>
  <si>
    <t>GUARITA X2</t>
  </si>
  <si>
    <t>GUARITA X3</t>
  </si>
  <si>
    <t>GUARITA Y1</t>
  </si>
  <si>
    <t>GUARITA Y2</t>
  </si>
  <si>
    <t>GUARITA Y3</t>
  </si>
  <si>
    <t>X1</t>
  </si>
  <si>
    <t>X2</t>
  </si>
  <si>
    <t>X3</t>
  </si>
  <si>
    <t>X4</t>
  </si>
  <si>
    <t>Y1</t>
  </si>
  <si>
    <t>GUARITA</t>
  </si>
  <si>
    <t>WC GUARITA</t>
  </si>
  <si>
    <t>BASE DOS PILARES</t>
  </si>
  <si>
    <t>PILARES_GUARITA</t>
  </si>
  <si>
    <t>PILARES_MURETAS</t>
  </si>
  <si>
    <t>PILARES_PAREDÕES</t>
  </si>
  <si>
    <t>GUARITA_PORTA</t>
  </si>
  <si>
    <t>GUARITA_JANELAS</t>
  </si>
  <si>
    <t>WC GUARITA_PORTA</t>
  </si>
  <si>
    <t>WC GUARITA_BASCULANTE</t>
  </si>
  <si>
    <t>ENTRADA SOBRE A GUARITA</t>
  </si>
  <si>
    <t>TETO DA GUARITA</t>
  </si>
  <si>
    <t>BANHEIRO DA GUARITA</t>
  </si>
  <si>
    <t>PISO DA GUARITA</t>
  </si>
  <si>
    <t>FORRO DA GUARITA</t>
  </si>
  <si>
    <t>POSTES</t>
  </si>
  <si>
    <t>BLOKRET SEXTAVADO</t>
  </si>
  <si>
    <t>TIJOLINHO DE CONCRETO</t>
  </si>
  <si>
    <t>CALÇADA EXTERNA</t>
  </si>
  <si>
    <t>CALÇADA INTERNA RAMPAS</t>
  </si>
  <si>
    <t>CALÇADA INTERNA</t>
  </si>
  <si>
    <t> MEIO FIO INTERNO E EXTERNO</t>
  </si>
  <si>
    <t>PARTE INTERNA DA URBANIZAÇÃO</t>
  </si>
  <si>
    <t>ÁREA EXTERNA</t>
  </si>
  <si>
    <t>MEMÓRIA DE CÁCULO DA FACHADA</t>
  </si>
  <si>
    <t>FACHADA 01</t>
  </si>
  <si>
    <t>FACHADA 02 - MARQUISE</t>
  </si>
  <si>
    <t>FACHADA 02</t>
  </si>
  <si>
    <t>PARTE INTERNA DA FACHADA 01</t>
  </si>
  <si>
    <t>PLATIBANDA DA FACHADA 01</t>
  </si>
  <si>
    <t>PLATIBANDA DA FACHADA 02</t>
  </si>
  <si>
    <t>MADEIRA</t>
  </si>
  <si>
    <t>TELHA</t>
  </si>
  <si>
    <t>CRONOGRAMA FÍSICO FINANCEIRO</t>
  </si>
  <si>
    <t>DISCRIMINAÇÃO</t>
  </si>
  <si>
    <t>% DO ITEM</t>
  </si>
  <si>
    <t>VALOR DO ITEM</t>
  </si>
  <si>
    <t>EXECUTADO</t>
  </si>
  <si>
    <t>SALDO PARA CONCLUSÃO (R$)</t>
  </si>
  <si>
    <t>30 DIAS</t>
  </si>
  <si>
    <t>60 DIAS</t>
  </si>
  <si>
    <t>90 DIAS</t>
  </si>
  <si>
    <t>VALOR</t>
  </si>
  <si>
    <t>TOTAL DA ÁREA ADMINISTRATIVA</t>
  </si>
  <si>
    <t>TOTAL DO PERÍODO (%)</t>
  </si>
  <si>
    <t>TOTAL DA FACHADA</t>
  </si>
  <si>
    <t>CRONOGRAMA FÍSICO FINANCEIRO - RESUMO</t>
  </si>
  <si>
    <t>SERVIÇOS PRELIMINARES (URB/FAC)</t>
  </si>
  <si>
    <t>MOVIMENTAÇÃO DE TERRA (URB)</t>
  </si>
  <si>
    <t>INFRA-ESTRUTURA (URB)</t>
  </si>
  <si>
    <t>SUPER-ESTRUTURA (URB)</t>
  </si>
  <si>
    <t>PAREDES E PAINÉIS (URB/FAC)</t>
  </si>
  <si>
    <t>COBERTURA (URB/FAC)</t>
  </si>
  <si>
    <t>ESQUADRIAS (URB/FAC)</t>
  </si>
  <si>
    <t>REVESTIMENTO (URB/FAC)</t>
  </si>
  <si>
    <t>PINTURA (URB/FAC)</t>
  </si>
  <si>
    <t>PISO E PAVIMENTAÇÃO (URB)</t>
  </si>
  <si>
    <t>INSTALAÇÕES (URB/FAC)</t>
  </si>
  <si>
    <t>BANCADAS, LOUÇAS E METAIS (URB)</t>
  </si>
  <si>
    <t>DIVERSOS (URB/FAC)</t>
  </si>
  <si>
    <t>COMPOSICOES ANALITICAS</t>
  </si>
  <si>
    <t>UNID:</t>
  </si>
  <si>
    <t>CÓDIGO</t>
  </si>
  <si>
    <t>DESCRIÇÃO</t>
  </si>
  <si>
    <t>UNIDADE</t>
  </si>
  <si>
    <t>COEFIC</t>
  </si>
  <si>
    <t>PREÇO</t>
  </si>
  <si>
    <t>MÃO DE OBRA</t>
  </si>
  <si>
    <t>ELETRICISTA COM ENCARGOS COMPLEMENTARES</t>
  </si>
  <si>
    <t>H</t>
  </si>
  <si>
    <t>AUXILIAR DE ELETRICISTA COM ENCARGOS COMPLEMENTARES</t>
  </si>
  <si>
    <t>SERVENTE COM ENCARGOS COMPLEMENTARES</t>
  </si>
  <si>
    <t>MATERIAL</t>
  </si>
  <si>
    <t>CURVA PVC 90G P/ ELETRODUTO ROSCAVEL 3/4"</t>
  </si>
  <si>
    <t>ESPELHO EM PVC 4X2"</t>
  </si>
  <si>
    <t>CAIXA PVC 4" X 2" P/ ELETRODUTO "</t>
  </si>
  <si>
    <t>DISJUNTOR MONOFASICO 15A, 2KA (220V)</t>
  </si>
  <si>
    <t>FITA ISOLANTE ADESIVA ANTICHAMA, USO ATE 750 V, EM ROLO DE 19 MM X 5 M</t>
  </si>
  <si>
    <t>ELETRODUTO DE PVC ROSCÁVEL DE 3/4, SEM LUVA</t>
  </si>
  <si>
    <t>LUVA PVC ROSCAVEL P/ ELETRODUTO 3/4"</t>
  </si>
  <si>
    <t>CABO ISOLADO PVC 750V 2,5 MM2</t>
  </si>
  <si>
    <t>SERVIÇO</t>
  </si>
  <si>
    <t>ENCARGOS</t>
  </si>
  <si>
    <t>TOTAL GERAL</t>
  </si>
  <si>
    <t>COMPOSIÇÃO DO BDI</t>
  </si>
  <si>
    <t>Percentuais (%)</t>
  </si>
  <si>
    <t>1. LUCRO</t>
  </si>
  <si>
    <t>2. ADMINISTRAÇÃO CENTRAL</t>
  </si>
  <si>
    <t>3. DESPESAS FINANCEIRAS</t>
  </si>
  <si>
    <t>4. ISSQN</t>
  </si>
  <si>
    <t>5. PIS</t>
  </si>
  <si>
    <t>6. CPRB (2% SOBRE FATURAMENTO)</t>
  </si>
  <si>
    <t>7. COFINS</t>
  </si>
  <si>
    <t>8. GARANTIAS, SEGUROS E RISCOS</t>
  </si>
  <si>
    <t>X(%)=</t>
  </si>
  <si>
    <t>Y(%)=</t>
  </si>
  <si>
    <t>Z(%)=</t>
  </si>
  <si>
    <t>l(%)=</t>
  </si>
  <si>
    <t>Aplicando na fórmula acima, temos:</t>
  </si>
  <si>
    <t>BDI(%)=</t>
  </si>
  <si>
    <t>Teresina (PI), OUTUBRO de 2015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</si>
</sst>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(* #,##0.00_);_(* \(#,##0.00\);_(* \-??_);_(@_)"/>
    <numFmt numFmtId="166" formatCode="0%"/>
    <numFmt numFmtId="167" formatCode="0.00%"/>
    <numFmt numFmtId="168" formatCode="_-&quot;R$ &quot;* #,##0.00_-;&quot;-R$ &quot;* #,##0.00_-;_-&quot;R$ &quot;* \-??_-;_-@_-"/>
    <numFmt numFmtId="169" formatCode="0.00"/>
    <numFmt numFmtId="170" formatCode="_-* #,##0.00_-;\-* #,##0.00_-;_-* \-??_-;_-@_-"/>
    <numFmt numFmtId="171" formatCode="0\.00"/>
    <numFmt numFmtId="172" formatCode="#,##0.00"/>
    <numFmt numFmtId="173" formatCode="0.0000"/>
  </numFmts>
  <fonts count="4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A6A6A6"/>
      <name val="Calibri"/>
      <family val="2"/>
      <charset val="1"/>
    </font>
    <font>
      <sz val="11"/>
      <color rgb="FFF2F2F2"/>
      <name val="Calibri"/>
      <family val="2"/>
      <charset val="1"/>
    </font>
    <font>
      <b val="true"/>
      <sz val="11"/>
      <color rgb="FF000000"/>
      <name val="Lucida Sans"/>
      <family val="2"/>
      <charset val="1"/>
    </font>
    <font>
      <b val="true"/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32"/>
      <color rgb="FF000000"/>
      <name val="Arial Narrow"/>
      <family val="2"/>
    </font>
    <font>
      <b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i val="true"/>
      <u val="single"/>
      <sz val="11"/>
      <color rgb="FF000000"/>
      <name val="Calibri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 val="true"/>
      <sz val="12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sz val="8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sz val="24"/>
      <color rgb="FF000000"/>
      <name val="Arial Narrow"/>
      <family val="2"/>
    </font>
    <font>
      <b val="true"/>
      <sz val="10"/>
      <name val="Calibri"/>
      <family val="2"/>
      <charset val="1"/>
    </font>
    <font>
      <b val="true"/>
      <sz val="14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name val="Calibri"/>
      <family val="2"/>
      <charset val="1"/>
    </font>
    <font>
      <sz val="11"/>
      <name val="Calibri"/>
      <family val="2"/>
      <charset val="1"/>
    </font>
    <font>
      <sz val="12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i val="true"/>
      <sz val="12"/>
      <color rgb="FF000000"/>
      <name val="Cambria"/>
      <family val="1"/>
      <charset val="1"/>
    </font>
    <font>
      <i val="true"/>
      <sz val="12"/>
      <color rgb="FF000000"/>
      <name val="Cambria"/>
      <family val="1"/>
      <charset val="1"/>
    </font>
    <font>
      <i val="true"/>
      <sz val="10"/>
      <color rgb="FF000000"/>
      <name val="Cambria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4"/>
      <color rgb="FF000000"/>
      <name val="Calibri"/>
      <family val="2"/>
      <charset val="1"/>
    </font>
    <font>
      <b val="true"/>
      <sz val="18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9900"/>
      </patternFill>
    </fill>
    <fill>
      <patternFill patternType="solid">
        <fgColor rgb="FFA6A6A6"/>
        <bgColor rgb="FF8497B0"/>
      </patternFill>
    </fill>
    <fill>
      <patternFill patternType="solid">
        <fgColor rgb="FF8497B0"/>
        <bgColor rgb="FFA6A6A6"/>
      </patternFill>
    </fill>
    <fill>
      <patternFill patternType="solid">
        <fgColor rgb="FFFFE699"/>
        <bgColor rgb="FFFFC7CE"/>
      </patternFill>
    </fill>
    <fill>
      <patternFill patternType="solid">
        <fgColor rgb="FFD9D9D9"/>
        <bgColor rgb="FFF2F2F2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7F7F7F"/>
      </left>
      <right/>
      <top style="thin">
        <color rgb="FF7F7F7F"/>
      </top>
      <bottom style="thin">
        <color rgb="FF7F7F7F"/>
      </bottom>
      <diagonal/>
    </border>
    <border diagonalUp="false" diagonalDown="false">
      <left/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>
        <color rgb="FF808080"/>
      </left>
      <right/>
      <top style="medium">
        <color rgb="FF808080"/>
      </top>
      <bottom/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/>
      <right style="medium">
        <color rgb="FF808080"/>
      </right>
      <top style="medium">
        <color rgb="FF808080"/>
      </top>
      <bottom/>
      <diagonal/>
    </border>
    <border diagonalUp="false" diagonalDown="false">
      <left style="medium">
        <color rgb="FF808080"/>
      </left>
      <right style="medium">
        <color rgb="FF808080"/>
      </right>
      <top/>
      <bottom/>
      <diagonal/>
    </border>
    <border diagonalUp="false" diagonalDown="false">
      <left style="medium">
        <color rgb="FF808080"/>
      </left>
      <right/>
      <top/>
      <bottom style="medium">
        <color rgb="FF808080"/>
      </bottom>
      <diagonal/>
    </border>
    <border diagonalUp="false" diagonalDown="false">
      <left/>
      <right/>
      <top/>
      <bottom style="medium">
        <color rgb="FF808080"/>
      </bottom>
      <diagonal/>
    </border>
    <border diagonalUp="false" diagonalDown="false">
      <left/>
      <right style="medium">
        <color rgb="FF808080"/>
      </right>
      <top/>
      <bottom style="medium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0" xfId="19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2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5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14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1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12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2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9" fillId="2" borderId="1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2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2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0" fillId="2" borderId="13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2" borderId="1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2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2" borderId="1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3" fillId="4" borderId="23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" fillId="2" borderId="1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2" borderId="1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9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0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0" fillId="2" borderId="0" xfId="1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9" fillId="2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0" borderId="3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27" fillId="2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7" fillId="2" borderId="1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7" fillId="7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27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7" fillId="2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28" fillId="8" borderId="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7" fillId="2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28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3" fillId="2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23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3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9" fillId="4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2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3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23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3" fillId="2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8" fillId="8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2" borderId="1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2" borderId="2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2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" borderId="2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3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8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8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8" borderId="3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7" fillId="8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8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8" fillId="2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8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36" fillId="4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2" fontId="20" fillId="2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20" fillId="2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19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39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5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0" fillId="2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72" fontId="20" fillId="2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22" fillId="2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20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0" fillId="4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2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22" fillId="2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72" fontId="22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22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1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2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2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42" fillId="2" borderId="3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3" fontId="43" fillId="2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9" fontId="42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2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42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3" fontId="43" fillId="2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2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43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4" fillId="2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45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5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2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3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45" fillId="2" borderId="3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5" fillId="2" borderId="3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3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3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9" fillId="2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_Planilha Elesbão Veloso - Urgência e Acesso Lavanderia" xfId="21" builtinId="53" customBuiltin="true"/>
    <cellStyle name="Separador de milhares 2" xfId="22" builtinId="53" customBuiltin="true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7F7F7F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externalLink" Target="externalLinks/externalLink1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wmf"/><Relationship Id="rId3" Type="http://schemas.openxmlformats.org/officeDocument/2006/relationships/image" Target="../media/image9.wmf"/><Relationship Id="rId4" Type="http://schemas.openxmlformats.org/officeDocument/2006/relationships/image" Target="../media/image10.wmf"/><Relationship Id="rId5" Type="http://schemas.openxmlformats.org/officeDocument/2006/relationships/image" Target="../media/image11.wmf"/><Relationship Id="rId6" Type="http://schemas.openxmlformats.org/officeDocument/2006/relationships/image" Target="../media/image1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74520</xdr:colOff>
      <xdr:row>0</xdr:row>
      <xdr:rowOff>50400</xdr:rowOff>
    </xdr:from>
    <xdr:to>
      <xdr:col>19</xdr:col>
      <xdr:colOff>395640</xdr:colOff>
      <xdr:row>11</xdr:row>
      <xdr:rowOff>157320</xdr:rowOff>
    </xdr:to>
    <xdr:pic>
      <xdr:nvPicPr>
        <xdr:cNvPr id="0" name="Imagem 1" descr=""/>
        <xdr:cNvPicPr/>
      </xdr:nvPicPr>
      <xdr:blipFill>
        <a:blip r:embed="rId1"/>
        <a:srcRect l="10167" t="43846" r="8674" b="25077"/>
        <a:stretch/>
      </xdr:blipFill>
      <xdr:spPr>
        <a:xfrm>
          <a:off x="1350720" y="50400"/>
          <a:ext cx="11170080" cy="220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50760</xdr:colOff>
      <xdr:row>13</xdr:row>
      <xdr:rowOff>2880</xdr:rowOff>
    </xdr:from>
    <xdr:to>
      <xdr:col>19</xdr:col>
      <xdr:colOff>431280</xdr:colOff>
      <xdr:row>26</xdr:row>
      <xdr:rowOff>109800</xdr:rowOff>
    </xdr:to>
    <xdr:pic>
      <xdr:nvPicPr>
        <xdr:cNvPr id="1" name="Imagem 2" descr=""/>
        <xdr:cNvPicPr/>
      </xdr:nvPicPr>
      <xdr:blipFill>
        <a:blip r:embed="rId2"/>
        <a:srcRect l="10219" t="36115" r="8480" b="27429"/>
        <a:stretch/>
      </xdr:blipFill>
      <xdr:spPr>
        <a:xfrm>
          <a:off x="1326960" y="2479320"/>
          <a:ext cx="11229480" cy="2583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27000</xdr:colOff>
      <xdr:row>28</xdr:row>
      <xdr:rowOff>38520</xdr:rowOff>
    </xdr:from>
    <xdr:to>
      <xdr:col>19</xdr:col>
      <xdr:colOff>395640</xdr:colOff>
      <xdr:row>39</xdr:row>
      <xdr:rowOff>157320</xdr:rowOff>
    </xdr:to>
    <xdr:pic>
      <xdr:nvPicPr>
        <xdr:cNvPr id="2" name="Imagem 3" descr=""/>
        <xdr:cNvPicPr/>
      </xdr:nvPicPr>
      <xdr:blipFill>
        <a:blip r:embed="rId3"/>
        <a:srcRect l="10219" t="44014" r="8570" b="24742"/>
        <a:stretch/>
      </xdr:blipFill>
      <xdr:spPr>
        <a:xfrm>
          <a:off x="1303200" y="5372280"/>
          <a:ext cx="11217600" cy="2214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27000</xdr:colOff>
      <xdr:row>1</xdr:row>
      <xdr:rowOff>33480</xdr:rowOff>
    </xdr:from>
    <xdr:to>
      <xdr:col>2</xdr:col>
      <xdr:colOff>2692440</xdr:colOff>
      <xdr:row>7</xdr:row>
      <xdr:rowOff>181440</xdr:rowOff>
    </xdr:to>
    <xdr:pic>
      <xdr:nvPicPr>
        <xdr:cNvPr id="3" name="Imagem 3" descr=""/>
        <xdr:cNvPicPr/>
      </xdr:nvPicPr>
      <xdr:blipFill>
        <a:blip r:embed="rId1"/>
        <a:stretch/>
      </xdr:blipFill>
      <xdr:spPr>
        <a:xfrm>
          <a:off x="674640" y="136080"/>
          <a:ext cx="2665440" cy="151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2609280</xdr:colOff>
      <xdr:row>1</xdr:row>
      <xdr:rowOff>96840</xdr:rowOff>
    </xdr:from>
    <xdr:to>
      <xdr:col>4</xdr:col>
      <xdr:colOff>248760</xdr:colOff>
      <xdr:row>7</xdr:row>
      <xdr:rowOff>170640</xdr:rowOff>
    </xdr:to>
    <xdr:sp>
      <xdr:nvSpPr>
        <xdr:cNvPr id="4" name="CustomShape 1"/>
        <xdr:cNvSpPr/>
      </xdr:nvSpPr>
      <xdr:spPr>
        <a:xfrm>
          <a:off x="3256920" y="199440"/>
          <a:ext cx="4564080" cy="1445400"/>
        </a:xfrm>
        <a:prstGeom prst="rect">
          <a:avLst/>
        </a:prstGeom>
        <a:solidFill>
          <a:srgbClr val="ffffff"/>
        </a:solidFill>
        <a:ln w="3240">
          <a:solidFill>
            <a:schemeClr val="bg1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5720" rIns="45720" anchor="ctr"/>
        <a:p>
          <a:pPr algn="ctr">
            <a:lnSpc>
              <a:spcPct val="100000"/>
            </a:lnSpc>
          </a:pPr>
          <a:r>
            <a:rPr b="1" lang="pt-BR" sz="3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Narrow"/>
            </a:rPr>
            <a:t>SECRETARIA DE ESTADO DA SAÚDE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351000</xdr:colOff>
      <xdr:row>1</xdr:row>
      <xdr:rowOff>19440</xdr:rowOff>
    </xdr:from>
    <xdr:to>
      <xdr:col>2</xdr:col>
      <xdr:colOff>2017440</xdr:colOff>
      <xdr:row>6</xdr:row>
      <xdr:rowOff>162000</xdr:rowOff>
    </xdr:to>
    <xdr:pic>
      <xdr:nvPicPr>
        <xdr:cNvPr id="5" name="Imagem 1" descr=""/>
        <xdr:cNvPicPr/>
      </xdr:nvPicPr>
      <xdr:blipFill>
        <a:blip r:embed="rId1"/>
        <a:stretch/>
      </xdr:blipFill>
      <xdr:spPr>
        <a:xfrm>
          <a:off x="503280" y="114480"/>
          <a:ext cx="2066400" cy="115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2063880</xdr:colOff>
      <xdr:row>1</xdr:row>
      <xdr:rowOff>29160</xdr:rowOff>
    </xdr:from>
    <xdr:to>
      <xdr:col>6</xdr:col>
      <xdr:colOff>650880</xdr:colOff>
      <xdr:row>6</xdr:row>
      <xdr:rowOff>151560</xdr:rowOff>
    </xdr:to>
    <xdr:sp>
      <xdr:nvSpPr>
        <xdr:cNvPr id="6" name="CustomShape 1"/>
        <xdr:cNvSpPr/>
      </xdr:nvSpPr>
      <xdr:spPr>
        <a:xfrm>
          <a:off x="2616120" y="124200"/>
          <a:ext cx="3254400" cy="1135080"/>
        </a:xfrm>
        <a:prstGeom prst="rect">
          <a:avLst/>
        </a:prstGeom>
        <a:solidFill>
          <a:srgbClr val="ffffff"/>
        </a:solidFill>
        <a:ln w="3240">
          <a:solidFill>
            <a:schemeClr val="bg1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5720" rIns="45720" anchor="ctr"/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Narrow"/>
            </a:rPr>
            <a:t>SECRETARIA DE ESTADO DA SAÚDE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351720</xdr:colOff>
      <xdr:row>1</xdr:row>
      <xdr:rowOff>19440</xdr:rowOff>
    </xdr:from>
    <xdr:to>
      <xdr:col>2</xdr:col>
      <xdr:colOff>2018160</xdr:colOff>
      <xdr:row>6</xdr:row>
      <xdr:rowOff>157680</xdr:rowOff>
    </xdr:to>
    <xdr:pic>
      <xdr:nvPicPr>
        <xdr:cNvPr id="7" name="Imagem 1" descr=""/>
        <xdr:cNvPicPr/>
      </xdr:nvPicPr>
      <xdr:blipFill>
        <a:blip r:embed="rId1"/>
        <a:stretch/>
      </xdr:blipFill>
      <xdr:spPr>
        <a:xfrm>
          <a:off x="504000" y="114480"/>
          <a:ext cx="2066400" cy="1150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2064960</xdr:colOff>
      <xdr:row>1</xdr:row>
      <xdr:rowOff>29160</xdr:rowOff>
    </xdr:from>
    <xdr:to>
      <xdr:col>6</xdr:col>
      <xdr:colOff>661680</xdr:colOff>
      <xdr:row>6</xdr:row>
      <xdr:rowOff>147240</xdr:rowOff>
    </xdr:to>
    <xdr:sp>
      <xdr:nvSpPr>
        <xdr:cNvPr id="8" name="CustomShape 1"/>
        <xdr:cNvSpPr/>
      </xdr:nvSpPr>
      <xdr:spPr>
        <a:xfrm>
          <a:off x="2617200" y="124200"/>
          <a:ext cx="3178440" cy="1130760"/>
        </a:xfrm>
        <a:prstGeom prst="rect">
          <a:avLst/>
        </a:prstGeom>
        <a:solidFill>
          <a:srgbClr val="ffffff"/>
        </a:solidFill>
        <a:ln w="3240">
          <a:solidFill>
            <a:schemeClr val="bg1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5720" rIns="45720" anchor="ctr"/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Narrow"/>
            </a:rPr>
            <a:t>SECRETARIA DE ESTADO DA SAÚDE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893880</xdr:colOff>
      <xdr:row>26</xdr:row>
      <xdr:rowOff>133920</xdr:rowOff>
    </xdr:from>
    <xdr:to>
      <xdr:col>6</xdr:col>
      <xdr:colOff>274320</xdr:colOff>
      <xdr:row>37</xdr:row>
      <xdr:rowOff>124200</xdr:rowOff>
    </xdr:to>
    <xdr:pic>
      <xdr:nvPicPr>
        <xdr:cNvPr id="9" name="Objeto 1" descr=""/>
        <xdr:cNvPicPr/>
      </xdr:nvPicPr>
      <xdr:blipFill>
        <a:blip r:embed="rId1"/>
        <a:srcRect l="-2531" t="-5367" r="-3531" b="-29987"/>
        <a:stretch/>
      </xdr:blipFill>
      <xdr:spPr>
        <a:xfrm>
          <a:off x="1531800" y="5061960"/>
          <a:ext cx="6124320" cy="2514600"/>
        </a:xfrm>
        <a:prstGeom prst="rect">
          <a:avLst/>
        </a:prstGeom>
        <a:ln w="6480">
          <a:solidFill>
            <a:srgbClr val="000000"/>
          </a:solidFill>
          <a:miter/>
        </a:ln>
      </xdr:spPr>
    </xdr:pic>
    <xdr:clientData/>
  </xdr:twoCellAnchor>
  <xdr:twoCellAnchor editAs="oneCell">
    <xdr:from>
      <xdr:col>5</xdr:col>
      <xdr:colOff>93600</xdr:colOff>
      <xdr:row>72</xdr:row>
      <xdr:rowOff>95760</xdr:rowOff>
    </xdr:from>
    <xdr:to>
      <xdr:col>17</xdr:col>
      <xdr:colOff>331200</xdr:colOff>
      <xdr:row>103</xdr:row>
      <xdr:rowOff>133560</xdr:rowOff>
    </xdr:to>
    <xdr:pic>
      <xdr:nvPicPr>
        <xdr:cNvPr id="10" name="Picture 1" descr=""/>
        <xdr:cNvPicPr/>
      </xdr:nvPicPr>
      <xdr:blipFill>
        <a:blip r:embed="rId2"/>
        <a:stretch/>
      </xdr:blipFill>
      <xdr:spPr>
        <a:xfrm>
          <a:off x="6837120" y="15758640"/>
          <a:ext cx="8133840" cy="5943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112680</xdr:colOff>
      <xdr:row>24</xdr:row>
      <xdr:rowOff>105480</xdr:rowOff>
    </xdr:from>
    <xdr:to>
      <xdr:col>21</xdr:col>
      <xdr:colOff>217080</xdr:colOff>
      <xdr:row>42</xdr:row>
      <xdr:rowOff>47880</xdr:rowOff>
    </xdr:to>
    <xdr:pic>
      <xdr:nvPicPr>
        <xdr:cNvPr id="11" name="Imagem 3" descr=""/>
        <xdr:cNvPicPr/>
      </xdr:nvPicPr>
      <xdr:blipFill>
        <a:blip r:embed="rId3"/>
        <a:stretch/>
      </xdr:blipFill>
      <xdr:spPr>
        <a:xfrm>
          <a:off x="9646920" y="4633560"/>
          <a:ext cx="7762680" cy="405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93600</xdr:colOff>
      <xdr:row>4</xdr:row>
      <xdr:rowOff>124200</xdr:rowOff>
    </xdr:from>
    <xdr:to>
      <xdr:col>21</xdr:col>
      <xdr:colOff>217080</xdr:colOff>
      <xdr:row>21</xdr:row>
      <xdr:rowOff>200520</xdr:rowOff>
    </xdr:to>
    <xdr:pic>
      <xdr:nvPicPr>
        <xdr:cNvPr id="12" name="Imagem 4" descr=""/>
        <xdr:cNvPicPr/>
      </xdr:nvPicPr>
      <xdr:blipFill>
        <a:blip r:embed="rId4"/>
        <a:stretch/>
      </xdr:blipFill>
      <xdr:spPr>
        <a:xfrm>
          <a:off x="9627840" y="790920"/>
          <a:ext cx="7781760" cy="3327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103320</xdr:colOff>
      <xdr:row>44</xdr:row>
      <xdr:rowOff>105480</xdr:rowOff>
    </xdr:from>
    <xdr:to>
      <xdr:col>21</xdr:col>
      <xdr:colOff>188640</xdr:colOff>
      <xdr:row>57</xdr:row>
      <xdr:rowOff>95760</xdr:rowOff>
    </xdr:to>
    <xdr:pic>
      <xdr:nvPicPr>
        <xdr:cNvPr id="13" name="Imagem 5" descr=""/>
        <xdr:cNvPicPr/>
      </xdr:nvPicPr>
      <xdr:blipFill>
        <a:blip r:embed="rId5"/>
        <a:stretch/>
      </xdr:blipFill>
      <xdr:spPr>
        <a:xfrm>
          <a:off x="9637560" y="9234000"/>
          <a:ext cx="7743600" cy="3047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1932120</xdr:colOff>
      <xdr:row>1</xdr:row>
      <xdr:rowOff>21240</xdr:rowOff>
    </xdr:from>
    <xdr:to>
      <xdr:col>2</xdr:col>
      <xdr:colOff>1312560</xdr:colOff>
      <xdr:row>6</xdr:row>
      <xdr:rowOff>162360</xdr:rowOff>
    </xdr:to>
    <xdr:sp>
      <xdr:nvSpPr>
        <xdr:cNvPr id="14" name="CustomShape 1"/>
        <xdr:cNvSpPr/>
      </xdr:nvSpPr>
      <xdr:spPr>
        <a:xfrm>
          <a:off x="2570040" y="116280"/>
          <a:ext cx="2095200" cy="1093680"/>
        </a:xfrm>
        <a:prstGeom prst="rect">
          <a:avLst/>
        </a:prstGeom>
        <a:solidFill>
          <a:srgbClr val="ffffff"/>
        </a:solidFill>
        <a:ln w="3240">
          <a:noFill/>
        </a:ln>
      </xdr:spPr>
      <xdr:style>
        <a:lnRef idx="0"/>
        <a:fillRef idx="0"/>
        <a:effectRef idx="0"/>
        <a:fontRef idx="minor"/>
      </xdr:style>
      <xdr:txBody>
        <a:bodyPr lIns="45720" rIns="45720" anchor="ctr"/>
        <a:p>
          <a:pPr algn="ctr">
            <a:lnSpc>
              <a:spcPct val="100000"/>
            </a:lnSpc>
          </a:pPr>
          <a:r>
            <a:rPr b="1" lang="pt-BR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Narrow"/>
            </a:rPr>
            <a:t>SECRETARIA DE ESTADO DA SAÚDE</a:t>
          </a:r>
          <a:endParaRPr/>
        </a:p>
      </xdr:txBody>
    </xdr:sp>
    <xdr:clientData/>
  </xdr:twoCellAnchor>
  <xdr:twoCellAnchor editAs="oneCell">
    <xdr:from>
      <xdr:col>1</xdr:col>
      <xdr:colOff>55440</xdr:colOff>
      <xdr:row>1</xdr:row>
      <xdr:rowOff>19440</xdr:rowOff>
    </xdr:from>
    <xdr:to>
      <xdr:col>1</xdr:col>
      <xdr:colOff>1931400</xdr:colOff>
      <xdr:row>6</xdr:row>
      <xdr:rowOff>162000</xdr:rowOff>
    </xdr:to>
    <xdr:pic>
      <xdr:nvPicPr>
        <xdr:cNvPr id="15" name="Imagem 1" descr=""/>
        <xdr:cNvPicPr/>
      </xdr:nvPicPr>
      <xdr:blipFill>
        <a:blip r:embed="rId6"/>
        <a:stretch/>
      </xdr:blipFill>
      <xdr:spPr>
        <a:xfrm>
          <a:off x="693360" y="114480"/>
          <a:ext cx="1875960" cy="10951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divan%20D&apos;Brito/Dropbox/ENGENHARIA/TRABALHOS/12-2014.01_CASA%20EDIVAN/OR&#199;AMENTO%20-%20CASA%20EDIVAN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ORMA PARA VENDA"/>
      <sheetName val="ORÇAMENTO CONSTRUÇÃO"/>
      <sheetName val="MEMORIA DE CÁLCULO"/>
      <sheetName val="COMP. ANALÍT. 01"/>
      <sheetName val="COMP. EQUIPAMENTOS"/>
      <sheetName val="COMP. - MÃO DE OBRA"/>
      <sheetName val="COMP. - FERRAMENTAS-EPI"/>
      <sheetName val="CRONOGRAMA DE EXECUÇÃO"/>
      <sheetName val="CRONOGRAMA FÍSICO FINANCEIRO"/>
    </sheetNames>
    <sheetDataSet>
      <sheetData sheetId="0"/>
      <sheetData sheetId="1">
        <row r="15">
          <cell r="C15" t="str">
            <v>MOVIMENTAÇÃO DE TERRA</v>
          </cell>
        </row>
        <row r="55">
          <cell r="C55" t="str">
            <v>REVESTIMENTO CERÂMICO PARA PAREDES INTERNAS COM PLACAS DE DIMENSÕES 25X35 CM.</v>
          </cell>
        </row>
        <row r="69">
          <cell r="C69" t="str">
            <v>OUTRAS INSTALAÇÕES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70"/>
  <sheetViews>
    <sheetView windowProtection="false"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D42" activeCellId="0" sqref="D42"/>
    </sheetView>
  </sheetViews>
  <sheetFormatPr defaultRowHeight="15"/>
  <cols>
    <col collapsed="false" hidden="false" max="1025" min="1" style="1" width="9.04591836734694"/>
  </cols>
  <sheetData>
    <row r="1" customFormat="false" ht="15" hidden="false" customHeight="false" outlineLevel="0" collapsed="false">
      <c r="A1" s="0"/>
      <c r="B1" s="1" t="n">
        <v>89349</v>
      </c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14" customFormat="false" ht="15" hidden="false" customHeight="false" outlineLevel="0" collapsed="false">
      <c r="A14" s="0"/>
      <c r="B14" s="2" t="n">
        <v>89969</v>
      </c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29" customFormat="false" ht="15" hidden="false" customHeight="false" outlineLevel="0" collapsed="false">
      <c r="A29" s="0"/>
      <c r="B29" s="1" t="n">
        <v>89984</v>
      </c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43" s="3" customFormat="true" ht="15" hidden="false" customHeight="false" outlineLevel="0" collapsed="false">
      <c r="B43" s="4" t="n">
        <v>72948</v>
      </c>
      <c r="C43" s="5" t="s">
        <v>0</v>
      </c>
      <c r="N43" s="6" t="n">
        <v>1</v>
      </c>
      <c r="O43" s="6" t="n">
        <v>1</v>
      </c>
      <c r="P43" s="6" t="n">
        <v>0.35</v>
      </c>
      <c r="Q43" s="6" t="n">
        <f aca="false">N43*O43*P43</f>
        <v>0.35</v>
      </c>
    </row>
    <row r="44" s="3" customFormat="true" ht="15" hidden="false" customHeight="false" outlineLevel="0" collapsed="false">
      <c r="B44" s="4" t="s">
        <v>1</v>
      </c>
      <c r="C44" s="5" t="s">
        <v>2</v>
      </c>
      <c r="N44" s="1"/>
      <c r="O44" s="1"/>
      <c r="P44" s="1"/>
      <c r="Q44" s="1"/>
    </row>
    <row r="45" s="3" customFormat="true" ht="15" hidden="false" customHeight="false" outlineLevel="0" collapsed="false">
      <c r="B45" s="4" t="s">
        <v>3</v>
      </c>
      <c r="C45" s="5" t="s">
        <v>4</v>
      </c>
      <c r="N45" s="1"/>
      <c r="O45" s="1"/>
      <c r="P45" s="1"/>
      <c r="Q45" s="1"/>
    </row>
    <row r="46" s="3" customFormat="true" ht="15" hidden="false" customHeight="false" outlineLevel="0" collapsed="false">
      <c r="B46" s="4" t="s">
        <v>5</v>
      </c>
      <c r="C46" s="5" t="s">
        <v>6</v>
      </c>
      <c r="N46" s="1"/>
      <c r="O46" s="1"/>
      <c r="P46" s="1"/>
      <c r="Q46" s="1"/>
    </row>
    <row r="47" s="3" customFormat="true" ht="15" hidden="false" customHeight="false" outlineLevel="0" collapsed="false">
      <c r="B47" s="4" t="n">
        <v>85179</v>
      </c>
      <c r="C47" s="5" t="s">
        <v>7</v>
      </c>
      <c r="N47" s="1"/>
      <c r="O47" s="1"/>
      <c r="P47" s="1"/>
      <c r="Q47" s="1"/>
    </row>
    <row r="48" s="3" customFormat="true" ht="15" hidden="false" customHeight="false" outlineLevel="0" collapsed="false">
      <c r="B48" s="4" t="s">
        <v>8</v>
      </c>
      <c r="C48" s="5" t="s">
        <v>9</v>
      </c>
      <c r="N48" s="1"/>
      <c r="O48" s="1"/>
      <c r="P48" s="1"/>
      <c r="Q48" s="1"/>
    </row>
    <row r="49" s="3" customFormat="true" ht="15" hidden="false" customHeight="false" outlineLevel="0" collapsed="false">
      <c r="B49" s="4" t="n">
        <v>85096</v>
      </c>
      <c r="C49" s="5" t="s">
        <v>10</v>
      </c>
      <c r="N49" s="1"/>
      <c r="O49" s="1"/>
      <c r="P49" s="1"/>
      <c r="Q49" s="1"/>
    </row>
    <row r="50" customFormat="false" ht="15" hidden="false" customHeight="false" outlineLevel="0" collapsed="false">
      <c r="AF50" s="0"/>
      <c r="AG50" s="0"/>
      <c r="AJ50" s="0"/>
    </row>
    <row r="51" customFormat="false" ht="15" hidden="false" customHeight="false" outlineLevel="0" collapsed="false">
      <c r="AF51" s="0"/>
      <c r="AG51" s="0"/>
      <c r="AJ51" s="0"/>
    </row>
    <row r="52" customFormat="false" ht="15" hidden="false" customHeight="false" outlineLevel="0" collapsed="false">
      <c r="AF52" s="0"/>
      <c r="AG52" s="0"/>
      <c r="AJ52" s="0"/>
    </row>
    <row r="53" customFormat="false" ht="15" hidden="false" customHeight="false" outlineLevel="0" collapsed="false">
      <c r="AF53" s="0"/>
      <c r="AG53" s="0"/>
      <c r="AJ53" s="0"/>
    </row>
    <row r="54" customFormat="false" ht="15" hidden="false" customHeight="false" outlineLevel="0" collapsed="false">
      <c r="AF54" s="0"/>
      <c r="AG54" s="0"/>
      <c r="AJ54" s="0"/>
    </row>
    <row r="55" customFormat="false" ht="15" hidden="false" customHeight="false" outlineLevel="0" collapsed="false">
      <c r="AF55" s="0"/>
      <c r="AG55" s="0"/>
      <c r="AJ55" s="0"/>
    </row>
    <row r="56" customFormat="false" ht="15" hidden="false" customHeight="false" outlineLevel="0" collapsed="false">
      <c r="AF56" s="0"/>
      <c r="AG56" s="0"/>
      <c r="AJ56" s="0"/>
    </row>
    <row r="57" customFormat="false" ht="15" hidden="false" customHeight="false" outlineLevel="0" collapsed="false">
      <c r="AF57" s="0"/>
      <c r="AG57" s="0"/>
      <c r="AJ57" s="0"/>
    </row>
    <row r="58" customFormat="false" ht="15" hidden="false" customHeight="false" outlineLevel="0" collapsed="false">
      <c r="AF58" s="0"/>
      <c r="AG58" s="0"/>
      <c r="AJ58" s="0"/>
    </row>
    <row r="59" customFormat="false" ht="15" hidden="false" customHeight="false" outlineLevel="0" collapsed="false">
      <c r="AF59" s="0"/>
      <c r="AG59" s="0"/>
      <c r="AJ59" s="0"/>
    </row>
    <row r="60" customFormat="false" ht="15" hidden="false" customHeight="false" outlineLevel="0" collapsed="false">
      <c r="AF60" s="0"/>
      <c r="AG60" s="0"/>
      <c r="AJ60" s="0"/>
    </row>
    <row r="61" customFormat="false" ht="15" hidden="false" customHeight="false" outlineLevel="0" collapsed="false">
      <c r="AF61" s="0"/>
      <c r="AG61" s="0"/>
      <c r="AJ61" s="0"/>
    </row>
    <row r="62" customFormat="false" ht="15" hidden="false" customHeight="false" outlineLevel="0" collapsed="false">
      <c r="AF62" s="0"/>
      <c r="AG62" s="0"/>
      <c r="AJ62" s="0"/>
    </row>
    <row r="63" customFormat="false" ht="15" hidden="false" customHeight="false" outlineLevel="0" collapsed="false">
      <c r="AF63" s="1" t="s">
        <v>11</v>
      </c>
      <c r="AG63" s="0"/>
      <c r="AJ63" s="1" t="n">
        <v>21</v>
      </c>
    </row>
    <row r="64" customFormat="false" ht="15" hidden="false" customHeight="false" outlineLevel="0" collapsed="false">
      <c r="AF64" s="1" t="s">
        <v>12</v>
      </c>
      <c r="AG64" s="0"/>
      <c r="AJ64" s="1" t="n">
        <v>3</v>
      </c>
    </row>
    <row r="65" customFormat="false" ht="15" hidden="false" customHeight="false" outlineLevel="0" collapsed="false">
      <c r="AF65" s="1" t="s">
        <v>13</v>
      </c>
      <c r="AG65" s="0"/>
      <c r="AJ65" s="1" t="n">
        <v>3</v>
      </c>
    </row>
    <row r="66" customFormat="false" ht="15" hidden="false" customHeight="false" outlineLevel="0" collapsed="false">
      <c r="AF66" s="1" t="s">
        <v>14</v>
      </c>
      <c r="AG66" s="0"/>
      <c r="AJ66" s="1" t="n">
        <v>2</v>
      </c>
    </row>
    <row r="67" customFormat="false" ht="15" hidden="false" customHeight="false" outlineLevel="0" collapsed="false">
      <c r="AF67" s="1" t="s">
        <v>15</v>
      </c>
      <c r="AG67" s="0"/>
    </row>
    <row r="68" customFormat="false" ht="15" hidden="false" customHeight="false" outlineLevel="0" collapsed="false">
      <c r="AF68" s="0"/>
      <c r="AG68" s="0"/>
    </row>
    <row r="69" customFormat="false" ht="15" hidden="false" customHeight="false" outlineLevel="0" collapsed="false">
      <c r="AF69" s="1" t="s">
        <v>16</v>
      </c>
      <c r="AG69" s="0"/>
    </row>
    <row r="70" customFormat="false" ht="15" hidden="false" customHeight="false" outlineLevel="0" collapsed="false">
      <c r="AF70" s="1" t="s">
        <v>17</v>
      </c>
      <c r="AG70" s="1" t="n">
        <f aca="false">(AJ63/AJ64)-(AJ65*AJ66)</f>
        <v>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84"/>
  <sheetViews>
    <sheetView windowProtection="false" showFormulas="false" showGridLines="true" showRowColHeaders="true" showZeros="true" rightToLeft="false" tabSelected="true" showOutlineSymbols="true" defaultGridColor="true" view="normal" topLeftCell="A130" colorId="64" zoomScale="90" zoomScaleNormal="90" zoomScalePageLayoutView="99" workbookViewId="0">
      <selection pane="topLeft" activeCell="G17" activeCellId="0" sqref="G17"/>
    </sheetView>
  </sheetViews>
  <sheetFormatPr defaultRowHeight="18"/>
  <cols>
    <col collapsed="false" hidden="false" max="1" min="1" style="7" width="1.62244897959184"/>
    <col collapsed="false" hidden="false" max="2" min="2" style="8" width="7.56122448979592"/>
    <col collapsed="false" hidden="false" max="3" min="3" style="7" width="89.6326530612245"/>
    <col collapsed="false" hidden="false" max="5" min="4" style="7" width="8.50510204081633"/>
    <col collapsed="false" hidden="false" max="7" min="6" style="7" width="13.5"/>
    <col collapsed="false" hidden="false" max="8" min="8" style="7" width="14.7142857142857"/>
    <col collapsed="false" hidden="false" max="9" min="9" style="7" width="15.5255102040816"/>
    <col collapsed="false" hidden="false" max="10" min="10" style="9" width="10.530612244898"/>
    <col collapsed="false" hidden="false" max="11" min="11" style="7" width="8.50510204081633"/>
    <col collapsed="false" hidden="false" max="12" min="12" style="7" width="12.5561224489796"/>
    <col collapsed="false" hidden="false" max="1025" min="13" style="7" width="9.04591836734694"/>
  </cols>
  <sheetData>
    <row r="1" customFormat="false" ht="8.1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8" hidden="false" customHeight="true" outlineLevel="0" collapsed="false">
      <c r="A2" s="0"/>
      <c r="B2" s="10" t="s">
        <v>18</v>
      </c>
      <c r="C2" s="11"/>
      <c r="D2" s="11"/>
      <c r="E2" s="12"/>
      <c r="F2" s="13" t="s">
        <v>19</v>
      </c>
      <c r="G2" s="13"/>
      <c r="H2" s="13"/>
      <c r="I2" s="13"/>
      <c r="J2" s="13"/>
      <c r="K2" s="13"/>
      <c r="L2" s="13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8" hidden="false" customHeight="true" outlineLevel="0" collapsed="false">
      <c r="A3" s="0"/>
      <c r="B3" s="14" t="s">
        <v>18</v>
      </c>
      <c r="C3" s="15"/>
      <c r="D3" s="15"/>
      <c r="E3" s="16"/>
      <c r="F3" s="13"/>
      <c r="G3" s="13"/>
      <c r="H3" s="13"/>
      <c r="I3" s="13"/>
      <c r="J3" s="13"/>
      <c r="K3" s="13"/>
      <c r="L3" s="13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8" hidden="false" customHeight="true" outlineLevel="0" collapsed="false">
      <c r="A4" s="0"/>
      <c r="B4" s="14" t="s">
        <v>18</v>
      </c>
      <c r="C4" s="15"/>
      <c r="D4" s="15"/>
      <c r="E4" s="16"/>
      <c r="F4" s="17" t="s">
        <v>20</v>
      </c>
      <c r="G4" s="17"/>
      <c r="H4" s="17"/>
      <c r="I4" s="17"/>
      <c r="J4" s="17"/>
      <c r="K4" s="17"/>
      <c r="L4" s="17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8" hidden="false" customHeight="true" outlineLevel="0" collapsed="false">
      <c r="A5" s="0"/>
      <c r="B5" s="14" t="s">
        <v>18</v>
      </c>
      <c r="C5" s="15"/>
      <c r="D5" s="15"/>
      <c r="E5" s="16"/>
      <c r="F5" s="17"/>
      <c r="G5" s="17"/>
      <c r="H5" s="17"/>
      <c r="I5" s="17"/>
      <c r="J5" s="17"/>
      <c r="K5" s="17"/>
      <c r="L5" s="17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8" hidden="false" customHeight="true" outlineLevel="0" collapsed="false">
      <c r="A6" s="0"/>
      <c r="B6" s="14" t="s">
        <v>18</v>
      </c>
      <c r="C6" s="15"/>
      <c r="D6" s="15"/>
      <c r="E6" s="16"/>
      <c r="F6" s="17"/>
      <c r="G6" s="17"/>
      <c r="H6" s="17"/>
      <c r="I6" s="17"/>
      <c r="J6" s="17"/>
      <c r="K6" s="17"/>
      <c r="L6" s="17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8" hidden="false" customHeight="true" outlineLevel="0" collapsed="false">
      <c r="A7" s="0"/>
      <c r="B7" s="14" t="s">
        <v>18</v>
      </c>
      <c r="C7" s="15"/>
      <c r="D7" s="15"/>
      <c r="E7" s="16"/>
      <c r="F7" s="18" t="s">
        <v>21</v>
      </c>
      <c r="G7" s="18"/>
      <c r="H7" s="18"/>
      <c r="I7" s="18"/>
      <c r="J7" s="18"/>
      <c r="K7" s="18"/>
      <c r="L7" s="18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" hidden="false" customHeight="true" outlineLevel="0" collapsed="false">
      <c r="A8" s="0"/>
      <c r="B8" s="19" t="s">
        <v>18</v>
      </c>
      <c r="C8" s="20"/>
      <c r="D8" s="20"/>
      <c r="E8" s="21"/>
      <c r="F8" s="18"/>
      <c r="G8" s="18"/>
      <c r="H8" s="18"/>
      <c r="I8" s="18"/>
      <c r="J8" s="18"/>
      <c r="K8" s="18"/>
      <c r="L8" s="18"/>
      <c r="M8" s="22" t="s">
        <v>18</v>
      </c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" hidden="false" customHeight="true" outlineLevel="0" collapsed="false">
      <c r="A9" s="0"/>
      <c r="B9" s="23" t="s">
        <v>22</v>
      </c>
      <c r="C9" s="23"/>
      <c r="D9" s="23"/>
      <c r="E9" s="23"/>
      <c r="F9" s="23" t="s">
        <v>23</v>
      </c>
      <c r="G9" s="23"/>
      <c r="H9" s="23"/>
      <c r="I9" s="23"/>
      <c r="J9" s="23"/>
      <c r="K9" s="23"/>
      <c r="L9" s="23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8" hidden="false" customHeight="true" outlineLevel="0" collapsed="false">
      <c r="A10" s="0"/>
      <c r="B10" s="23" t="s">
        <v>24</v>
      </c>
      <c r="C10" s="23"/>
      <c r="D10" s="23"/>
      <c r="E10" s="23"/>
      <c r="F10" s="23" t="s">
        <v>25</v>
      </c>
      <c r="G10" s="23"/>
      <c r="H10" s="23"/>
      <c r="I10" s="23"/>
      <c r="J10" s="23"/>
      <c r="K10" s="23"/>
      <c r="L10" s="23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8.1" hidden="false" customHeight="tru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8" hidden="false" customHeight="true" outlineLevel="0" collapsed="false">
      <c r="A12" s="0"/>
      <c r="B12" s="24" t="s">
        <v>26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8.1" hidden="false" customHeight="tru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8" hidden="false" customHeight="true" outlineLevel="0" collapsed="false">
      <c r="A14" s="0"/>
      <c r="B14" s="25" t="s">
        <v>27</v>
      </c>
      <c r="C14" s="25" t="s">
        <v>28</v>
      </c>
      <c r="D14" s="25" t="s">
        <v>29</v>
      </c>
      <c r="E14" s="25" t="s">
        <v>30</v>
      </c>
      <c r="F14" s="25" t="s">
        <v>31</v>
      </c>
      <c r="G14" s="25"/>
      <c r="H14" s="25"/>
      <c r="I14" s="26" t="s">
        <v>32</v>
      </c>
      <c r="J14" s="27" t="s">
        <v>33</v>
      </c>
      <c r="K14" s="26" t="s">
        <v>34</v>
      </c>
      <c r="L14" s="26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36" hidden="false" customHeight="true" outlineLevel="0" collapsed="false">
      <c r="A15" s="0"/>
      <c r="B15" s="25"/>
      <c r="C15" s="25"/>
      <c r="D15" s="25"/>
      <c r="E15" s="25"/>
      <c r="F15" s="28" t="s">
        <v>35</v>
      </c>
      <c r="G15" s="29" t="s">
        <v>36</v>
      </c>
      <c r="H15" s="29" t="s">
        <v>37</v>
      </c>
      <c r="I15" s="26"/>
      <c r="J15" s="27"/>
      <c r="K15" s="26"/>
      <c r="L15" s="26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8" hidden="false" customHeight="true" outlineLevel="0" collapsed="false">
      <c r="A16" s="0"/>
      <c r="B16" s="25"/>
      <c r="C16" s="25"/>
      <c r="D16" s="25"/>
      <c r="E16" s="25"/>
      <c r="F16" s="28"/>
      <c r="G16" s="30" t="n">
        <f aca="false">(BDI!D45)/100</f>
        <v>0.2493</v>
      </c>
      <c r="H16" s="29"/>
      <c r="I16" s="26"/>
      <c r="J16" s="27"/>
      <c r="K16" s="26"/>
      <c r="L16" s="26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8" hidden="false" customHeight="true" outlineLevel="0" collapsed="false">
      <c r="A17" s="0"/>
      <c r="B17" s="31" t="s">
        <v>38</v>
      </c>
      <c r="C17" s="32" t="s">
        <v>39</v>
      </c>
      <c r="D17" s="33"/>
      <c r="E17" s="33"/>
      <c r="F17" s="33"/>
      <c r="G17" s="33"/>
      <c r="H17" s="33"/>
      <c r="I17" s="34" t="n">
        <f aca="false">I23</f>
        <v>10740.275550654</v>
      </c>
      <c r="J17" s="35"/>
      <c r="K17" s="33"/>
      <c r="L17" s="36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8" hidden="false" customHeight="true" outlineLevel="0" collapsed="false">
      <c r="A18" s="0"/>
      <c r="B18" s="28" t="s">
        <v>40</v>
      </c>
      <c r="C18" s="37" t="s">
        <v>41</v>
      </c>
      <c r="D18" s="28" t="s">
        <v>42</v>
      </c>
      <c r="E18" s="38" t="n">
        <f aca="false">VLOOKUP(C18,'MEMÓRIA DE CÁLCULO'!$C$8:$J$386,8,0)</f>
        <v>824.91</v>
      </c>
      <c r="F18" s="39" t="n">
        <v>5.01</v>
      </c>
      <c r="G18" s="40" t="n">
        <f aca="false">F18*(1+$G$16)</f>
        <v>6.258993</v>
      </c>
      <c r="H18" s="40" t="n">
        <f aca="false">E18*G18</f>
        <v>5163.10591563</v>
      </c>
      <c r="I18" s="41"/>
      <c r="J18" s="42" t="n">
        <f aca="false">H18/$I$124</f>
        <v>0.0269502781076467</v>
      </c>
      <c r="K18" s="28" t="s">
        <v>43</v>
      </c>
      <c r="L18" s="43" t="s">
        <v>44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8" hidden="false" customHeight="true" outlineLevel="0" collapsed="false">
      <c r="A19" s="0"/>
      <c r="B19" s="28" t="s">
        <v>45</v>
      </c>
      <c r="C19" s="37" t="s">
        <v>46</v>
      </c>
      <c r="D19" s="28" t="s">
        <v>47</v>
      </c>
      <c r="E19" s="38" t="n">
        <f aca="false">VLOOKUP(C19,'MEMÓRIA DE CÁLCULO'!$C$8:$J$386,8,0)</f>
        <v>17.352</v>
      </c>
      <c r="F19" s="39" t="n">
        <v>151.84</v>
      </c>
      <c r="G19" s="40" t="n">
        <f aca="false">F19*(1+$G$16)</f>
        <v>189.693712</v>
      </c>
      <c r="H19" s="40" t="n">
        <f aca="false">E19*G19</f>
        <v>3291.565290624</v>
      </c>
      <c r="I19" s="41"/>
      <c r="J19" s="42" t="n">
        <f aca="false">H19/$I$124</f>
        <v>0.0171812473812034</v>
      </c>
      <c r="K19" s="28" t="s">
        <v>48</v>
      </c>
      <c r="L19" s="43" t="n">
        <v>73616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8" hidden="false" customHeight="true" outlineLevel="0" collapsed="false">
      <c r="A20" s="0"/>
      <c r="B20" s="28" t="s">
        <v>49</v>
      </c>
      <c r="C20" s="37" t="s">
        <v>50</v>
      </c>
      <c r="D20" s="28" t="s">
        <v>47</v>
      </c>
      <c r="E20" s="38" t="n">
        <f aca="false">VLOOKUP(C20,'MEMÓRIA DE CÁLCULO'!$C$8:$J$386,8,0)</f>
        <v>3.28875</v>
      </c>
      <c r="F20" s="39" t="n">
        <v>58.4</v>
      </c>
      <c r="G20" s="40" t="n">
        <f aca="false">F20*(1+$G$16)</f>
        <v>72.95912</v>
      </c>
      <c r="H20" s="40" t="n">
        <f aca="false">E20*G20</f>
        <v>239.9443059</v>
      </c>
      <c r="I20" s="41"/>
      <c r="J20" s="42" t="n">
        <f aca="false">H20/$I$124</f>
        <v>0.00125245654069876</v>
      </c>
      <c r="K20" s="28" t="s">
        <v>48</v>
      </c>
      <c r="L20" s="43" t="s">
        <v>51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8" hidden="false" customHeight="true" outlineLevel="0" collapsed="false">
      <c r="A21" s="0"/>
      <c r="B21" s="28" t="s">
        <v>52</v>
      </c>
      <c r="C21" s="37" t="s">
        <v>53</v>
      </c>
      <c r="D21" s="28" t="s">
        <v>54</v>
      </c>
      <c r="E21" s="38" t="n">
        <f aca="false">VLOOKUP(C21,'MEMÓRIA DE CÁLCULO'!$C$8:$J$386,8,0)</f>
        <v>3</v>
      </c>
      <c r="F21" s="39" t="n">
        <v>200.29</v>
      </c>
      <c r="G21" s="40" t="n">
        <f aca="false">F21*(1+$G$16)</f>
        <v>250.222297</v>
      </c>
      <c r="H21" s="40" t="n">
        <f aca="false">E21*G21</f>
        <v>750.666891</v>
      </c>
      <c r="I21" s="41"/>
      <c r="J21" s="42" t="n">
        <f aca="false">H21/$I$124</f>
        <v>0.00391831618588517</v>
      </c>
      <c r="K21" s="28" t="s">
        <v>43</v>
      </c>
      <c r="L21" s="43" t="s">
        <v>55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8" hidden="false" customHeight="true" outlineLevel="0" collapsed="false">
      <c r="A22" s="0"/>
      <c r="B22" s="28" t="s">
        <v>56</v>
      </c>
      <c r="C22" s="37" t="s">
        <v>57</v>
      </c>
      <c r="D22" s="28" t="s">
        <v>42</v>
      </c>
      <c r="E22" s="38" t="n">
        <f aca="false">VLOOKUP(C22,'MEMÓRIA DE CÁLCULO'!$C$8:$J$386,8,0)</f>
        <v>4.5</v>
      </c>
      <c r="F22" s="39" t="n">
        <v>230.35</v>
      </c>
      <c r="G22" s="40" t="n">
        <f aca="false">F22*(1+$G$16)</f>
        <v>287.776255</v>
      </c>
      <c r="H22" s="40" t="n">
        <f aca="false">E22*G22</f>
        <v>1294.9931475</v>
      </c>
      <c r="I22" s="41"/>
      <c r="J22" s="42" t="n">
        <f aca="false">H22/$I$124</f>
        <v>0.00675957961020507</v>
      </c>
      <c r="K22" s="28" t="s">
        <v>48</v>
      </c>
      <c r="L22" s="43" t="s">
        <v>58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8" hidden="false" customHeight="true" outlineLevel="0" collapsed="false">
      <c r="A23" s="0"/>
      <c r="B23" s="44" t="str">
        <f aca="false">"SUBTOTAL DO ITEM "&amp;C17</f>
        <v>SUBTOTAL DO ITEM SERVIÇOS PRELIMINARES (URBANIZAÇÃO)</v>
      </c>
      <c r="C23" s="44"/>
      <c r="D23" s="44"/>
      <c r="E23" s="44"/>
      <c r="F23" s="44"/>
      <c r="G23" s="44"/>
      <c r="H23" s="44"/>
      <c r="I23" s="45" t="n">
        <f aca="false">SUM(H18:H22)</f>
        <v>10740.275550654</v>
      </c>
      <c r="J23" s="46" t="n">
        <f aca="false">SUM(J18:J22)</f>
        <v>0.0560618778256391</v>
      </c>
      <c r="K23" s="47"/>
      <c r="L23" s="48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8" hidden="false" customHeight="true" outlineLevel="0" collapsed="false">
      <c r="A24" s="0"/>
      <c r="B24" s="31" t="s">
        <v>59</v>
      </c>
      <c r="C24" s="32" t="s">
        <v>60</v>
      </c>
      <c r="D24" s="33"/>
      <c r="E24" s="33"/>
      <c r="F24" s="33"/>
      <c r="G24" s="33"/>
      <c r="H24" s="33"/>
      <c r="I24" s="34" t="n">
        <f aca="false">I29</f>
        <v>5383.92620135695</v>
      </c>
      <c r="J24" s="35"/>
      <c r="K24" s="33"/>
      <c r="L24" s="36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8" hidden="false" customHeight="true" outlineLevel="0" collapsed="false">
      <c r="A25" s="0"/>
      <c r="B25" s="28" t="s">
        <v>61</v>
      </c>
      <c r="C25" s="37" t="s">
        <v>62</v>
      </c>
      <c r="D25" s="28" t="s">
        <v>47</v>
      </c>
      <c r="E25" s="38" t="n">
        <f aca="false">VLOOKUP(C25,'MEMÓRIA DE CÁLCULO'!$C$8:$J$386,8,0)</f>
        <v>7.088</v>
      </c>
      <c r="F25" s="39" t="n">
        <v>20.72</v>
      </c>
      <c r="G25" s="40" t="n">
        <f aca="false">F25*(1+$G$16)</f>
        <v>25.885496</v>
      </c>
      <c r="H25" s="40" t="n">
        <f aca="false">E25*G25</f>
        <v>183.476395648</v>
      </c>
      <c r="I25" s="41"/>
      <c r="J25" s="42" t="n">
        <f aca="false">H25/$I$124</f>
        <v>0.000957706459968846</v>
      </c>
      <c r="K25" s="28" t="s">
        <v>48</v>
      </c>
      <c r="L25" s="43" t="s">
        <v>63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8" hidden="false" customHeight="true" outlineLevel="0" collapsed="false">
      <c r="A26" s="0"/>
      <c r="B26" s="28" t="s">
        <v>64</v>
      </c>
      <c r="C26" s="37" t="s">
        <v>65</v>
      </c>
      <c r="D26" s="28" t="s">
        <v>47</v>
      </c>
      <c r="E26" s="38" t="n">
        <f aca="false">VLOOKUP(C26,'MEMÓRIA DE CÁLCULO'!$C$8:$J$386,8,0)</f>
        <v>2.094</v>
      </c>
      <c r="F26" s="39" t="n">
        <v>70.33</v>
      </c>
      <c r="G26" s="40" t="n">
        <f aca="false">F26*(1+$G$16)</f>
        <v>87.863269</v>
      </c>
      <c r="H26" s="40" t="n">
        <f aca="false">E26*G26</f>
        <v>183.985685286</v>
      </c>
      <c r="I26" s="41"/>
      <c r="J26" s="42" t="n">
        <f aca="false">H26/$I$124</f>
        <v>0.000960364839945111</v>
      </c>
      <c r="K26" s="28" t="s">
        <v>48</v>
      </c>
      <c r="L26" s="43" t="n">
        <v>79482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8" hidden="false" customHeight="true" outlineLevel="0" collapsed="false">
      <c r="A27" s="0"/>
      <c r="B27" s="28" t="s">
        <v>66</v>
      </c>
      <c r="C27" s="37" t="s">
        <v>67</v>
      </c>
      <c r="D27" s="28" t="s">
        <v>47</v>
      </c>
      <c r="E27" s="38" t="n">
        <f aca="false">VLOOKUP(C27,'MEMÓRIA DE CÁLCULO'!$C$8:$J$386,8,0)</f>
        <v>198.980175</v>
      </c>
      <c r="F27" s="39" t="n">
        <v>15.99</v>
      </c>
      <c r="G27" s="40" t="n">
        <f aca="false">F27*(1+$G$16)</f>
        <v>19.976307</v>
      </c>
      <c r="H27" s="40" t="n">
        <f aca="false">E27*G27</f>
        <v>3974.88906271373</v>
      </c>
      <c r="I27" s="41"/>
      <c r="J27" s="42" t="n">
        <f aca="false">H27/$I$124</f>
        <v>0.0207480472873675</v>
      </c>
      <c r="K27" s="28" t="s">
        <v>48</v>
      </c>
      <c r="L27" s="43" t="n">
        <v>72897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8" hidden="false" customHeight="true" outlineLevel="0" collapsed="false">
      <c r="A28" s="0"/>
      <c r="B28" s="28" t="s">
        <v>68</v>
      </c>
      <c r="C28" s="37" t="s">
        <v>69</v>
      </c>
      <c r="D28" s="28" t="s">
        <v>47</v>
      </c>
      <c r="E28" s="38" t="n">
        <f aca="false">VLOOKUP(C28,'MEMÓRIA DE CÁLCULO'!$C$8:$J$386,8,0)</f>
        <v>198.980175</v>
      </c>
      <c r="F28" s="39" t="n">
        <v>4.19</v>
      </c>
      <c r="G28" s="40" t="n">
        <f aca="false">F28*(1+$G$16)</f>
        <v>5.234567</v>
      </c>
      <c r="H28" s="40" t="n">
        <f aca="false">E28*G28</f>
        <v>1041.57505770923</v>
      </c>
      <c r="I28" s="41"/>
      <c r="J28" s="42" t="n">
        <f aca="false">H28/$I$124</f>
        <v>0.00543679287892869</v>
      </c>
      <c r="K28" s="28" t="s">
        <v>48</v>
      </c>
      <c r="L28" s="43" t="n">
        <v>72899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8" hidden="false" customHeight="true" outlineLevel="0" collapsed="false">
      <c r="A29" s="0"/>
      <c r="B29" s="44" t="str">
        <f aca="false">"SUBTOTAL DO ITEM "&amp;C24</f>
        <v>SUBTOTAL DO ITEM MOVIMENTAÇÃO DE TERRA (URBANIZAÇÃO)</v>
      </c>
      <c r="C29" s="44"/>
      <c r="D29" s="44"/>
      <c r="E29" s="44"/>
      <c r="F29" s="44"/>
      <c r="G29" s="44"/>
      <c r="H29" s="44"/>
      <c r="I29" s="45" t="n">
        <f aca="false">SUM(H25:H28)</f>
        <v>5383.92620135695</v>
      </c>
      <c r="J29" s="46" t="n">
        <f aca="false">SUM(J25:J28)</f>
        <v>0.0281029114662101</v>
      </c>
      <c r="K29" s="47"/>
      <c r="L29" s="48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8" hidden="false" customHeight="true" outlineLevel="0" collapsed="false">
      <c r="A30" s="0"/>
      <c r="B30" s="31" t="s">
        <v>70</v>
      </c>
      <c r="C30" s="32" t="s">
        <v>71</v>
      </c>
      <c r="D30" s="33"/>
      <c r="E30" s="33"/>
      <c r="F30" s="33"/>
      <c r="G30" s="33"/>
      <c r="H30" s="33"/>
      <c r="I30" s="34" t="n">
        <f aca="false">I34</f>
        <v>6000.3110867895</v>
      </c>
      <c r="J30" s="35"/>
      <c r="K30" s="33"/>
      <c r="L30" s="36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8" hidden="false" customHeight="true" outlineLevel="0" collapsed="false">
      <c r="A31" s="0"/>
      <c r="B31" s="28" t="s">
        <v>72</v>
      </c>
      <c r="C31" s="37" t="s">
        <v>73</v>
      </c>
      <c r="D31" s="28" t="s">
        <v>47</v>
      </c>
      <c r="E31" s="38" t="n">
        <f aca="false">VLOOKUP(C31,'MEMÓRIA DE CÁLCULO'!$C$8:$J$386,8,0)</f>
        <v>7.088</v>
      </c>
      <c r="F31" s="39" t="n">
        <v>320.13</v>
      </c>
      <c r="G31" s="40" t="n">
        <f aca="false">F31*(1+$G$16)</f>
        <v>399.938409</v>
      </c>
      <c r="H31" s="40" t="n">
        <f aca="false">E31*G31</f>
        <v>2834.763442992</v>
      </c>
      <c r="I31" s="41"/>
      <c r="J31" s="42" t="n">
        <f aca="false">H31/$I$124</f>
        <v>0.0147968421346442</v>
      </c>
      <c r="K31" s="28" t="s">
        <v>48</v>
      </c>
      <c r="L31" s="43" t="n">
        <v>6122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8" hidden="false" customHeight="true" outlineLevel="0" collapsed="false">
      <c r="A32" s="0"/>
      <c r="B32" s="28" t="s">
        <v>74</v>
      </c>
      <c r="C32" s="37" t="s">
        <v>75</v>
      </c>
      <c r="D32" s="28" t="s">
        <v>47</v>
      </c>
      <c r="E32" s="38" t="n">
        <f aca="false">VLOOKUP(C32,'MEMÓRIA DE CÁLCULO'!$C$8:$J$386,8,0)</f>
        <v>0.67545</v>
      </c>
      <c r="F32" s="39" t="n">
        <v>343.5</v>
      </c>
      <c r="G32" s="40" t="n">
        <f aca="false">F32*(1+$G$16)</f>
        <v>429.13455</v>
      </c>
      <c r="H32" s="40" t="n">
        <f aca="false">E32*G32</f>
        <v>289.8589317975</v>
      </c>
      <c r="I32" s="41"/>
      <c r="J32" s="42" t="n">
        <f aca="false">H32/$I$124</f>
        <v>0.00151299991741014</v>
      </c>
      <c r="K32" s="28" t="s">
        <v>48</v>
      </c>
      <c r="L32" s="43" t="n">
        <v>83519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8" hidden="false" customHeight="true" outlineLevel="0" collapsed="false">
      <c r="A33" s="0"/>
      <c r="B33" s="28" t="s">
        <v>76</v>
      </c>
      <c r="C33" s="37" t="s">
        <v>77</v>
      </c>
      <c r="D33" s="28" t="s">
        <v>47</v>
      </c>
      <c r="E33" s="38" t="n">
        <f aca="false">VLOOKUP(C33,'MEMÓRIA DE CÁLCULO'!$C$8:$J$386,8,0)</f>
        <v>1.44</v>
      </c>
      <c r="F33" s="39" t="n">
        <v>1598.5</v>
      </c>
      <c r="G33" s="40" t="n">
        <f aca="false">F33*(1+$G$16)</f>
        <v>1997.00605</v>
      </c>
      <c r="H33" s="40" t="n">
        <f aca="false">E33*G33</f>
        <v>2875.688712</v>
      </c>
      <c r="I33" s="41"/>
      <c r="J33" s="42" t="n">
        <f aca="false">H33/$I$124</f>
        <v>0.0150104630441159</v>
      </c>
      <c r="K33" s="28" t="s">
        <v>48</v>
      </c>
      <c r="L33" s="43" t="n">
        <v>73346</v>
      </c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8" hidden="false" customHeight="true" outlineLevel="0" collapsed="false">
      <c r="A34" s="0"/>
      <c r="B34" s="44" t="str">
        <f aca="false">"SUBTOTAL DO ITEM "&amp;C30</f>
        <v>SUBTOTAL DO ITEM INFRA-ESTRUTURA (URBANIZAÇÃO)</v>
      </c>
      <c r="C34" s="44"/>
      <c r="D34" s="44"/>
      <c r="E34" s="44"/>
      <c r="F34" s="44"/>
      <c r="G34" s="44"/>
      <c r="H34" s="44"/>
      <c r="I34" s="45" t="n">
        <f aca="false">SUM(H31:H33)</f>
        <v>6000.3110867895</v>
      </c>
      <c r="J34" s="46" t="n">
        <f aca="false">SUM(J31:J33)</f>
        <v>0.0313203050961702</v>
      </c>
      <c r="K34" s="47"/>
      <c r="L34" s="48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8" hidden="false" customHeight="true" outlineLevel="0" collapsed="false">
      <c r="A35" s="0"/>
      <c r="B35" s="31" t="s">
        <v>78</v>
      </c>
      <c r="C35" s="32" t="s">
        <v>79</v>
      </c>
      <c r="D35" s="33"/>
      <c r="E35" s="33"/>
      <c r="F35" s="33"/>
      <c r="G35" s="33"/>
      <c r="H35" s="33"/>
      <c r="I35" s="49" t="n">
        <f aca="false">I41</f>
        <v>3722.38467159</v>
      </c>
      <c r="J35" s="35"/>
      <c r="K35" s="33"/>
      <c r="L35" s="36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8" hidden="false" customHeight="true" outlineLevel="0" collapsed="false">
      <c r="A36" s="0"/>
      <c r="B36" s="28" t="s">
        <v>80</v>
      </c>
      <c r="C36" s="37" t="s">
        <v>81</v>
      </c>
      <c r="D36" s="28" t="s">
        <v>47</v>
      </c>
      <c r="E36" s="38" t="n">
        <f aca="false">VLOOKUP(C36,'MEMÓRIA DE CÁLCULO'!$C$8:$J$386,8,0)</f>
        <v>0.748</v>
      </c>
      <c r="F36" s="39" t="n">
        <v>1598.5</v>
      </c>
      <c r="G36" s="40" t="n">
        <f aca="false">F36*(1+$G$16)</f>
        <v>1997.00605</v>
      </c>
      <c r="H36" s="40" t="n">
        <f aca="false">E36*G36</f>
        <v>1493.7605254</v>
      </c>
      <c r="I36" s="50"/>
      <c r="J36" s="42" t="n">
        <f aca="false">H36/$I$124</f>
        <v>0.00779710163680465</v>
      </c>
      <c r="K36" s="28" t="s">
        <v>48</v>
      </c>
      <c r="L36" s="43" t="n">
        <v>73346</v>
      </c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8" hidden="false" customHeight="true" outlineLevel="0" collapsed="false">
      <c r="A37" s="0"/>
      <c r="B37" s="28" t="s">
        <v>82</v>
      </c>
      <c r="C37" s="37" t="s">
        <v>83</v>
      </c>
      <c r="D37" s="28" t="s">
        <v>47</v>
      </c>
      <c r="E37" s="38" t="n">
        <f aca="false">VLOOKUP(C37,'MEMÓRIA DE CÁLCULO'!$C$8:$J$386,8,0)</f>
        <v>0.41784</v>
      </c>
      <c r="F37" s="39" t="n">
        <v>1598.5</v>
      </c>
      <c r="G37" s="40" t="n">
        <f aca="false">F37*(1+$G$16)</f>
        <v>1997.00605</v>
      </c>
      <c r="H37" s="40" t="n">
        <f aca="false">E37*G37</f>
        <v>834.429007932</v>
      </c>
      <c r="I37" s="41"/>
      <c r="J37" s="42" t="n">
        <f aca="false">H37/$I$124</f>
        <v>0.0043555360266343</v>
      </c>
      <c r="K37" s="28" t="s">
        <v>48</v>
      </c>
      <c r="L37" s="43" t="n">
        <v>73346</v>
      </c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8" hidden="false" customHeight="true" outlineLevel="0" collapsed="false">
      <c r="A38" s="0"/>
      <c r="B38" s="28" t="s">
        <v>84</v>
      </c>
      <c r="C38" s="37" t="s">
        <v>85</v>
      </c>
      <c r="D38" s="28" t="s">
        <v>47</v>
      </c>
      <c r="E38" s="38" t="n">
        <f aca="false">VLOOKUP(C38,'MEMÓRIA DE CÁLCULO'!$C$8:$J$386,8,0)</f>
        <v>0.31896</v>
      </c>
      <c r="F38" s="39" t="n">
        <v>1598.5</v>
      </c>
      <c r="G38" s="40" t="n">
        <f aca="false">F38*(1+$G$16)</f>
        <v>1997.00605</v>
      </c>
      <c r="H38" s="40" t="n">
        <f aca="false">E38*G38</f>
        <v>636.965049708</v>
      </c>
      <c r="I38" s="41"/>
      <c r="J38" s="42" t="n">
        <f aca="false">H38/$I$124</f>
        <v>0.00332481756427167</v>
      </c>
      <c r="K38" s="28" t="s">
        <v>48</v>
      </c>
      <c r="L38" s="43" t="n">
        <v>73346</v>
      </c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0" hidden="false" customHeight="true" outlineLevel="0" collapsed="false">
      <c r="A39" s="0"/>
      <c r="B39" s="28" t="s">
        <v>86</v>
      </c>
      <c r="C39" s="51" t="s">
        <v>87</v>
      </c>
      <c r="D39" s="28" t="s">
        <v>42</v>
      </c>
      <c r="E39" s="38" t="n">
        <f aca="false">VLOOKUP(C39,'MEMÓRIA DE CÁLCULO'!$C$8:$J$386,8,0)</f>
        <v>7.7</v>
      </c>
      <c r="F39" s="39" t="n">
        <v>57.75</v>
      </c>
      <c r="G39" s="40" t="n">
        <f aca="false">F39*(1+$G$16)</f>
        <v>72.147075</v>
      </c>
      <c r="H39" s="40" t="n">
        <f aca="false">E39*G39</f>
        <v>555.5324775</v>
      </c>
      <c r="I39" s="41"/>
      <c r="J39" s="42" t="n">
        <f aca="false">H39/$I$124</f>
        <v>0.00289975743498342</v>
      </c>
      <c r="K39" s="28" t="s">
        <v>48</v>
      </c>
      <c r="L39" s="43" t="s">
        <v>88</v>
      </c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8" hidden="false" customHeight="true" outlineLevel="0" collapsed="false">
      <c r="A40" s="0"/>
      <c r="B40" s="28" t="s">
        <v>89</v>
      </c>
      <c r="C40" s="37" t="s">
        <v>90</v>
      </c>
      <c r="D40" s="28" t="s">
        <v>47</v>
      </c>
      <c r="E40" s="38" t="n">
        <f aca="false">VLOOKUP(C40,'MEMÓRIA DE CÁLCULO'!$C$8:$J$386,8,0)</f>
        <v>0.101</v>
      </c>
      <c r="F40" s="39" t="n">
        <v>1598.5</v>
      </c>
      <c r="G40" s="40" t="n">
        <f aca="false">F40*(1+$G$16)</f>
        <v>1997.00605</v>
      </c>
      <c r="H40" s="40" t="n">
        <f aca="false">E40*G40</f>
        <v>201.69761105</v>
      </c>
      <c r="I40" s="41"/>
      <c r="J40" s="42" t="n">
        <f aca="false">H40/$I$124</f>
        <v>0.00105281719962202</v>
      </c>
      <c r="K40" s="28" t="s">
        <v>48</v>
      </c>
      <c r="L40" s="43" t="n">
        <v>73346</v>
      </c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8" hidden="false" customHeight="true" outlineLevel="0" collapsed="false">
      <c r="A41" s="0"/>
      <c r="B41" s="44" t="str">
        <f aca="false">"SUBTOTAL DO ITEM "&amp;C35</f>
        <v>SUBTOTAL DO ITEM SUPER-ESTRUTURA (URBANIZAÇÃO)</v>
      </c>
      <c r="C41" s="44"/>
      <c r="D41" s="44"/>
      <c r="E41" s="44"/>
      <c r="F41" s="44"/>
      <c r="G41" s="44"/>
      <c r="H41" s="44"/>
      <c r="I41" s="45" t="n">
        <f aca="false">SUM(H36:H40)</f>
        <v>3722.38467159</v>
      </c>
      <c r="J41" s="46" t="n">
        <f aca="false">SUM(J36:J40)</f>
        <v>0.0194300298623161</v>
      </c>
      <c r="K41" s="47"/>
      <c r="L41" s="48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8" hidden="false" customHeight="true" outlineLevel="0" collapsed="false">
      <c r="A42" s="0"/>
      <c r="B42" s="31" t="s">
        <v>91</v>
      </c>
      <c r="C42" s="32" t="s">
        <v>92</v>
      </c>
      <c r="D42" s="33"/>
      <c r="E42" s="33"/>
      <c r="F42" s="33"/>
      <c r="G42" s="33"/>
      <c r="H42" s="33"/>
      <c r="I42" s="34" t="n">
        <f aca="false">I44</f>
        <v>7261.17996084</v>
      </c>
      <c r="J42" s="33"/>
      <c r="K42" s="33"/>
      <c r="L42" s="36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8" hidden="false" customHeight="true" outlineLevel="0" collapsed="false">
      <c r="A43" s="0"/>
      <c r="B43" s="28" t="s">
        <v>93</v>
      </c>
      <c r="C43" s="37" t="s">
        <v>94</v>
      </c>
      <c r="D43" s="28" t="s">
        <v>42</v>
      </c>
      <c r="E43" s="38" t="n">
        <f aca="false">VLOOKUP(C43,'MEMÓRIA DE CÁLCULO'!$C$8:$J$386,8,0)</f>
        <v>86.26</v>
      </c>
      <c r="F43" s="39" t="n">
        <v>67.38</v>
      </c>
      <c r="G43" s="40" t="n">
        <f aca="false">F43*(1+$G$16)</f>
        <v>84.177834</v>
      </c>
      <c r="H43" s="40" t="n">
        <f aca="false">E43*G43</f>
        <v>7261.17996084</v>
      </c>
      <c r="I43" s="41"/>
      <c r="J43" s="42" t="n">
        <f aca="false">H43/$I$124</f>
        <v>0.0379017634989638</v>
      </c>
      <c r="K43" s="28" t="s">
        <v>48</v>
      </c>
      <c r="L43" s="43" t="n">
        <v>87500</v>
      </c>
      <c r="M43" s="0"/>
      <c r="N43" s="22" t="n">
        <v>87523</v>
      </c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8" hidden="false" customHeight="true" outlineLevel="0" collapsed="false">
      <c r="A44" s="0"/>
      <c r="B44" s="44" t="str">
        <f aca="false">"SUBTOTAL DO ITEM "&amp;C42</f>
        <v>SUBTOTAL DO ITEM PAREDES E PAINÉIS (URBANIZAÇÃO)</v>
      </c>
      <c r="C44" s="44"/>
      <c r="D44" s="44"/>
      <c r="E44" s="44"/>
      <c r="F44" s="44"/>
      <c r="G44" s="44"/>
      <c r="H44" s="44"/>
      <c r="I44" s="45" t="n">
        <f aca="false">SUM(H43:H43)</f>
        <v>7261.17996084</v>
      </c>
      <c r="J44" s="46" t="n">
        <f aca="false">SUM(J43:J43)</f>
        <v>0.0379017634989638</v>
      </c>
      <c r="K44" s="47"/>
      <c r="L44" s="48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8" hidden="false" customHeight="true" outlineLevel="0" collapsed="false">
      <c r="A45" s="0"/>
      <c r="B45" s="31" t="s">
        <v>95</v>
      </c>
      <c r="C45" s="32" t="s">
        <v>96</v>
      </c>
      <c r="D45" s="33"/>
      <c r="E45" s="33"/>
      <c r="F45" s="33"/>
      <c r="G45" s="33"/>
      <c r="H45" s="33"/>
      <c r="I45" s="34" t="n">
        <f aca="false">I52</f>
        <v>9222.38681962</v>
      </c>
      <c r="J45" s="33"/>
      <c r="K45" s="33"/>
      <c r="L45" s="36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52" customFormat="true" ht="45" hidden="false" customHeight="true" outlineLevel="0" collapsed="false">
      <c r="B46" s="28" t="s">
        <v>97</v>
      </c>
      <c r="C46" s="51" t="s">
        <v>98</v>
      </c>
      <c r="D46" s="28" t="s">
        <v>42</v>
      </c>
      <c r="E46" s="38" t="n">
        <f aca="false">VLOOKUP(C46,'MEMÓRIA DE CÁLCULO'!$C$8:$J$386,8,0)</f>
        <v>34.44</v>
      </c>
      <c r="F46" s="53" t="n">
        <v>59.92</v>
      </c>
      <c r="G46" s="54" t="n">
        <f aca="false">F46*(1+$G$16)</f>
        <v>74.858056</v>
      </c>
      <c r="H46" s="54" t="n">
        <f aca="false">E46*G46</f>
        <v>2578.11144864</v>
      </c>
      <c r="I46" s="50"/>
      <c r="J46" s="55" t="n">
        <f aca="false">H46/$I$124</f>
        <v>0.0134571751323211</v>
      </c>
      <c r="K46" s="29" t="s">
        <v>48</v>
      </c>
      <c r="L46" s="56" t="n">
        <v>72110</v>
      </c>
    </row>
    <row r="47" customFormat="false" ht="30" hidden="false" customHeight="true" outlineLevel="0" collapsed="false">
      <c r="A47" s="0"/>
      <c r="B47" s="28" t="s">
        <v>99</v>
      </c>
      <c r="C47" s="51" t="s">
        <v>100</v>
      </c>
      <c r="D47" s="28" t="s">
        <v>42</v>
      </c>
      <c r="E47" s="38" t="n">
        <f aca="false">VLOOKUP(C47,'MEMÓRIA DE CÁLCULO'!$C$8:$J$386,8,0)</f>
        <v>6.3</v>
      </c>
      <c r="F47" s="39" t="n">
        <v>41.6</v>
      </c>
      <c r="G47" s="40" t="n">
        <f aca="false">F47*(1+$G$16)</f>
        <v>51.97088</v>
      </c>
      <c r="H47" s="40" t="n">
        <f aca="false">E47*G47</f>
        <v>327.416544</v>
      </c>
      <c r="I47" s="41"/>
      <c r="J47" s="42" t="n">
        <f aca="false">H47/$I$124</f>
        <v>0.00170904239851679</v>
      </c>
      <c r="K47" s="28" t="s">
        <v>48</v>
      </c>
      <c r="L47" s="43" t="s">
        <v>101</v>
      </c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8" hidden="false" customHeight="true" outlineLevel="0" collapsed="false">
      <c r="A48" s="0"/>
      <c r="B48" s="28" t="s">
        <v>102</v>
      </c>
      <c r="C48" s="37" t="s">
        <v>103</v>
      </c>
      <c r="D48" s="28" t="s">
        <v>42</v>
      </c>
      <c r="E48" s="38" t="n">
        <f aca="false">VLOOKUP(C48,'MEMÓRIA DE CÁLCULO'!$C$8:$J$386,8,0)</f>
        <v>40.74</v>
      </c>
      <c r="F48" s="39" t="n">
        <v>111.69</v>
      </c>
      <c r="G48" s="40" t="n">
        <f aca="false">F48*(1+$G$16)</f>
        <v>139.534317</v>
      </c>
      <c r="H48" s="40" t="n">
        <f aca="false">E48*G48</f>
        <v>5684.62807458</v>
      </c>
      <c r="I48" s="41"/>
      <c r="J48" s="42" t="n">
        <f aca="false">H48/$I$124</f>
        <v>0.0296725091547485</v>
      </c>
      <c r="K48" s="28" t="s">
        <v>43</v>
      </c>
      <c r="L48" s="43" t="s">
        <v>104</v>
      </c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8" hidden="false" customHeight="true" outlineLevel="0" collapsed="false">
      <c r="A49" s="0"/>
      <c r="B49" s="28" t="s">
        <v>105</v>
      </c>
      <c r="C49" s="37" t="s">
        <v>106</v>
      </c>
      <c r="D49" s="28" t="s">
        <v>107</v>
      </c>
      <c r="E49" s="38" t="n">
        <f aca="false">VLOOKUP(C49,'MEMÓRIA DE CÁLCULO'!$C$8:$J$386,8,0)</f>
        <v>3.5</v>
      </c>
      <c r="F49" s="39" t="n">
        <v>25.09</v>
      </c>
      <c r="G49" s="40" t="n">
        <f aca="false">F49*(1+$G$16)</f>
        <v>31.344937</v>
      </c>
      <c r="H49" s="40" t="n">
        <f aca="false">E49*G49</f>
        <v>109.7072795</v>
      </c>
      <c r="I49" s="41"/>
      <c r="J49" s="42" t="n">
        <f aca="false">H49/$I$124</f>
        <v>0.000572647887003023</v>
      </c>
      <c r="K49" s="28" t="s">
        <v>48</v>
      </c>
      <c r="L49" s="43" t="n">
        <v>72104</v>
      </c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8" hidden="false" customHeight="true" outlineLevel="0" collapsed="false">
      <c r="A50" s="0"/>
      <c r="B50" s="28" t="s">
        <v>108</v>
      </c>
      <c r="C50" s="37" t="s">
        <v>109</v>
      </c>
      <c r="D50" s="28" t="s">
        <v>107</v>
      </c>
      <c r="E50" s="38" t="n">
        <f aca="false">VLOOKUP(C50,'MEMÓRIA DE CÁLCULO'!$C$8:$J$386,8,0)</f>
        <v>7.1</v>
      </c>
      <c r="F50" s="39" t="n">
        <v>23.39</v>
      </c>
      <c r="G50" s="40" t="n">
        <f aca="false">F50*(1+$G$16)</f>
        <v>29.221127</v>
      </c>
      <c r="H50" s="40" t="n">
        <f aca="false">E50*G50</f>
        <v>207.4700017</v>
      </c>
      <c r="I50" s="41"/>
      <c r="J50" s="42" t="n">
        <f aca="false">H50/$I$124</f>
        <v>0.00108294781013158</v>
      </c>
      <c r="K50" s="28" t="s">
        <v>48</v>
      </c>
      <c r="L50" s="43" t="s">
        <v>110</v>
      </c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30" hidden="false" customHeight="true" outlineLevel="0" collapsed="false">
      <c r="A51" s="0"/>
      <c r="B51" s="28" t="s">
        <v>111</v>
      </c>
      <c r="C51" s="51" t="s">
        <v>112</v>
      </c>
      <c r="D51" s="28" t="s">
        <v>107</v>
      </c>
      <c r="E51" s="38" t="n">
        <f aca="false">VLOOKUP(C51,'MEMÓRIA DE CÁLCULO'!$C$8:$J$386,8,0)</f>
        <v>11.6</v>
      </c>
      <c r="F51" s="39" t="n">
        <v>21.74</v>
      </c>
      <c r="G51" s="40" t="n">
        <f aca="false">F51*(1+$G$16)</f>
        <v>27.159782</v>
      </c>
      <c r="H51" s="40" t="n">
        <f aca="false">E51*G51</f>
        <v>315.0534712</v>
      </c>
      <c r="I51" s="41"/>
      <c r="J51" s="42" t="n">
        <f aca="false">H51/$I$124</f>
        <v>0.00164450987571566</v>
      </c>
      <c r="K51" s="28" t="s">
        <v>48</v>
      </c>
      <c r="L51" s="43" t="n">
        <v>71623</v>
      </c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8" hidden="false" customHeight="true" outlineLevel="0" collapsed="false">
      <c r="A52" s="0"/>
      <c r="B52" s="44" t="str">
        <f aca="false">"SUBTOTAL DO ITEM "&amp;C45</f>
        <v>SUBTOTAL DO ITEM COBERTURA (URBANIZAÇÃO)</v>
      </c>
      <c r="C52" s="44"/>
      <c r="D52" s="44"/>
      <c r="E52" s="44"/>
      <c r="F52" s="44"/>
      <c r="G52" s="44"/>
      <c r="H52" s="44"/>
      <c r="I52" s="45" t="n">
        <f aca="false">SUM(H46:H51)</f>
        <v>9222.38681962</v>
      </c>
      <c r="J52" s="46" t="n">
        <f aca="false">SUM(J46:J51)</f>
        <v>0.0481388322584366</v>
      </c>
      <c r="K52" s="47"/>
      <c r="L52" s="48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8" hidden="false" customHeight="true" outlineLevel="0" collapsed="false">
      <c r="A53" s="0"/>
      <c r="B53" s="31" t="s">
        <v>113</v>
      </c>
      <c r="C53" s="32" t="s">
        <v>114</v>
      </c>
      <c r="D53" s="33"/>
      <c r="E53" s="33"/>
      <c r="F53" s="33"/>
      <c r="G53" s="33"/>
      <c r="H53" s="33"/>
      <c r="I53" s="34" t="n">
        <f aca="false">I58</f>
        <v>13560.61242705</v>
      </c>
      <c r="J53" s="33"/>
      <c r="K53" s="33"/>
      <c r="L53" s="36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8" hidden="false" customHeight="true" outlineLevel="0" collapsed="false">
      <c r="A54" s="0"/>
      <c r="B54" s="28" t="s">
        <v>115</v>
      </c>
      <c r="C54" s="37" t="s">
        <v>116</v>
      </c>
      <c r="D54" s="28" t="s">
        <v>42</v>
      </c>
      <c r="E54" s="38" t="n">
        <f aca="false">VLOOKUP(C54,'MEMÓRIA DE CÁLCULO'!$C$8:$J$386,8,0)</f>
        <v>4.2</v>
      </c>
      <c r="F54" s="39" t="n">
        <v>250.8</v>
      </c>
      <c r="G54" s="40" t="n">
        <f aca="false">F54*(1+$G$16)</f>
        <v>313.32444</v>
      </c>
      <c r="H54" s="40" t="n">
        <f aca="false">E54*G54</f>
        <v>1315.962648</v>
      </c>
      <c r="I54" s="41"/>
      <c r="J54" s="42" t="n">
        <f aca="false">H54/$I$124</f>
        <v>0.00686903579403865</v>
      </c>
      <c r="K54" s="28" t="s">
        <v>48</v>
      </c>
      <c r="L54" s="43" t="s">
        <v>117</v>
      </c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8" hidden="false" customHeight="true" outlineLevel="0" collapsed="false">
      <c r="A55" s="0"/>
      <c r="B55" s="28" t="s">
        <v>118</v>
      </c>
      <c r="C55" s="37" t="s">
        <v>119</v>
      </c>
      <c r="D55" s="28" t="s">
        <v>42</v>
      </c>
      <c r="E55" s="38" t="n">
        <f aca="false">VLOOKUP(C55,'MEMÓRIA DE CÁLCULO'!$C$8:$J$386,8,0)</f>
        <v>38.415</v>
      </c>
      <c r="F55" s="39" t="n">
        <v>202.9</v>
      </c>
      <c r="G55" s="40" t="n">
        <f aca="false">F55*(1+$G$16)</f>
        <v>253.48297</v>
      </c>
      <c r="H55" s="40" t="n">
        <f aca="false">E55*G55</f>
        <v>9737.54829255</v>
      </c>
      <c r="I55" s="41"/>
      <c r="J55" s="42" t="n">
        <f aca="false">H55/$I$124</f>
        <v>0.0508278619224958</v>
      </c>
      <c r="K55" s="28" t="s">
        <v>48</v>
      </c>
      <c r="L55" s="43" t="s">
        <v>120</v>
      </c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30" hidden="false" customHeight="true" outlineLevel="0" collapsed="false">
      <c r="A56" s="0"/>
      <c r="B56" s="28" t="s">
        <v>121</v>
      </c>
      <c r="C56" s="51" t="s">
        <v>122</v>
      </c>
      <c r="D56" s="28" t="s">
        <v>42</v>
      </c>
      <c r="E56" s="38" t="n">
        <f aca="false">VLOOKUP(C56,'MEMÓRIA DE CÁLCULO'!$C$8:$J$386,8,0)</f>
        <v>3</v>
      </c>
      <c r="F56" s="39" t="n">
        <v>585.63</v>
      </c>
      <c r="G56" s="40" t="n">
        <f aca="false">F56*(1+$G$16)</f>
        <v>731.627559</v>
      </c>
      <c r="H56" s="40" t="n">
        <f aca="false">E56*G56</f>
        <v>2194.882677</v>
      </c>
      <c r="I56" s="41"/>
      <c r="J56" s="42" t="n">
        <f aca="false">H56/$I$124</f>
        <v>0.0114568051722</v>
      </c>
      <c r="K56" s="28" t="s">
        <v>48</v>
      </c>
      <c r="L56" s="43" t="s">
        <v>123</v>
      </c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8" hidden="false" customHeight="true" outlineLevel="0" collapsed="false">
      <c r="A57" s="0"/>
      <c r="B57" s="28" t="s">
        <v>124</v>
      </c>
      <c r="C57" s="51" t="s">
        <v>125</v>
      </c>
      <c r="D57" s="28" t="s">
        <v>42</v>
      </c>
      <c r="E57" s="38" t="n">
        <f aca="false">VLOOKUP(C57,'MEMÓRIA DE CÁLCULO'!$C$8:$J$386,8,0)</f>
        <v>0.5</v>
      </c>
      <c r="F57" s="39" t="n">
        <v>499.83</v>
      </c>
      <c r="G57" s="40" t="n">
        <f aca="false">F57*(1+$G$16)</f>
        <v>624.437619</v>
      </c>
      <c r="H57" s="40" t="n">
        <f aca="false">E57*G57</f>
        <v>312.2188095</v>
      </c>
      <c r="I57" s="41"/>
      <c r="J57" s="42" t="n">
        <f aca="false">H57/$I$124</f>
        <v>0.00162971356465707</v>
      </c>
      <c r="K57" s="28" t="s">
        <v>48</v>
      </c>
      <c r="L57" s="43" t="s">
        <v>126</v>
      </c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8" hidden="false" customHeight="true" outlineLevel="0" collapsed="false">
      <c r="A58" s="0"/>
      <c r="B58" s="44" t="str">
        <f aca="false">"SUBTOTAL DO ITEM "&amp;C53</f>
        <v>SUBTOTAL DO ITEM ESQUADRIAS (URBANIZAÇÃO)</v>
      </c>
      <c r="C58" s="44"/>
      <c r="D58" s="44"/>
      <c r="E58" s="44"/>
      <c r="F58" s="44"/>
      <c r="G58" s="44"/>
      <c r="H58" s="44"/>
      <c r="I58" s="45" t="n">
        <f aca="false">SUM(H54:H57)</f>
        <v>13560.61242705</v>
      </c>
      <c r="J58" s="46" t="n">
        <f aca="false">SUM(J54:J57)</f>
        <v>0.0707834164533914</v>
      </c>
      <c r="K58" s="47"/>
      <c r="L58" s="48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8" hidden="false" customHeight="true" outlineLevel="0" collapsed="false">
      <c r="A59" s="0"/>
      <c r="B59" s="31" t="s">
        <v>127</v>
      </c>
      <c r="C59" s="32" t="s">
        <v>128</v>
      </c>
      <c r="D59" s="33"/>
      <c r="E59" s="33"/>
      <c r="F59" s="33"/>
      <c r="G59" s="33"/>
      <c r="H59" s="33"/>
      <c r="I59" s="49" t="n">
        <f aca="false">I67</f>
        <v>18399.712237764</v>
      </c>
      <c r="J59" s="35"/>
      <c r="K59" s="33"/>
      <c r="L59" s="36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8" hidden="false" customHeight="true" outlineLevel="0" collapsed="false">
      <c r="A60" s="0"/>
      <c r="B60" s="28" t="s">
        <v>129</v>
      </c>
      <c r="C60" s="51" t="s">
        <v>130</v>
      </c>
      <c r="D60" s="28" t="s">
        <v>42</v>
      </c>
      <c r="E60" s="38" t="n">
        <f aca="false">VLOOKUP(C60,'MEMÓRIA DE CÁLCULO'!$C$8:$J$386,8,0)</f>
        <v>207.75</v>
      </c>
      <c r="F60" s="39" t="n">
        <v>4</v>
      </c>
      <c r="G60" s="40" t="n">
        <f aca="false">F60*(1+$G$16)</f>
        <v>4.9972</v>
      </c>
      <c r="H60" s="40" t="n">
        <f aca="false">E60*G60</f>
        <v>1038.1683</v>
      </c>
      <c r="I60" s="50"/>
      <c r="J60" s="42" t="n">
        <f aca="false">H60/$I$124</f>
        <v>0.00541901035243992</v>
      </c>
      <c r="K60" s="28" t="s">
        <v>48</v>
      </c>
      <c r="L60" s="43" t="n">
        <v>87893</v>
      </c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8" hidden="false" customHeight="true" outlineLevel="0" collapsed="false">
      <c r="A61" s="0"/>
      <c r="B61" s="28" t="s">
        <v>131</v>
      </c>
      <c r="C61" s="51" t="s">
        <v>132</v>
      </c>
      <c r="D61" s="28" t="s">
        <v>42</v>
      </c>
      <c r="E61" s="38" t="n">
        <f aca="false">VLOOKUP(C61,'MEMÓRIA DE CÁLCULO'!$C$8:$J$386,8,0)</f>
        <v>24.3</v>
      </c>
      <c r="F61" s="39" t="n">
        <v>16.37</v>
      </c>
      <c r="G61" s="40" t="n">
        <f aca="false">F61*(1+$G$16)</f>
        <v>20.451041</v>
      </c>
      <c r="H61" s="40" t="n">
        <f aca="false">E61*G61</f>
        <v>496.9602963</v>
      </c>
      <c r="I61" s="41"/>
      <c r="J61" s="42" t="n">
        <f aca="false">H61/$I$124</f>
        <v>0.00259402352239161</v>
      </c>
      <c r="K61" s="28" t="s">
        <v>48</v>
      </c>
      <c r="L61" s="43" t="n">
        <v>87535</v>
      </c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8" hidden="false" customHeight="true" outlineLevel="0" collapsed="false">
      <c r="A62" s="0"/>
      <c r="B62" s="28" t="s">
        <v>133</v>
      </c>
      <c r="C62" s="37" t="s">
        <v>134</v>
      </c>
      <c r="D62" s="28" t="s">
        <v>42</v>
      </c>
      <c r="E62" s="38" t="n">
        <f aca="false">VLOOKUP(C62,'MEMÓRIA DE CÁLCULO'!$C$8:$J$386,8,0)</f>
        <v>179.61</v>
      </c>
      <c r="F62" s="39" t="n">
        <v>20.13</v>
      </c>
      <c r="G62" s="40" t="n">
        <f aca="false">F62*(1+$G$16)</f>
        <v>25.148409</v>
      </c>
      <c r="H62" s="40" t="n">
        <f aca="false">E62*G62</f>
        <v>4516.90574049</v>
      </c>
      <c r="I62" s="41"/>
      <c r="J62" s="42" t="n">
        <f aca="false">H62/$I$124</f>
        <v>0.0235772552183597</v>
      </c>
      <c r="K62" s="28" t="s">
        <v>48</v>
      </c>
      <c r="L62" s="43" t="n">
        <v>87534</v>
      </c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30" hidden="false" customHeight="false" outlineLevel="0" collapsed="false">
      <c r="A63" s="0"/>
      <c r="B63" s="28" t="s">
        <v>135</v>
      </c>
      <c r="C63" s="51" t="s">
        <v>136</v>
      </c>
      <c r="D63" s="28" t="s">
        <v>42</v>
      </c>
      <c r="E63" s="38" t="n">
        <f aca="false">VLOOKUP(C63,'MEMÓRIA DE CÁLCULO'!$C$8:$J$386,8,0)</f>
        <v>6.248</v>
      </c>
      <c r="F63" s="39" t="n">
        <v>38.31</v>
      </c>
      <c r="G63" s="40" t="n">
        <f aca="false">F63*(1+$G$16)</f>
        <v>47.860683</v>
      </c>
      <c r="H63" s="40" t="n">
        <f aca="false">E63*G63</f>
        <v>299.033547384</v>
      </c>
      <c r="I63" s="41"/>
      <c r="J63" s="42" t="n">
        <f aca="false">H63/$I$124</f>
        <v>0.00156088939433108</v>
      </c>
      <c r="K63" s="28" t="s">
        <v>48</v>
      </c>
      <c r="L63" s="43" t="n">
        <v>87246</v>
      </c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8" hidden="false" customHeight="true" outlineLevel="0" collapsed="false">
      <c r="A64" s="0"/>
      <c r="B64" s="28" t="s">
        <v>137</v>
      </c>
      <c r="C64" s="51" t="s">
        <v>138</v>
      </c>
      <c r="D64" s="28" t="s">
        <v>42</v>
      </c>
      <c r="E64" s="38" t="n">
        <f aca="false">VLOOKUP(C64,'MEMÓRIA DE CÁLCULO'!$C$8:$J$386,8,0)</f>
        <v>19.68</v>
      </c>
      <c r="F64" s="39" t="n">
        <v>417.61</v>
      </c>
      <c r="G64" s="40" t="n">
        <f aca="false">F64*(1+$G$16)</f>
        <v>521.720173</v>
      </c>
      <c r="H64" s="40" t="n">
        <f aca="false">E64*G64</f>
        <v>10267.45300464</v>
      </c>
      <c r="I64" s="41"/>
      <c r="J64" s="42" t="n">
        <f aca="false">H64/$I$124</f>
        <v>0.053593848054631</v>
      </c>
      <c r="K64" s="28" t="s">
        <v>43</v>
      </c>
      <c r="L64" s="43" t="s">
        <v>139</v>
      </c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8" hidden="false" customHeight="true" outlineLevel="0" collapsed="false">
      <c r="A65" s="0"/>
      <c r="B65" s="28" t="s">
        <v>140</v>
      </c>
      <c r="C65" s="51" t="s">
        <v>141</v>
      </c>
      <c r="D65" s="28" t="s">
        <v>42</v>
      </c>
      <c r="E65" s="38" t="n">
        <f aca="false">VLOOKUP(C65,'MEMÓRIA DE CÁLCULO'!$C$8:$J$386,8,0)</f>
        <v>1.15</v>
      </c>
      <c r="F65" s="39" t="n">
        <v>53.85</v>
      </c>
      <c r="G65" s="40" t="n">
        <f aca="false">F65*(1+$G$16)</f>
        <v>67.274805</v>
      </c>
      <c r="H65" s="40" t="n">
        <f aca="false">E65*G65</f>
        <v>77.36602575</v>
      </c>
      <c r="I65" s="41"/>
      <c r="J65" s="42" t="n">
        <f aca="false">H65/$I$124</f>
        <v>0.000403833650542387</v>
      </c>
      <c r="K65" s="28" t="s">
        <v>43</v>
      </c>
      <c r="L65" s="43" t="s">
        <v>142</v>
      </c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8" hidden="false" customHeight="true" outlineLevel="0" collapsed="false">
      <c r="A66" s="0"/>
      <c r="B66" s="28" t="s">
        <v>143</v>
      </c>
      <c r="C66" s="37" t="s">
        <v>144</v>
      </c>
      <c r="D66" s="28" t="s">
        <v>42</v>
      </c>
      <c r="E66" s="38" t="n">
        <f aca="false">VLOOKUP(C66,'MEMÓRIA DE CÁLCULO'!$C$8:$J$386,8,0)</f>
        <v>37.884</v>
      </c>
      <c r="F66" s="39" t="n">
        <v>36</v>
      </c>
      <c r="G66" s="40" t="n">
        <f aca="false">F66*(1+$G$130)</f>
        <v>44.9748</v>
      </c>
      <c r="H66" s="40" t="n">
        <f aca="false">E66*G66</f>
        <v>1703.8253232</v>
      </c>
      <c r="I66" s="41"/>
      <c r="J66" s="42" t="n">
        <f aca="false">H66/$I$124</f>
        <v>0.00889359371228162</v>
      </c>
      <c r="K66" s="28" t="s">
        <v>43</v>
      </c>
      <c r="L66" s="43" t="s">
        <v>145</v>
      </c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8" hidden="false" customHeight="true" outlineLevel="0" collapsed="false">
      <c r="A67" s="0"/>
      <c r="B67" s="44" t="str">
        <f aca="false">"SUBTOTAL DO ITEM "&amp;C59</f>
        <v>SUBTOTAL DO ITEM REVESTIMENTO (URBANIZAÇÃO)</v>
      </c>
      <c r="C67" s="44"/>
      <c r="D67" s="44"/>
      <c r="E67" s="44"/>
      <c r="F67" s="44"/>
      <c r="G67" s="44"/>
      <c r="H67" s="44"/>
      <c r="I67" s="45" t="n">
        <f aca="false">SUM(H60:H66)</f>
        <v>18399.712237764</v>
      </c>
      <c r="J67" s="46" t="n">
        <f aca="false">SUM(J60:J66)</f>
        <v>0.0960424539049773</v>
      </c>
      <c r="K67" s="47"/>
      <c r="L67" s="48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8" hidden="false" customHeight="true" outlineLevel="0" collapsed="false">
      <c r="A68" s="0"/>
      <c r="B68" s="31" t="s">
        <v>146</v>
      </c>
      <c r="C68" s="32" t="s">
        <v>147</v>
      </c>
      <c r="D68" s="33"/>
      <c r="E68" s="33"/>
      <c r="F68" s="33"/>
      <c r="G68" s="33"/>
      <c r="H68" s="33"/>
      <c r="I68" s="34" t="n">
        <f aca="false">I77</f>
        <v>5816.16050015</v>
      </c>
      <c r="J68" s="33"/>
      <c r="K68" s="33"/>
      <c r="L68" s="36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8" hidden="false" customHeight="true" outlineLevel="0" collapsed="false">
      <c r="A69" s="0"/>
      <c r="B69" s="28" t="s">
        <v>148</v>
      </c>
      <c r="C69" s="37" t="s">
        <v>149</v>
      </c>
      <c r="D69" s="28" t="s">
        <v>42</v>
      </c>
      <c r="E69" s="38" t="n">
        <f aca="false">VLOOKUP(C69,'MEMÓRIA DE CÁLCULO'!$C$8:$J$386,8,0)</f>
        <v>5.68</v>
      </c>
      <c r="F69" s="39" t="n">
        <v>15.13</v>
      </c>
      <c r="G69" s="40" t="n">
        <f aca="false">F69*(1+$G$16)</f>
        <v>18.901909</v>
      </c>
      <c r="H69" s="40" t="n">
        <f aca="false">E69*G69</f>
        <v>107.36284312</v>
      </c>
      <c r="I69" s="41"/>
      <c r="J69" s="42" t="n">
        <f aca="false">H69/$I$124</f>
        <v>0.000560410444370786</v>
      </c>
      <c r="K69" s="28" t="s">
        <v>48</v>
      </c>
      <c r="L69" s="43" t="n">
        <v>88496</v>
      </c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8" hidden="false" customHeight="true" outlineLevel="0" collapsed="false">
      <c r="A70" s="0"/>
      <c r="B70" s="28" t="s">
        <v>150</v>
      </c>
      <c r="C70" s="37" t="s">
        <v>151</v>
      </c>
      <c r="D70" s="28" t="s">
        <v>42</v>
      </c>
      <c r="E70" s="38" t="n">
        <f aca="false">VLOOKUP(C70,'MEMÓRIA DE CÁLCULO'!$C$8:$J$386,8,0)</f>
        <v>5.68</v>
      </c>
      <c r="F70" s="39" t="n">
        <v>7.46</v>
      </c>
      <c r="G70" s="40" t="n">
        <f aca="false">F70*(1+$G$16)</f>
        <v>9.319778</v>
      </c>
      <c r="H70" s="40" t="n">
        <f aca="false">E70*G70</f>
        <v>52.93633904</v>
      </c>
      <c r="I70" s="41"/>
      <c r="J70" s="42" t="n">
        <f aca="false">H70/$I$124</f>
        <v>0.000276316055188768</v>
      </c>
      <c r="K70" s="28" t="s">
        <v>48</v>
      </c>
      <c r="L70" s="43" t="n">
        <v>88486</v>
      </c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8" hidden="false" customHeight="true" outlineLevel="0" collapsed="false">
      <c r="A71" s="0"/>
      <c r="B71" s="28" t="s">
        <v>152</v>
      </c>
      <c r="C71" s="37" t="s">
        <v>153</v>
      </c>
      <c r="D71" s="28" t="s">
        <v>42</v>
      </c>
      <c r="E71" s="38" t="n">
        <f aca="false">VLOOKUP(C71,'MEMÓRIA DE CÁLCULO'!$C$8:$J$386,8,0)</f>
        <v>173.93</v>
      </c>
      <c r="F71" s="39" t="n">
        <v>1.43</v>
      </c>
      <c r="G71" s="40" t="n">
        <f aca="false">F71*(1+$G$16)</f>
        <v>1.786499</v>
      </c>
      <c r="H71" s="40" t="n">
        <f aca="false">E71*G71</f>
        <v>310.72577107</v>
      </c>
      <c r="I71" s="41"/>
      <c r="J71" s="42" t="n">
        <f aca="false">H71/$I$124</f>
        <v>0.00162192023219955</v>
      </c>
      <c r="K71" s="28" t="s">
        <v>48</v>
      </c>
      <c r="L71" s="43" t="n">
        <v>88483</v>
      </c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8" hidden="false" customHeight="true" outlineLevel="0" collapsed="false">
      <c r="A72" s="0"/>
      <c r="B72" s="28" t="s">
        <v>154</v>
      </c>
      <c r="C72" s="37" t="s">
        <v>155</v>
      </c>
      <c r="D72" s="28" t="s">
        <v>42</v>
      </c>
      <c r="E72" s="38" t="n">
        <f aca="false">VLOOKUP(C72,'MEMÓRIA DE CÁLCULO'!$C$8:$J$386,8,0)</f>
        <v>74.21</v>
      </c>
      <c r="F72" s="39" t="n">
        <v>9</v>
      </c>
      <c r="G72" s="40" t="n">
        <f aca="false">F72*(1+$G$16)</f>
        <v>11.2437</v>
      </c>
      <c r="H72" s="40" t="n">
        <f aca="false">E72*G72</f>
        <v>834.394977</v>
      </c>
      <c r="I72" s="41"/>
      <c r="J72" s="42" t="n">
        <f aca="false">H72/$I$124</f>
        <v>0.00435535839264874</v>
      </c>
      <c r="K72" s="28" t="s">
        <v>48</v>
      </c>
      <c r="L72" s="43" t="n">
        <v>88497</v>
      </c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8" hidden="false" customHeight="true" outlineLevel="0" collapsed="false">
      <c r="A73" s="0"/>
      <c r="B73" s="28" t="s">
        <v>156</v>
      </c>
      <c r="C73" s="37" t="s">
        <v>157</v>
      </c>
      <c r="D73" s="28" t="s">
        <v>42</v>
      </c>
      <c r="E73" s="38" t="n">
        <f aca="false">VLOOKUP(C73,'MEMÓRIA DE CÁLCULO'!$C$8:$J$386,8,0)</f>
        <v>74.21</v>
      </c>
      <c r="F73" s="39" t="n">
        <v>8.48</v>
      </c>
      <c r="G73" s="40" t="n">
        <f aca="false">F73*(1+$G$16)</f>
        <v>10.594064</v>
      </c>
      <c r="H73" s="40" t="n">
        <f aca="false">E73*G73</f>
        <v>786.18548944</v>
      </c>
      <c r="I73" s="41"/>
      <c r="J73" s="42" t="n">
        <f aca="false">H73/$I$124</f>
        <v>0.0041037154632957</v>
      </c>
      <c r="K73" s="28" t="s">
        <v>48</v>
      </c>
      <c r="L73" s="43" t="n">
        <v>88489</v>
      </c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8" hidden="false" customHeight="true" outlineLevel="0" collapsed="false">
      <c r="A74" s="0"/>
      <c r="B74" s="28" t="s">
        <v>158</v>
      </c>
      <c r="C74" s="37" t="s">
        <v>159</v>
      </c>
      <c r="D74" s="28" t="s">
        <v>42</v>
      </c>
      <c r="E74" s="38" t="n">
        <f aca="false">VLOOKUP(C74,'MEMÓRIA DE CÁLCULO'!$C$8:$J$386,8,0)</f>
        <v>119.74</v>
      </c>
      <c r="F74" s="39" t="n">
        <v>12.37</v>
      </c>
      <c r="G74" s="40" t="n">
        <f aca="false">F74*(1+$G$16)</f>
        <v>15.453841</v>
      </c>
      <c r="H74" s="40" t="n">
        <f aca="false">E74*G74</f>
        <v>1850.44292134</v>
      </c>
      <c r="I74" s="41"/>
      <c r="J74" s="42" t="n">
        <f aca="false">H74/$I$124</f>
        <v>0.00965890535026029</v>
      </c>
      <c r="K74" s="28" t="s">
        <v>48</v>
      </c>
      <c r="L74" s="43" t="n">
        <v>88423</v>
      </c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8" hidden="false" customHeight="true" outlineLevel="0" collapsed="false">
      <c r="A75" s="0"/>
      <c r="B75" s="28" t="s">
        <v>160</v>
      </c>
      <c r="C75" s="37" t="s">
        <v>161</v>
      </c>
      <c r="D75" s="28" t="s">
        <v>42</v>
      </c>
      <c r="E75" s="38" t="n">
        <f aca="false">VLOOKUP(C75,'MEMÓRIA DE CÁLCULO'!$C$8:$J$386,8,0)</f>
        <v>85.23</v>
      </c>
      <c r="F75" s="39" t="n">
        <v>17.26</v>
      </c>
      <c r="G75" s="40" t="n">
        <f aca="false">F75*(1+$G$16)</f>
        <v>21.562918</v>
      </c>
      <c r="H75" s="40" t="n">
        <f aca="false">E75*G75</f>
        <v>1837.80750114</v>
      </c>
      <c r="I75" s="41"/>
      <c r="J75" s="42" t="n">
        <f aca="false">H75/$I$124</f>
        <v>0.00959295123388896</v>
      </c>
      <c r="K75" s="28" t="s">
        <v>48</v>
      </c>
      <c r="L75" s="43" t="s">
        <v>162</v>
      </c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30" hidden="false" customHeight="false" outlineLevel="0" collapsed="false">
      <c r="A76" s="0"/>
      <c r="B76" s="28" t="s">
        <v>163</v>
      </c>
      <c r="C76" s="51" t="s">
        <v>164</v>
      </c>
      <c r="D76" s="28" t="s">
        <v>54</v>
      </c>
      <c r="E76" s="38" t="n">
        <f aca="false">VLOOKUP(C76,'MEMÓRIA DE CÁLCULO'!$C$8:$J$386,8,0)</f>
        <v>2</v>
      </c>
      <c r="F76" s="39" t="n">
        <v>14.53</v>
      </c>
      <c r="G76" s="40" t="n">
        <f aca="false">F76*(1+$G$16)</f>
        <v>18.152329</v>
      </c>
      <c r="H76" s="40" t="n">
        <f aca="false">E76*G76</f>
        <v>36.304658</v>
      </c>
      <c r="I76" s="41"/>
      <c r="J76" s="42" t="n">
        <f aca="false">H76/$I$124</f>
        <v>0.000189502335549825</v>
      </c>
      <c r="K76" s="28" t="s">
        <v>48</v>
      </c>
      <c r="L76" s="43" t="s">
        <v>165</v>
      </c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8" hidden="false" customHeight="true" outlineLevel="0" collapsed="false">
      <c r="A77" s="0"/>
      <c r="B77" s="44" t="str">
        <f aca="false">"SUBTOTAL DO ITEM "&amp;C68</f>
        <v>SUBTOTAL DO ITEM PINTURA (URBANIZAÇÃO)</v>
      </c>
      <c r="C77" s="44"/>
      <c r="D77" s="44"/>
      <c r="E77" s="44"/>
      <c r="F77" s="44"/>
      <c r="G77" s="44"/>
      <c r="H77" s="44"/>
      <c r="I77" s="45" t="n">
        <f aca="false">SUM(H69:H76)</f>
        <v>5816.16050015</v>
      </c>
      <c r="J77" s="46" t="n">
        <f aca="false">SUM(J69:J76)</f>
        <v>0.0303590795074026</v>
      </c>
      <c r="K77" s="47"/>
      <c r="L77" s="48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8" hidden="false" customHeight="true" outlineLevel="0" collapsed="false">
      <c r="A78" s="0"/>
      <c r="B78" s="31" t="s">
        <v>166</v>
      </c>
      <c r="C78" s="32" t="s">
        <v>167</v>
      </c>
      <c r="D78" s="33"/>
      <c r="E78" s="33"/>
      <c r="F78" s="33"/>
      <c r="G78" s="33"/>
      <c r="H78" s="33"/>
      <c r="I78" s="49" t="n">
        <f aca="false">I87</f>
        <v>98901.69639207</v>
      </c>
      <c r="J78" s="35"/>
      <c r="K78" s="33"/>
      <c r="L78" s="36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8" hidden="false" customHeight="true" outlineLevel="0" collapsed="false">
      <c r="A79" s="0"/>
      <c r="B79" s="28" t="s">
        <v>168</v>
      </c>
      <c r="C79" s="37" t="s">
        <v>169</v>
      </c>
      <c r="D79" s="28" t="s">
        <v>42</v>
      </c>
      <c r="E79" s="38" t="n">
        <f aca="false">VLOOKUP(C79,'MEMÓRIA DE CÁLCULO'!$C$8:$J$386,8,0)</f>
        <v>4.68</v>
      </c>
      <c r="F79" s="39" t="n">
        <v>23.47</v>
      </c>
      <c r="G79" s="40" t="n">
        <f aca="false">F79*(1+$G$16)</f>
        <v>29.321071</v>
      </c>
      <c r="H79" s="40" t="n">
        <f aca="false">E79*G79</f>
        <v>137.22261228</v>
      </c>
      <c r="I79" s="50"/>
      <c r="J79" s="42" t="n">
        <f aca="false">H79/$I$124</f>
        <v>0.000716271876664092</v>
      </c>
      <c r="K79" s="28" t="s">
        <v>48</v>
      </c>
      <c r="L79" s="43" t="s">
        <v>170</v>
      </c>
      <c r="M79" s="57" t="n">
        <v>238000</v>
      </c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8" hidden="false" customHeight="true" outlineLevel="0" collapsed="false">
      <c r="A80" s="0"/>
      <c r="B80" s="28" t="s">
        <v>171</v>
      </c>
      <c r="C80" s="37" t="s">
        <v>172</v>
      </c>
      <c r="D80" s="28" t="s">
        <v>47</v>
      </c>
      <c r="E80" s="38" t="n">
        <f aca="false">VLOOKUP(C80,'MEMÓRIA DE CÁLCULO'!$C$8:$J$386,8,0)</f>
        <v>0.234</v>
      </c>
      <c r="F80" s="39" t="n">
        <v>402.13</v>
      </c>
      <c r="G80" s="40" t="n">
        <f aca="false">F80*(1+$G$16)</f>
        <v>502.381009</v>
      </c>
      <c r="H80" s="40" t="n">
        <f aca="false">E80*G80</f>
        <v>117.557156106</v>
      </c>
      <c r="I80" s="41"/>
      <c r="J80" s="42" t="n">
        <f aca="false">H80/$I$124</f>
        <v>0.000613622517603177</v>
      </c>
      <c r="K80" s="28" t="s">
        <v>48</v>
      </c>
      <c r="L80" s="43" t="n">
        <v>87298</v>
      </c>
      <c r="M80" s="57" t="n">
        <v>238000</v>
      </c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30" hidden="false" customHeight="false" outlineLevel="0" collapsed="false">
      <c r="A81" s="0"/>
      <c r="B81" s="28" t="s">
        <v>173</v>
      </c>
      <c r="C81" s="51" t="s">
        <v>0</v>
      </c>
      <c r="D81" s="28" t="s">
        <v>47</v>
      </c>
      <c r="E81" s="38" t="n">
        <f aca="false">VLOOKUP(C81,'MEMÓRIA DE CÁLCULO'!$C$8:$J$386,8,0)</f>
        <v>22.436</v>
      </c>
      <c r="F81" s="39" t="n">
        <v>34.03</v>
      </c>
      <c r="G81" s="40" t="n">
        <f aca="false">F81*(1+$G$16)</f>
        <v>42.513679</v>
      </c>
      <c r="H81" s="40" t="n">
        <f aca="false">E81*G81</f>
        <v>953.836902044</v>
      </c>
      <c r="I81" s="41"/>
      <c r="J81" s="42" t="n">
        <f aca="false">H81/$I$124</f>
        <v>0.00497881898986481</v>
      </c>
      <c r="K81" s="28" t="s">
        <v>48</v>
      </c>
      <c r="L81" s="43" t="n">
        <v>72948</v>
      </c>
      <c r="M81" s="57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8" hidden="false" customHeight="true" outlineLevel="0" collapsed="false">
      <c r="A82" s="0"/>
      <c r="B82" s="28" t="s">
        <v>174</v>
      </c>
      <c r="C82" s="37" t="s">
        <v>2</v>
      </c>
      <c r="D82" s="28" t="s">
        <v>42</v>
      </c>
      <c r="E82" s="38" t="n">
        <f aca="false">VLOOKUP(C82,'MEMÓRIA DE CÁLCULO'!$C$8:$J$386,8,0)</f>
        <v>112.18</v>
      </c>
      <c r="F82" s="39" t="n">
        <v>40.44</v>
      </c>
      <c r="G82" s="40" t="n">
        <f aca="false">F82*(1+$G$16)</f>
        <v>50.521692</v>
      </c>
      <c r="H82" s="40" t="n">
        <f aca="false">E82*G82</f>
        <v>5667.52340856</v>
      </c>
      <c r="I82" s="41"/>
      <c r="J82" s="42" t="n">
        <f aca="false">H82/$I$124</f>
        <v>0.0295832265574688</v>
      </c>
      <c r="K82" s="28" t="s">
        <v>43</v>
      </c>
      <c r="L82" s="43" t="s">
        <v>1</v>
      </c>
      <c r="M82" s="57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30" hidden="false" customHeight="true" outlineLevel="0" collapsed="false">
      <c r="A83" s="0"/>
      <c r="B83" s="28" t="s">
        <v>175</v>
      </c>
      <c r="C83" s="51" t="s">
        <v>176</v>
      </c>
      <c r="D83" s="28" t="s">
        <v>42</v>
      </c>
      <c r="E83" s="38" t="n">
        <f aca="false">VLOOKUP(C83,'MEMÓRIA DE CÁLCULO'!$C$8:$J$386,8,0)</f>
        <v>824.91</v>
      </c>
      <c r="F83" s="39" t="n">
        <v>67.61</v>
      </c>
      <c r="G83" s="40" t="n">
        <f aca="false">F83*(1+$G$16)</f>
        <v>84.465173</v>
      </c>
      <c r="H83" s="40" t="n">
        <f aca="false">E83*G83</f>
        <v>69676.16585943</v>
      </c>
      <c r="I83" s="41"/>
      <c r="J83" s="42" t="n">
        <f aca="false">H83/$I$124</f>
        <v>0.363694272027543</v>
      </c>
      <c r="K83" s="28" t="s">
        <v>48</v>
      </c>
      <c r="L83" s="43" t="s">
        <v>177</v>
      </c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30" hidden="false" customHeight="true" outlineLevel="0" collapsed="false">
      <c r="A84" s="0"/>
      <c r="B84" s="28" t="s">
        <v>178</v>
      </c>
      <c r="C84" s="51" t="s">
        <v>4</v>
      </c>
      <c r="D84" s="28" t="s">
        <v>42</v>
      </c>
      <c r="E84" s="38" t="n">
        <f aca="false">VLOOKUP(C84,'MEMÓRIA DE CÁLCULO'!$C$8:$J$386,8,0)</f>
        <v>336.55</v>
      </c>
      <c r="F84" s="39" t="n">
        <v>39.61</v>
      </c>
      <c r="G84" s="40" t="n">
        <f aca="false">F84*(1+$G$16)</f>
        <v>49.484773</v>
      </c>
      <c r="H84" s="40" t="n">
        <f aca="false">E84*G84</f>
        <v>16654.10035315</v>
      </c>
      <c r="I84" s="41"/>
      <c r="J84" s="42" t="n">
        <f aca="false">H84/$I$124</f>
        <v>0.0869307435261636</v>
      </c>
      <c r="K84" s="28" t="s">
        <v>48</v>
      </c>
      <c r="L84" s="43" t="s">
        <v>3</v>
      </c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30" hidden="false" customHeight="true" outlineLevel="0" collapsed="false">
      <c r="A85" s="0"/>
      <c r="B85" s="28" t="s">
        <v>179</v>
      </c>
      <c r="C85" s="51" t="s">
        <v>6</v>
      </c>
      <c r="D85" s="28" t="s">
        <v>42</v>
      </c>
      <c r="E85" s="38" t="n">
        <f aca="false">VLOOKUP(C85,'MEMÓRIA DE CÁLCULO'!$C$8:$J$386,8,0)</f>
        <v>57.9</v>
      </c>
      <c r="F85" s="39" t="n">
        <v>32.8</v>
      </c>
      <c r="G85" s="40" t="n">
        <f aca="false">F85*(1+$G$16)</f>
        <v>40.97704</v>
      </c>
      <c r="H85" s="40" t="n">
        <f aca="false">E85*G85</f>
        <v>2372.570616</v>
      </c>
      <c r="I85" s="41"/>
      <c r="J85" s="42" t="n">
        <f aca="false">H85/$I$124</f>
        <v>0.0123842971606808</v>
      </c>
      <c r="K85" s="28" t="s">
        <v>48</v>
      </c>
      <c r="L85" s="43" t="s">
        <v>5</v>
      </c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8" hidden="false" customHeight="true" outlineLevel="0" collapsed="false">
      <c r="A86" s="0"/>
      <c r="B86" s="28" t="s">
        <v>180</v>
      </c>
      <c r="C86" s="37" t="s">
        <v>181</v>
      </c>
      <c r="D86" s="28" t="s">
        <v>107</v>
      </c>
      <c r="E86" s="38" t="n">
        <f aca="false">VLOOKUP(C86,'MEMÓRIA DE CÁLCULO'!$C$8:$J$386,8,0)</f>
        <v>157.75</v>
      </c>
      <c r="F86" s="39" t="n">
        <v>16.86</v>
      </c>
      <c r="G86" s="40" t="n">
        <f aca="false">F86*(1+$G$16)</f>
        <v>21.063198</v>
      </c>
      <c r="H86" s="40" t="n">
        <f aca="false">E86*G86</f>
        <v>3322.7194845</v>
      </c>
      <c r="I86" s="41"/>
      <c r="J86" s="42" t="n">
        <f aca="false">H86/$I$124</f>
        <v>0.0173438654260194</v>
      </c>
      <c r="K86" s="28" t="s">
        <v>43</v>
      </c>
      <c r="L86" s="43" t="s">
        <v>8</v>
      </c>
      <c r="M86" s="57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8" hidden="false" customHeight="true" outlineLevel="0" collapsed="false">
      <c r="A87" s="0"/>
      <c r="B87" s="44" t="str">
        <f aca="false">"SUBTOTAL DO ITEM "&amp;C78</f>
        <v>SUBTOTAL DO ITEM PISO E PAVIMENTAÇÃO (URBANIZAÇÃO)</v>
      </c>
      <c r="C87" s="44"/>
      <c r="D87" s="44"/>
      <c r="E87" s="44"/>
      <c r="F87" s="44"/>
      <c r="G87" s="44"/>
      <c r="H87" s="44"/>
      <c r="I87" s="45" t="n">
        <f aca="false">SUM(H79:H86)</f>
        <v>98901.69639207</v>
      </c>
      <c r="J87" s="46" t="n">
        <f aca="false">SUM(J79:J86)</f>
        <v>0.516245118082008</v>
      </c>
      <c r="K87" s="47"/>
      <c r="L87" s="48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8" hidden="false" customHeight="true" outlineLevel="0" collapsed="false">
      <c r="A88" s="0"/>
      <c r="B88" s="31" t="s">
        <v>182</v>
      </c>
      <c r="C88" s="32" t="s">
        <v>183</v>
      </c>
      <c r="D88" s="33"/>
      <c r="E88" s="33"/>
      <c r="F88" s="33"/>
      <c r="G88" s="33"/>
      <c r="H88" s="33"/>
      <c r="I88" s="49" t="n">
        <f aca="false">I104</f>
        <v>6634.1303054</v>
      </c>
      <c r="J88" s="35"/>
      <c r="K88" s="33"/>
      <c r="L88" s="36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8" hidden="false" customHeight="true" outlineLevel="0" collapsed="false">
      <c r="A89" s="0"/>
      <c r="B89" s="28" t="s">
        <v>184</v>
      </c>
      <c r="C89" s="58" t="s">
        <v>185</v>
      </c>
      <c r="D89" s="28"/>
      <c r="E89" s="38" t="s">
        <v>18</v>
      </c>
      <c r="F89" s="59" t="s">
        <v>18</v>
      </c>
      <c r="G89" s="40" t="s">
        <v>18</v>
      </c>
      <c r="H89" s="40" t="s">
        <v>18</v>
      </c>
      <c r="I89" s="50"/>
      <c r="J89" s="42" t="s">
        <v>18</v>
      </c>
      <c r="K89" s="28" t="s">
        <v>18</v>
      </c>
      <c r="L89" s="43"/>
      <c r="M89" s="57" t="n">
        <v>238000</v>
      </c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8" hidden="false" customHeight="true" outlineLevel="0" collapsed="false">
      <c r="A90" s="0"/>
      <c r="B90" s="28" t="s">
        <v>186</v>
      </c>
      <c r="C90" s="37" t="str">
        <f aca="false">'COMPOSIÇÕES ANALÍTICAS'!B7</f>
        <v>PONTO ELÉTRICO, MATERIAL E EXECUÇÃO</v>
      </c>
      <c r="D90" s="28" t="s">
        <v>187</v>
      </c>
      <c r="E90" s="38" t="n">
        <f aca="false">VLOOKUP(C90,'MEMÓRIA DE CÁLCULO'!$C$8:$J$386,8,0)</f>
        <v>4</v>
      </c>
      <c r="F90" s="39" t="n">
        <f aca="false">'COMPOSIÇÕES ANALÍTICAS'!G33</f>
        <v>124.117</v>
      </c>
      <c r="G90" s="40" t="n">
        <f aca="false">F90*(1+$G$16)</f>
        <v>155.0593681</v>
      </c>
      <c r="H90" s="40" t="n">
        <f aca="false">E90*G90</f>
        <v>620.2374724</v>
      </c>
      <c r="I90" s="41"/>
      <c r="J90" s="42" t="n">
        <f aca="false">H90/$I$124</f>
        <v>0.00323750328719031</v>
      </c>
      <c r="K90" s="28" t="s">
        <v>48</v>
      </c>
      <c r="L90" s="43" t="s">
        <v>188</v>
      </c>
      <c r="M90" s="57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8" hidden="false" customHeight="true" outlineLevel="0" collapsed="false">
      <c r="A91" s="0"/>
      <c r="B91" s="28" t="s">
        <v>189</v>
      </c>
      <c r="C91" s="37" t="s">
        <v>190</v>
      </c>
      <c r="D91" s="28" t="s">
        <v>54</v>
      </c>
      <c r="E91" s="38" t="n">
        <f aca="false">VLOOKUP(C91,'MEMÓRIA DE CÁLCULO'!$C$8:$J$386,8,0)</f>
        <v>2</v>
      </c>
      <c r="F91" s="39" t="n">
        <v>10.81</v>
      </c>
      <c r="G91" s="40" t="n">
        <f aca="false">F91*(1+$G$16)</f>
        <v>13.504933</v>
      </c>
      <c r="H91" s="40" t="n">
        <f aca="false">E91*G91</f>
        <v>27.009866</v>
      </c>
      <c r="I91" s="41"/>
      <c r="J91" s="42" t="n">
        <f aca="false">H91/$I$124</f>
        <v>0.000140985564163359</v>
      </c>
      <c r="K91" s="28" t="s">
        <v>48</v>
      </c>
      <c r="L91" s="43" t="n">
        <v>83540</v>
      </c>
      <c r="M91" s="57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8" hidden="false" customHeight="true" outlineLevel="0" collapsed="false">
      <c r="A92" s="0"/>
      <c r="B92" s="28" t="s">
        <v>191</v>
      </c>
      <c r="C92" s="37" t="s">
        <v>192</v>
      </c>
      <c r="D92" s="28" t="s">
        <v>54</v>
      </c>
      <c r="E92" s="38" t="n">
        <f aca="false">VLOOKUP(C92,'MEMÓRIA DE CÁLCULO'!$C$8:$J$386,8,0)</f>
        <v>2</v>
      </c>
      <c r="F92" s="39" t="n">
        <v>131.26</v>
      </c>
      <c r="G92" s="40" t="n">
        <f aca="false">F92*(1+$G$16)</f>
        <v>163.983118</v>
      </c>
      <c r="H92" s="40" t="n">
        <f aca="false">E92*G92</f>
        <v>327.966236</v>
      </c>
      <c r="I92" s="41"/>
      <c r="J92" s="42" t="n">
        <f aca="false">H92/$I$124</f>
        <v>0.00171191166994287</v>
      </c>
      <c r="K92" s="28" t="s">
        <v>193</v>
      </c>
      <c r="L92" s="43" t="n">
        <v>3395</v>
      </c>
      <c r="M92" s="57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8" hidden="false" customHeight="true" outlineLevel="0" collapsed="false">
      <c r="A93" s="0"/>
      <c r="B93" s="28" t="s">
        <v>194</v>
      </c>
      <c r="C93" s="37" t="s">
        <v>195</v>
      </c>
      <c r="D93" s="28" t="s">
        <v>187</v>
      </c>
      <c r="E93" s="38" t="n">
        <f aca="false">VLOOKUP(C93,'MEMÓRIA DE CÁLCULO'!$C$8:$J$386,8,0)</f>
        <v>1</v>
      </c>
      <c r="F93" s="39" t="n">
        <v>124.94</v>
      </c>
      <c r="G93" s="40" t="n">
        <f aca="false">F93*(1+$G$16)</f>
        <v>156.087542</v>
      </c>
      <c r="H93" s="40" t="n">
        <f aca="false">E93*G93</f>
        <v>156.087542</v>
      </c>
      <c r="I93" s="41"/>
      <c r="J93" s="42" t="n">
        <f aca="false">H93/$I$124</f>
        <v>0.000814742663578633</v>
      </c>
      <c r="K93" s="29" t="s">
        <v>43</v>
      </c>
      <c r="L93" s="43" t="s">
        <v>196</v>
      </c>
      <c r="M93" s="57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8" hidden="false" customHeight="true" outlineLevel="0" collapsed="false">
      <c r="A94" s="0"/>
      <c r="B94" s="28" t="s">
        <v>197</v>
      </c>
      <c r="C94" s="37" t="s">
        <v>198</v>
      </c>
      <c r="D94" s="28" t="s">
        <v>54</v>
      </c>
      <c r="E94" s="38" t="n">
        <f aca="false">VLOOKUP(C94,'MEMÓRIA DE CÁLCULO'!$C$8:$J$386,8,0)</f>
        <v>1</v>
      </c>
      <c r="F94" s="39" t="n">
        <v>215.73</v>
      </c>
      <c r="G94" s="40" t="n">
        <f aca="false">F94*(1+$G$16)</f>
        <v>269.511489</v>
      </c>
      <c r="H94" s="40" t="n">
        <f aca="false">E94*G94</f>
        <v>269.511489</v>
      </c>
      <c r="I94" s="41"/>
      <c r="J94" s="42" t="n">
        <f aca="false">H94/$I$124</f>
        <v>0.00140679073806482</v>
      </c>
      <c r="K94" s="29" t="s">
        <v>43</v>
      </c>
      <c r="L94" s="60" t="s">
        <v>199</v>
      </c>
      <c r="M94" s="57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8" hidden="false" customHeight="true" outlineLevel="0" collapsed="false">
      <c r="A95" s="0"/>
      <c r="B95" s="28" t="s">
        <v>200</v>
      </c>
      <c r="C95" s="37" t="s">
        <v>201</v>
      </c>
      <c r="D95" s="28" t="s">
        <v>54</v>
      </c>
      <c r="E95" s="38" t="n">
        <f aca="false">VLOOKUP(C95,'MEMÓRIA DE CÁLCULO'!$C$8:$J$386,8,0)</f>
        <v>3</v>
      </c>
      <c r="F95" s="39" t="n">
        <v>24.37</v>
      </c>
      <c r="G95" s="40" t="n">
        <f aca="false">F95*(1+$G$16)</f>
        <v>30.445441</v>
      </c>
      <c r="H95" s="40" t="n">
        <f aca="false">E95*G95</f>
        <v>91.336323</v>
      </c>
      <c r="I95" s="41"/>
      <c r="J95" s="42" t="n">
        <f aca="false">H95/$I$124</f>
        <v>0.000476755531729101</v>
      </c>
      <c r="K95" s="29" t="s">
        <v>48</v>
      </c>
      <c r="L95" s="60" t="s">
        <v>202</v>
      </c>
      <c r="M95" s="57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8" hidden="false" customHeight="true" outlineLevel="0" collapsed="false">
      <c r="A96" s="0"/>
      <c r="B96" s="28" t="s">
        <v>203</v>
      </c>
      <c r="C96" s="37" t="s">
        <v>204</v>
      </c>
      <c r="D96" s="28" t="s">
        <v>54</v>
      </c>
      <c r="E96" s="38" t="n">
        <f aca="false">VLOOKUP(C96,'MEMÓRIA DE CÁLCULO'!$C$8:$J$386,8,0)</f>
        <v>3</v>
      </c>
      <c r="F96" s="39" t="n">
        <v>4.7</v>
      </c>
      <c r="G96" s="40" t="n">
        <f aca="false">F96*(1+$G$16)</f>
        <v>5.87171</v>
      </c>
      <c r="H96" s="40" t="n">
        <f aca="false">E96*G96</f>
        <v>17.61513</v>
      </c>
      <c r="I96" s="41"/>
      <c r="J96" s="42" t="n">
        <f aca="false">H96/$I$124</f>
        <v>9.19471070630601E-005</v>
      </c>
      <c r="K96" s="29" t="s">
        <v>48</v>
      </c>
      <c r="L96" s="60" t="n">
        <v>83468</v>
      </c>
      <c r="M96" s="57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8" hidden="false" customHeight="true" outlineLevel="0" collapsed="false">
      <c r="A97" s="0"/>
      <c r="B97" s="28" t="s">
        <v>205</v>
      </c>
      <c r="C97" s="37" t="s">
        <v>206</v>
      </c>
      <c r="D97" s="28" t="s">
        <v>54</v>
      </c>
      <c r="E97" s="38" t="n">
        <f aca="false">VLOOKUP(C97,'MEMÓRIA DE CÁLCULO'!$C$8:$J$386,8,0)</f>
        <v>2</v>
      </c>
      <c r="F97" s="39" t="n">
        <v>1356.4</v>
      </c>
      <c r="G97" s="40" t="n">
        <f aca="false">F97*(1+$G$16)</f>
        <v>1694.55052</v>
      </c>
      <c r="H97" s="40" t="n">
        <f aca="false">E97*G97</f>
        <v>3389.10104</v>
      </c>
      <c r="I97" s="41"/>
      <c r="J97" s="42" t="n">
        <f aca="false">H97/$I$124</f>
        <v>0.0176903625560758</v>
      </c>
      <c r="K97" s="29" t="s">
        <v>48</v>
      </c>
      <c r="L97" s="60" t="s">
        <v>207</v>
      </c>
      <c r="M97" s="57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8" hidden="false" customHeight="true" outlineLevel="0" collapsed="false">
      <c r="A98" s="0"/>
      <c r="B98" s="28" t="s">
        <v>208</v>
      </c>
      <c r="C98" s="58" t="s">
        <v>209</v>
      </c>
      <c r="D98" s="28" t="s">
        <v>18</v>
      </c>
      <c r="E98" s="38" t="s">
        <v>18</v>
      </c>
      <c r="F98" s="39" t="s">
        <v>18</v>
      </c>
      <c r="G98" s="40" t="s">
        <v>18</v>
      </c>
      <c r="H98" s="40" t="s">
        <v>18</v>
      </c>
      <c r="I98" s="41"/>
      <c r="J98" s="42" t="s">
        <v>18</v>
      </c>
      <c r="K98" s="28" t="s">
        <v>18</v>
      </c>
      <c r="L98" s="43"/>
      <c r="M98" s="57" t="n">
        <v>238000</v>
      </c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8" hidden="false" customHeight="true" outlineLevel="0" collapsed="false">
      <c r="A99" s="0"/>
      <c r="B99" s="28" t="s">
        <v>210</v>
      </c>
      <c r="C99" s="37" t="s">
        <v>211</v>
      </c>
      <c r="D99" s="28" t="s">
        <v>187</v>
      </c>
      <c r="E99" s="38" t="n">
        <f aca="false">VLOOKUP(C99,'MEMÓRIA DE CÁLCULO'!$C$8:$J$386,8,0)</f>
        <v>2</v>
      </c>
      <c r="F99" s="39" t="n">
        <v>137.79</v>
      </c>
      <c r="G99" s="40" t="n">
        <f aca="false">F99*(1+$G$16)</f>
        <v>172.141047</v>
      </c>
      <c r="H99" s="40" t="n">
        <f aca="false">E99*G99</f>
        <v>344.282094</v>
      </c>
      <c r="I99" s="41"/>
      <c r="J99" s="42" t="n">
        <f aca="false">H99/$I$124</f>
        <v>0.00179707686272611</v>
      </c>
      <c r="K99" s="29" t="s">
        <v>43</v>
      </c>
      <c r="L99" s="60" t="s">
        <v>212</v>
      </c>
      <c r="M99" s="57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8" hidden="false" customHeight="true" outlineLevel="0" collapsed="false">
      <c r="A100" s="0"/>
      <c r="B100" s="28" t="s">
        <v>213</v>
      </c>
      <c r="C100" s="58" t="s">
        <v>214</v>
      </c>
      <c r="D100" s="28" t="s">
        <v>18</v>
      </c>
      <c r="E100" s="38" t="s">
        <v>18</v>
      </c>
      <c r="F100" s="39" t="s">
        <v>18</v>
      </c>
      <c r="G100" s="40" t="s">
        <v>18</v>
      </c>
      <c r="H100" s="40" t="s">
        <v>18</v>
      </c>
      <c r="I100" s="41"/>
      <c r="J100" s="42" t="s">
        <v>18</v>
      </c>
      <c r="K100" s="61" t="s">
        <v>18</v>
      </c>
      <c r="L100" s="60"/>
      <c r="M100" s="57" t="n">
        <v>238000</v>
      </c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18" hidden="false" customHeight="true" outlineLevel="0" collapsed="false">
      <c r="A101" s="0"/>
      <c r="B101" s="28" t="s">
        <v>215</v>
      </c>
      <c r="C101" s="37" t="s">
        <v>216</v>
      </c>
      <c r="D101" s="28" t="s">
        <v>187</v>
      </c>
      <c r="E101" s="38" t="n">
        <f aca="false">VLOOKUP(C101,'MEMÓRIA DE CÁLCULO'!$C$8:$J$386,8,0)</f>
        <v>1</v>
      </c>
      <c r="F101" s="39" t="n">
        <v>125.69</v>
      </c>
      <c r="G101" s="40" t="n">
        <f aca="false">F101*(1+$G$16)</f>
        <v>157.024517</v>
      </c>
      <c r="H101" s="40" t="n">
        <f aca="false">E101*G101</f>
        <v>157.024517</v>
      </c>
      <c r="I101" s="41"/>
      <c r="J101" s="42" t="n">
        <f aca="false">H101/$I$124</f>
        <v>0.000819633467145817</v>
      </c>
      <c r="K101" s="29" t="s">
        <v>43</v>
      </c>
      <c r="L101" s="60" t="s">
        <v>217</v>
      </c>
      <c r="M101" s="57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18" hidden="false" customHeight="true" outlineLevel="0" collapsed="false">
      <c r="A102" s="0"/>
      <c r="B102" s="28" t="s">
        <v>218</v>
      </c>
      <c r="C102" s="37" t="s">
        <v>219</v>
      </c>
      <c r="D102" s="28" t="s">
        <v>187</v>
      </c>
      <c r="E102" s="38" t="n">
        <f aca="false">VLOOKUP(C102,'MEMÓRIA DE CÁLCULO'!$C$8:$J$386,8,0)</f>
        <v>2</v>
      </c>
      <c r="F102" s="39" t="n">
        <v>127.52</v>
      </c>
      <c r="G102" s="40" t="n">
        <f aca="false">F102*(1+$G$16)</f>
        <v>159.310736</v>
      </c>
      <c r="H102" s="40" t="n">
        <f aca="false">E102*G102</f>
        <v>318.621472</v>
      </c>
      <c r="I102" s="41"/>
      <c r="J102" s="42" t="n">
        <f aca="false">H102/$I$124</f>
        <v>0.00166313405569949</v>
      </c>
      <c r="K102" s="29" t="s">
        <v>43</v>
      </c>
      <c r="L102" s="60" t="s">
        <v>220</v>
      </c>
      <c r="M102" s="57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30" hidden="false" customHeight="false" outlineLevel="0" collapsed="false">
      <c r="A103" s="0"/>
      <c r="B103" s="28" t="s">
        <v>221</v>
      </c>
      <c r="C103" s="51" t="s">
        <v>222</v>
      </c>
      <c r="D103" s="28" t="s">
        <v>107</v>
      </c>
      <c r="E103" s="38" t="n">
        <f aca="false">VLOOKUP(C103,'MEMÓRIA DE CÁLCULO'!$C$8:$J$386,8,0)</f>
        <v>26</v>
      </c>
      <c r="F103" s="39" t="n">
        <v>28.18</v>
      </c>
      <c r="G103" s="40" t="n">
        <f aca="false">F103*(1+$G$16)</f>
        <v>35.205274</v>
      </c>
      <c r="H103" s="40" t="n">
        <f aca="false">E103*G103</f>
        <v>915.337124</v>
      </c>
      <c r="I103" s="41"/>
      <c r="J103" s="42" t="n">
        <f aca="false">H103/$I$124</f>
        <v>0.00477785861013921</v>
      </c>
      <c r="K103" s="29" t="s">
        <v>48</v>
      </c>
      <c r="L103" s="56" t="n">
        <v>89714</v>
      </c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customFormat="false" ht="18" hidden="false" customHeight="true" outlineLevel="0" collapsed="false">
      <c r="A104" s="0"/>
      <c r="B104" s="44" t="str">
        <f aca="false">"SUBTOTAL DO ITEM "&amp;C88</f>
        <v>SUBTOTAL DO ITEM INSTALAÇÕES (URBANIZAÇÃO)</v>
      </c>
      <c r="C104" s="44"/>
      <c r="D104" s="44"/>
      <c r="E104" s="44"/>
      <c r="F104" s="44"/>
      <c r="G104" s="44"/>
      <c r="H104" s="44"/>
      <c r="I104" s="45" t="n">
        <f aca="false">SUM(H89:H103)</f>
        <v>6634.1303054</v>
      </c>
      <c r="J104" s="46" t="n">
        <f aca="false">SUM(J89:J103)</f>
        <v>0.0346287021135186</v>
      </c>
      <c r="K104" s="62"/>
      <c r="L104" s="63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customFormat="false" ht="18" hidden="false" customHeight="true" outlineLevel="0" collapsed="false">
      <c r="A105" s="0"/>
      <c r="B105" s="31" t="s">
        <v>223</v>
      </c>
      <c r="C105" s="32" t="s">
        <v>224</v>
      </c>
      <c r="D105" s="33"/>
      <c r="E105" s="33"/>
      <c r="F105" s="33"/>
      <c r="G105" s="33"/>
      <c r="H105" s="33"/>
      <c r="I105" s="49" t="n">
        <f aca="false">I116</f>
        <v>985.585263</v>
      </c>
      <c r="J105" s="35"/>
      <c r="K105" s="33"/>
      <c r="L105" s="36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52" customFormat="true" ht="30" hidden="false" customHeight="false" outlineLevel="0" collapsed="false">
      <c r="B106" s="28" t="s">
        <v>225</v>
      </c>
      <c r="C106" s="51" t="s">
        <v>226</v>
      </c>
      <c r="D106" s="28" t="s">
        <v>54</v>
      </c>
      <c r="E106" s="38" t="n">
        <f aca="false">VLOOKUP(C106,'MEMÓRIA DE CÁLCULO'!$C$8:$J$386,8,0)</f>
        <v>2</v>
      </c>
      <c r="F106" s="53" t="n">
        <v>40.16</v>
      </c>
      <c r="G106" s="54" t="n">
        <f aca="false">F106*(1+$G$16)</f>
        <v>50.171888</v>
      </c>
      <c r="H106" s="54" t="n">
        <f aca="false">E106*G106</f>
        <v>100.343776</v>
      </c>
      <c r="I106" s="50"/>
      <c r="J106" s="55" t="n">
        <f aca="false">H106/$I$124</f>
        <v>0.000523772456688297</v>
      </c>
      <c r="K106" s="29" t="s">
        <v>48</v>
      </c>
      <c r="L106" s="56" t="n">
        <v>91307</v>
      </c>
    </row>
    <row r="107" customFormat="false" ht="30" hidden="false" customHeight="false" outlineLevel="0" collapsed="false">
      <c r="A107" s="52"/>
      <c r="B107" s="28" t="s">
        <v>227</v>
      </c>
      <c r="C107" s="51" t="s">
        <v>228</v>
      </c>
      <c r="D107" s="28" t="s">
        <v>54</v>
      </c>
      <c r="E107" s="38" t="n">
        <f aca="false">VLOOKUP(C107,'MEMÓRIA DE CÁLCULO'!$C$8:$J$386,8,0)</f>
        <v>1</v>
      </c>
      <c r="F107" s="53" t="n">
        <v>34.26</v>
      </c>
      <c r="G107" s="54" t="n">
        <f aca="false">F107*(1+$G$16)</f>
        <v>42.801018</v>
      </c>
      <c r="H107" s="54" t="n">
        <f aca="false">E107*G107</f>
        <v>42.801018</v>
      </c>
      <c r="I107" s="64"/>
      <c r="J107" s="55" t="n">
        <f aca="false">H107/$I$124</f>
        <v>0.000223411906948967</v>
      </c>
      <c r="K107" s="29" t="s">
        <v>48</v>
      </c>
      <c r="L107" s="56" t="n">
        <v>86906</v>
      </c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30" hidden="false" customHeight="false" outlineLevel="0" collapsed="false">
      <c r="A108" s="0"/>
      <c r="B108" s="28" t="s">
        <v>229</v>
      </c>
      <c r="C108" s="51" t="s">
        <v>230</v>
      </c>
      <c r="D108" s="28" t="s">
        <v>54</v>
      </c>
      <c r="E108" s="38" t="n">
        <f aca="false">VLOOKUP(C108,'MEMÓRIA DE CÁLCULO'!$C$8:$J$386,8,0)</f>
        <v>1</v>
      </c>
      <c r="F108" s="39" t="n">
        <v>289.2</v>
      </c>
      <c r="G108" s="40" t="n">
        <f aca="false">F108*(1+$G$16)</f>
        <v>361.29756</v>
      </c>
      <c r="H108" s="40" t="n">
        <f aca="false">E108*G108</f>
        <v>361.29756</v>
      </c>
      <c r="I108" s="41"/>
      <c r="J108" s="42" t="n">
        <f aca="false">H108/$I$124</f>
        <v>0.00188589385550617</v>
      </c>
      <c r="K108" s="29" t="s">
        <v>48</v>
      </c>
      <c r="L108" s="43" t="n">
        <v>86931</v>
      </c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30" hidden="false" customHeight="false" outlineLevel="0" collapsed="false">
      <c r="A109" s="0"/>
      <c r="B109" s="28" t="s">
        <v>231</v>
      </c>
      <c r="C109" s="51" t="s">
        <v>232</v>
      </c>
      <c r="D109" s="28" t="s">
        <v>54</v>
      </c>
      <c r="E109" s="38" t="n">
        <f aca="false">VLOOKUP(C109,'MEMÓRIA DE CÁLCULO'!$C$8:$J$386,8,0)</f>
        <v>1</v>
      </c>
      <c r="F109" s="39" t="n">
        <v>30.71</v>
      </c>
      <c r="G109" s="40" t="n">
        <f aca="false">F109*(1+$G$16)</f>
        <v>38.366003</v>
      </c>
      <c r="H109" s="40" t="n">
        <f aca="false">E109*G109</f>
        <v>38.366003</v>
      </c>
      <c r="I109" s="41"/>
      <c r="J109" s="42" t="n">
        <f aca="false">H109/$I$124</f>
        <v>0.000200262103397629</v>
      </c>
      <c r="K109" s="29" t="s">
        <v>48</v>
      </c>
      <c r="L109" s="43" t="n">
        <v>89971</v>
      </c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30" hidden="false" customHeight="false" outlineLevel="0" collapsed="false">
      <c r="A110" s="0"/>
      <c r="B110" s="28" t="s">
        <v>233</v>
      </c>
      <c r="C110" s="51" t="s">
        <v>234</v>
      </c>
      <c r="D110" s="28" t="s">
        <v>54</v>
      </c>
      <c r="E110" s="38" t="n">
        <f aca="false">VLOOKUP(C110,'MEMÓRIA DE CÁLCULO'!$C$8:$J$386,8,0)</f>
        <v>1</v>
      </c>
      <c r="F110" s="39" t="n">
        <v>25.84</v>
      </c>
      <c r="G110" s="40" t="n">
        <f aca="false">F110*(1+$G$16)</f>
        <v>32.281912</v>
      </c>
      <c r="H110" s="40" t="n">
        <f aca="false">E110*G110</f>
        <v>32.281912</v>
      </c>
      <c r="I110" s="41"/>
      <c r="J110" s="42" t="n">
        <f aca="false">H110/$I$124</f>
        <v>0.000168504485568048</v>
      </c>
      <c r="K110" s="29" t="s">
        <v>48</v>
      </c>
      <c r="L110" s="43" t="n">
        <v>89969</v>
      </c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8" hidden="false" customHeight="true" outlineLevel="0" collapsed="false">
      <c r="A111" s="0"/>
      <c r="B111" s="28" t="s">
        <v>235</v>
      </c>
      <c r="C111" s="37" t="s">
        <v>236</v>
      </c>
      <c r="D111" s="28" t="s">
        <v>54</v>
      </c>
      <c r="E111" s="38" t="n">
        <f aca="false">VLOOKUP(C111,'MEMÓRIA DE CÁLCULO'!$C$8:$J$386,8,0)</f>
        <v>1</v>
      </c>
      <c r="F111" s="39" t="n">
        <v>18.92</v>
      </c>
      <c r="G111" s="40" t="n">
        <f aca="false">F111*(1+$G$16)</f>
        <v>23.636756</v>
      </c>
      <c r="H111" s="40" t="n">
        <f aca="false">E111*G111</f>
        <v>23.636756</v>
      </c>
      <c r="I111" s="41"/>
      <c r="J111" s="42" t="n">
        <f aca="false">H111/$I$124</f>
        <v>0.000123378671321496</v>
      </c>
      <c r="K111" s="28" t="s">
        <v>193</v>
      </c>
      <c r="L111" s="43" t="n">
        <v>2045</v>
      </c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8" hidden="false" customHeight="true" outlineLevel="0" collapsed="false">
      <c r="A112" s="0"/>
      <c r="B112" s="28" t="s">
        <v>237</v>
      </c>
      <c r="C112" s="37" t="s">
        <v>238</v>
      </c>
      <c r="D112" s="28" t="s">
        <v>54</v>
      </c>
      <c r="E112" s="38" t="n">
        <f aca="false">VLOOKUP(C112,'MEMÓRIA DE CÁLCULO'!$C$8:$J$386,8,0)</f>
        <v>1</v>
      </c>
      <c r="F112" s="39" t="n">
        <v>110.65</v>
      </c>
      <c r="G112" s="40" t="n">
        <f aca="false">F112*(1+$G$16)</f>
        <v>138.235045</v>
      </c>
      <c r="H112" s="40" t="n">
        <f aca="false">E112*G112</f>
        <v>138.235045</v>
      </c>
      <c r="I112" s="41"/>
      <c r="J112" s="42" t="n">
        <f aca="false">H112/$I$124</f>
        <v>0.00072155655294522</v>
      </c>
      <c r="K112" s="28" t="s">
        <v>193</v>
      </c>
      <c r="L112" s="60" t="n">
        <v>7610</v>
      </c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8" hidden="false" customHeight="true" outlineLevel="0" collapsed="false">
      <c r="A113" s="0"/>
      <c r="B113" s="28" t="s">
        <v>239</v>
      </c>
      <c r="C113" s="37" t="s">
        <v>240</v>
      </c>
      <c r="D113" s="28" t="s">
        <v>54</v>
      </c>
      <c r="E113" s="38" t="n">
        <f aca="false">VLOOKUP(C113,'MEMÓRIA DE CÁLCULO'!$C$8:$J$386,8,0)</f>
        <v>1</v>
      </c>
      <c r="F113" s="39" t="n">
        <v>52.48</v>
      </c>
      <c r="G113" s="40" t="n">
        <f aca="false">F113*(1+$G$16)</f>
        <v>65.563264</v>
      </c>
      <c r="H113" s="40" t="n">
        <f aca="false">E113*G113</f>
        <v>65.563264</v>
      </c>
      <c r="I113" s="41"/>
      <c r="J113" s="42" t="n">
        <f aca="false">H113/$I$124</f>
        <v>0.000342225828274425</v>
      </c>
      <c r="K113" s="28" t="s">
        <v>193</v>
      </c>
      <c r="L113" s="60" t="n">
        <v>7611</v>
      </c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8" hidden="false" customHeight="true" outlineLevel="0" collapsed="false">
      <c r="A114" s="0"/>
      <c r="B114" s="28" t="s">
        <v>241</v>
      </c>
      <c r="C114" s="37" t="s">
        <v>242</v>
      </c>
      <c r="D114" s="28" t="s">
        <v>54</v>
      </c>
      <c r="E114" s="38" t="n">
        <f aca="false">VLOOKUP(C114,'MEMÓRIA DE CÁLCULO'!$C$8:$J$386,8,0)</f>
        <v>1</v>
      </c>
      <c r="F114" s="39" t="n">
        <v>13.96</v>
      </c>
      <c r="G114" s="40" t="n">
        <f aca="false">F114*(1+$G$16)</f>
        <v>17.440228</v>
      </c>
      <c r="H114" s="40" t="n">
        <f aca="false">E114*G114</f>
        <v>17.440228</v>
      </c>
      <c r="I114" s="41"/>
      <c r="J114" s="42" t="n">
        <f aca="false">H114/$I$124</f>
        <v>9.10341570638524E-005</v>
      </c>
      <c r="K114" s="29" t="s">
        <v>48</v>
      </c>
      <c r="L114" s="43" t="n">
        <v>89482</v>
      </c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8" hidden="false" customHeight="true" outlineLevel="0" collapsed="false">
      <c r="A115" s="0"/>
      <c r="B115" s="28" t="s">
        <v>243</v>
      </c>
      <c r="C115" s="37" t="s">
        <v>244</v>
      </c>
      <c r="D115" s="28" t="s">
        <v>54</v>
      </c>
      <c r="E115" s="38" t="n">
        <f aca="false">VLOOKUP(C115,'MEMÓRIA DE CÁLCULO'!$C$8:$J$386,8,0)</f>
        <v>1</v>
      </c>
      <c r="F115" s="39" t="n">
        <v>132.57</v>
      </c>
      <c r="G115" s="40" t="n">
        <f aca="false">F115*(1+$G$16)</f>
        <v>165.619701</v>
      </c>
      <c r="H115" s="40" t="n">
        <f aca="false">E115*G115</f>
        <v>165.619701</v>
      </c>
      <c r="I115" s="41"/>
      <c r="J115" s="42" t="n">
        <f aca="false">H115/$I$124</f>
        <v>0.000864498438535452</v>
      </c>
      <c r="K115" s="29" t="s">
        <v>48</v>
      </c>
      <c r="L115" s="43" t="n">
        <v>86943</v>
      </c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18" hidden="false" customHeight="true" outlineLevel="0" collapsed="false">
      <c r="A116" s="0"/>
      <c r="B116" s="44" t="str">
        <f aca="false">"SUBTOTAL DO ITEM "&amp;C105</f>
        <v>SUBTOTAL DO ITEM BANCADAS, LOUÇAS E METAIS (URBANIZAÇÃO)</v>
      </c>
      <c r="C116" s="44"/>
      <c r="D116" s="44"/>
      <c r="E116" s="44"/>
      <c r="F116" s="44"/>
      <c r="G116" s="44"/>
      <c r="H116" s="44"/>
      <c r="I116" s="45" t="n">
        <f aca="false">SUM(H106:H115)</f>
        <v>985.585263</v>
      </c>
      <c r="J116" s="46" t="n">
        <f aca="false">SUM(J106:J115)</f>
        <v>0.00514453845624955</v>
      </c>
      <c r="K116" s="62"/>
      <c r="L116" s="48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18" hidden="false" customHeight="true" outlineLevel="0" collapsed="false">
      <c r="A117" s="0"/>
      <c r="B117" s="31" t="s">
        <v>245</v>
      </c>
      <c r="C117" s="32" t="s">
        <v>246</v>
      </c>
      <c r="D117" s="33"/>
      <c r="E117" s="33"/>
      <c r="F117" s="33"/>
      <c r="G117" s="33"/>
      <c r="H117" s="33"/>
      <c r="I117" s="34" t="n">
        <f aca="false">I122</f>
        <v>4950.5861184</v>
      </c>
      <c r="J117" s="33"/>
      <c r="K117" s="33"/>
      <c r="L117" s="36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8" hidden="false" customHeight="true" outlineLevel="0" collapsed="false">
      <c r="A118" s="0"/>
      <c r="B118" s="28" t="s">
        <v>247</v>
      </c>
      <c r="C118" s="37" t="s">
        <v>248</v>
      </c>
      <c r="D118" s="28" t="s">
        <v>42</v>
      </c>
      <c r="E118" s="38" t="n">
        <f aca="false">VLOOKUP(C118,'MEMÓRIA DE CÁLCULO'!$C$8:$J$396,8,0)</f>
        <v>824.9</v>
      </c>
      <c r="F118" s="39" t="n">
        <v>1.56</v>
      </c>
      <c r="G118" s="40" t="n">
        <f aca="false">F118*(1+$G$16)</f>
        <v>1.948908</v>
      </c>
      <c r="H118" s="40" t="n">
        <f aca="false">E118*G118</f>
        <v>1607.6542092</v>
      </c>
      <c r="I118" s="50"/>
      <c r="J118" s="42" t="n">
        <f aca="false">H118/$I$124</f>
        <v>0.00839160163414585</v>
      </c>
      <c r="K118" s="28" t="s">
        <v>48</v>
      </c>
      <c r="L118" s="43" t="n">
        <v>9537</v>
      </c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30" hidden="false" customHeight="false" outlineLevel="0" collapsed="false">
      <c r="A119" s="0"/>
      <c r="B119" s="28" t="s">
        <v>249</v>
      </c>
      <c r="C119" s="51" t="s">
        <v>250</v>
      </c>
      <c r="D119" s="28" t="s">
        <v>54</v>
      </c>
      <c r="E119" s="38" t="n">
        <f aca="false">VLOOKUP(C119,'MEMÓRIA DE CÁLCULO'!$C$8:$J$396,8,0)</f>
        <v>1</v>
      </c>
      <c r="F119" s="39" t="n">
        <v>57.48</v>
      </c>
      <c r="G119" s="40" t="n">
        <f aca="false">F119*(1+$G$16)</f>
        <v>71.809764</v>
      </c>
      <c r="H119" s="40" t="n">
        <f aca="false">E119*G119</f>
        <v>71.809764</v>
      </c>
      <c r="I119" s="41"/>
      <c r="J119" s="42" t="n">
        <f aca="false">H119/$I$124</f>
        <v>0.000374831185388985</v>
      </c>
      <c r="K119" s="28" t="s">
        <v>48</v>
      </c>
      <c r="L119" s="43" t="n">
        <v>85186</v>
      </c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8" hidden="false" customHeight="true" outlineLevel="0" collapsed="false">
      <c r="A120" s="0"/>
      <c r="B120" s="28" t="s">
        <v>251</v>
      </c>
      <c r="C120" s="37" t="s">
        <v>252</v>
      </c>
      <c r="D120" s="28" t="s">
        <v>54</v>
      </c>
      <c r="E120" s="38" t="n">
        <f aca="false">VLOOKUP(C120,'MEMÓRIA DE CÁLCULO'!$C$8:$J$396,8,0)</f>
        <v>17</v>
      </c>
      <c r="F120" s="39" t="n">
        <v>99.54</v>
      </c>
      <c r="G120" s="40" t="n">
        <f aca="false">F120*(1+$G$16)</f>
        <v>124.355322</v>
      </c>
      <c r="H120" s="40" t="n">
        <f aca="false">E120*G120</f>
        <v>2114.040474</v>
      </c>
      <c r="I120" s="41"/>
      <c r="J120" s="42" t="n">
        <f aca="false">H120/$I$124</f>
        <v>0.0110348266404233</v>
      </c>
      <c r="K120" s="28" t="s">
        <v>48</v>
      </c>
      <c r="L120" s="43" t="n">
        <v>85178</v>
      </c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8" hidden="false" customHeight="true" outlineLevel="0" collapsed="false">
      <c r="A121" s="0"/>
      <c r="B121" s="28" t="s">
        <v>253</v>
      </c>
      <c r="C121" s="37" t="s">
        <v>254</v>
      </c>
      <c r="D121" s="28" t="s">
        <v>42</v>
      </c>
      <c r="E121" s="38" t="n">
        <f aca="false">VLOOKUP(C121,'MEMÓRIA DE CÁLCULO'!$C$8:$J$396,8,0)</f>
        <v>77.7</v>
      </c>
      <c r="F121" s="39" t="n">
        <v>11.92</v>
      </c>
      <c r="G121" s="40" t="n">
        <f aca="false">F121*(1+$G$16)</f>
        <v>14.891656</v>
      </c>
      <c r="H121" s="40" t="n">
        <f aca="false">E121*G121</f>
        <v>1157.0816712</v>
      </c>
      <c r="I121" s="41"/>
      <c r="J121" s="42" t="n">
        <f aca="false">H121/$I$124</f>
        <v>0.00603971201475838</v>
      </c>
      <c r="K121" s="28" t="s">
        <v>48</v>
      </c>
      <c r="L121" s="43" t="s">
        <v>255</v>
      </c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18" hidden="false" customHeight="true" outlineLevel="0" collapsed="false">
      <c r="A122" s="0"/>
      <c r="B122" s="44" t="str">
        <f aca="false">"SUBTOTAL DO ITEM "&amp;C117</f>
        <v>SUBTOTAL DO ITEM DIVERSOS (URBANIZAÇÃO)</v>
      </c>
      <c r="C122" s="44"/>
      <c r="D122" s="44"/>
      <c r="E122" s="44"/>
      <c r="F122" s="44"/>
      <c r="G122" s="44"/>
      <c r="H122" s="44"/>
      <c r="I122" s="45" t="n">
        <f aca="false">SUM(H118:H121)</f>
        <v>4950.5861184</v>
      </c>
      <c r="J122" s="46" t="n">
        <f aca="false">SUM(J118:J121)</f>
        <v>0.0258409714747166</v>
      </c>
      <c r="K122" s="47"/>
      <c r="L122" s="48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7.5" hidden="false" customHeight="true" outlineLevel="0" collapsed="false">
      <c r="A123" s="0"/>
      <c r="B123" s="65"/>
      <c r="C123" s="65"/>
      <c r="D123" s="65"/>
      <c r="E123" s="65"/>
      <c r="F123" s="65"/>
      <c r="G123" s="65"/>
      <c r="H123" s="65"/>
      <c r="I123" s="66"/>
      <c r="J123" s="67"/>
      <c r="K123" s="15"/>
      <c r="L123" s="15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18" hidden="false" customHeight="true" outlineLevel="0" collapsed="false">
      <c r="A124" s="0"/>
      <c r="B124" s="68" t="s">
        <v>256</v>
      </c>
      <c r="C124" s="68"/>
      <c r="D124" s="68"/>
      <c r="E124" s="68"/>
      <c r="F124" s="68"/>
      <c r="G124" s="68"/>
      <c r="H124" s="68"/>
      <c r="I124" s="69" t="n">
        <f aca="false">I23+I29+I34+I41+I44+I52+I58+I67+I77+I87+I104+I116+I122</f>
        <v>191578.947534684</v>
      </c>
      <c r="J124" s="69"/>
      <c r="K124" s="69"/>
      <c r="L124" s="69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6" customFormat="false" ht="18" hidden="false" customHeight="true" outlineLevel="0" collapsed="false">
      <c r="A126" s="0"/>
      <c r="B126" s="24" t="s">
        <v>257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customFormat="false" ht="7.5" hidden="false" customHeight="true" outlineLevel="0" collapsed="false">
      <c r="A127" s="0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15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0"/>
      <c r="EP127" s="0"/>
      <c r="EQ127" s="0"/>
      <c r="ER127" s="0"/>
      <c r="ES127" s="0"/>
      <c r="ET127" s="0"/>
      <c r="EU127" s="0"/>
      <c r="EV127" s="0"/>
      <c r="EW127" s="0"/>
      <c r="EX127" s="0"/>
      <c r="EY127" s="0"/>
      <c r="EZ127" s="0"/>
      <c r="FA127" s="0"/>
      <c r="FB127" s="0"/>
      <c r="FC127" s="0"/>
      <c r="FD127" s="0"/>
      <c r="FE127" s="0"/>
      <c r="FF127" s="0"/>
      <c r="FG127" s="0"/>
      <c r="FH127" s="0"/>
      <c r="FI127" s="0"/>
      <c r="FJ127" s="0"/>
      <c r="FK127" s="0"/>
      <c r="FL127" s="0"/>
      <c r="FM127" s="0"/>
      <c r="FN127" s="0"/>
      <c r="FO127" s="0"/>
      <c r="FP127" s="0"/>
      <c r="FQ127" s="0"/>
      <c r="FR127" s="0"/>
      <c r="FS127" s="0"/>
      <c r="FT127" s="0"/>
      <c r="FU127" s="0"/>
      <c r="FV127" s="0"/>
      <c r="FW127" s="0"/>
      <c r="FX127" s="0"/>
      <c r="FY127" s="0"/>
      <c r="FZ127" s="0"/>
      <c r="GA127" s="0"/>
      <c r="GB127" s="0"/>
      <c r="GC127" s="0"/>
      <c r="GD127" s="0"/>
      <c r="GE127" s="0"/>
      <c r="GF127" s="0"/>
      <c r="GG127" s="0"/>
      <c r="GH127" s="0"/>
      <c r="GI127" s="0"/>
      <c r="GJ127" s="0"/>
      <c r="GK127" s="0"/>
      <c r="GL127" s="0"/>
      <c r="GM127" s="0"/>
      <c r="GN127" s="0"/>
      <c r="GO127" s="0"/>
      <c r="GP127" s="0"/>
      <c r="GQ127" s="0"/>
      <c r="GR127" s="0"/>
      <c r="GS127" s="0"/>
      <c r="GT127" s="0"/>
      <c r="GU127" s="0"/>
      <c r="GV127" s="0"/>
      <c r="GW127" s="0"/>
      <c r="GX127" s="0"/>
      <c r="GY127" s="0"/>
      <c r="GZ127" s="0"/>
      <c r="HA127" s="0"/>
      <c r="HB127" s="0"/>
      <c r="HC127" s="0"/>
      <c r="HD127" s="0"/>
      <c r="HE127" s="0"/>
      <c r="HF127" s="0"/>
      <c r="HG127" s="0"/>
      <c r="HH127" s="0"/>
      <c r="HI127" s="0"/>
      <c r="HJ127" s="0"/>
      <c r="HK127" s="0"/>
      <c r="HL127" s="0"/>
      <c r="HM127" s="0"/>
      <c r="HN127" s="0"/>
      <c r="HO127" s="0"/>
      <c r="HP127" s="0"/>
      <c r="HQ127" s="0"/>
      <c r="HR127" s="0"/>
      <c r="HS127" s="0"/>
      <c r="HT127" s="0"/>
      <c r="HU127" s="0"/>
      <c r="HV127" s="0"/>
      <c r="HW127" s="0"/>
      <c r="HX127" s="0"/>
      <c r="HY127" s="0"/>
      <c r="HZ127" s="0"/>
      <c r="IA127" s="0"/>
      <c r="IB127" s="0"/>
      <c r="IC127" s="0"/>
      <c r="ID127" s="0"/>
      <c r="IE127" s="0"/>
      <c r="IF127" s="0"/>
      <c r="IG127" s="0"/>
      <c r="IH127" s="0"/>
      <c r="II127" s="0"/>
      <c r="IJ127" s="0"/>
      <c r="IK127" s="0"/>
      <c r="IL127" s="0"/>
      <c r="IM127" s="0"/>
      <c r="IN127" s="0"/>
      <c r="IO127" s="0"/>
      <c r="IP127" s="0"/>
      <c r="IQ127" s="0"/>
      <c r="IR127" s="0"/>
      <c r="IS127" s="0"/>
      <c r="IT127" s="0"/>
      <c r="IU127" s="0"/>
      <c r="IV127" s="0"/>
      <c r="IW127" s="0"/>
      <c r="IX127" s="0"/>
      <c r="IY127" s="0"/>
      <c r="IZ127" s="0"/>
      <c r="JA127" s="0"/>
      <c r="JB127" s="0"/>
      <c r="JC127" s="0"/>
      <c r="JD127" s="0"/>
      <c r="JE127" s="0"/>
      <c r="JF127" s="0"/>
      <c r="JG127" s="0"/>
      <c r="JH127" s="0"/>
      <c r="JI127" s="0"/>
      <c r="JJ127" s="0"/>
      <c r="JK127" s="0"/>
      <c r="JL127" s="0"/>
      <c r="JM127" s="0"/>
      <c r="JN127" s="0"/>
      <c r="JO127" s="0"/>
      <c r="JP127" s="0"/>
      <c r="JQ127" s="0"/>
      <c r="JR127" s="0"/>
      <c r="JS127" s="0"/>
      <c r="JT127" s="0"/>
      <c r="JU127" s="0"/>
      <c r="JV127" s="0"/>
      <c r="JW127" s="0"/>
      <c r="JX127" s="0"/>
      <c r="JY127" s="0"/>
      <c r="JZ127" s="0"/>
      <c r="KA127" s="0"/>
      <c r="KB127" s="0"/>
      <c r="KC127" s="0"/>
      <c r="KD127" s="0"/>
      <c r="KE127" s="0"/>
      <c r="KF127" s="0"/>
      <c r="KG127" s="0"/>
      <c r="KH127" s="0"/>
      <c r="KI127" s="0"/>
      <c r="KJ127" s="0"/>
      <c r="KK127" s="0"/>
      <c r="KL127" s="0"/>
      <c r="KM127" s="0"/>
      <c r="KN127" s="0"/>
      <c r="KO127" s="0"/>
      <c r="KP127" s="0"/>
      <c r="KQ127" s="0"/>
      <c r="KR127" s="0"/>
      <c r="KS127" s="0"/>
      <c r="KT127" s="0"/>
      <c r="KU127" s="0"/>
      <c r="KV127" s="0"/>
      <c r="KW127" s="0"/>
      <c r="KX127" s="0"/>
      <c r="KY127" s="0"/>
      <c r="KZ127" s="0"/>
      <c r="LA127" s="0"/>
      <c r="LB127" s="0"/>
      <c r="LC127" s="0"/>
      <c r="LD127" s="0"/>
      <c r="LE127" s="0"/>
      <c r="LF127" s="0"/>
      <c r="LG127" s="0"/>
      <c r="LH127" s="0"/>
      <c r="LI127" s="0"/>
      <c r="LJ127" s="0"/>
      <c r="LK127" s="0"/>
      <c r="LL127" s="0"/>
      <c r="LM127" s="0"/>
      <c r="LN127" s="0"/>
      <c r="LO127" s="0"/>
      <c r="LP127" s="0"/>
      <c r="LQ127" s="0"/>
      <c r="LR127" s="0"/>
      <c r="LS127" s="0"/>
      <c r="LT127" s="0"/>
      <c r="LU127" s="0"/>
      <c r="LV127" s="0"/>
      <c r="LW127" s="0"/>
      <c r="LX127" s="0"/>
      <c r="LY127" s="0"/>
      <c r="LZ127" s="0"/>
      <c r="MA127" s="0"/>
      <c r="MB127" s="0"/>
      <c r="MC127" s="0"/>
      <c r="MD127" s="0"/>
      <c r="ME127" s="0"/>
      <c r="MF127" s="0"/>
      <c r="MG127" s="0"/>
      <c r="MH127" s="0"/>
      <c r="MI127" s="0"/>
      <c r="MJ127" s="0"/>
      <c r="MK127" s="0"/>
      <c r="ML127" s="0"/>
      <c r="MM127" s="0"/>
      <c r="MN127" s="0"/>
      <c r="MO127" s="0"/>
      <c r="MP127" s="0"/>
      <c r="MQ127" s="0"/>
      <c r="MR127" s="0"/>
      <c r="MS127" s="0"/>
      <c r="MT127" s="0"/>
      <c r="MU127" s="0"/>
      <c r="MV127" s="0"/>
      <c r="MW127" s="0"/>
      <c r="MX127" s="0"/>
      <c r="MY127" s="0"/>
      <c r="MZ127" s="0"/>
      <c r="NA127" s="0"/>
      <c r="NB127" s="0"/>
      <c r="NC127" s="0"/>
      <c r="ND127" s="0"/>
      <c r="NE127" s="0"/>
      <c r="NF127" s="0"/>
      <c r="NG127" s="0"/>
      <c r="NH127" s="0"/>
      <c r="NI127" s="0"/>
      <c r="NJ127" s="0"/>
      <c r="NK127" s="0"/>
      <c r="NL127" s="0"/>
      <c r="NM127" s="0"/>
      <c r="NN127" s="0"/>
      <c r="NO127" s="0"/>
      <c r="NP127" s="0"/>
      <c r="NQ127" s="0"/>
      <c r="NR127" s="0"/>
      <c r="NS127" s="0"/>
      <c r="NT127" s="0"/>
      <c r="NU127" s="0"/>
      <c r="NV127" s="0"/>
      <c r="NW127" s="0"/>
      <c r="NX127" s="0"/>
      <c r="NY127" s="0"/>
      <c r="NZ127" s="0"/>
      <c r="OA127" s="0"/>
      <c r="OB127" s="0"/>
      <c r="OC127" s="0"/>
      <c r="OD127" s="0"/>
      <c r="OE127" s="0"/>
      <c r="OF127" s="0"/>
      <c r="OG127" s="0"/>
      <c r="OH127" s="0"/>
      <c r="OI127" s="0"/>
      <c r="OJ127" s="0"/>
      <c r="OK127" s="0"/>
      <c r="OL127" s="0"/>
      <c r="OM127" s="0"/>
      <c r="ON127" s="0"/>
      <c r="OO127" s="0"/>
      <c r="OP127" s="0"/>
      <c r="OQ127" s="0"/>
      <c r="OR127" s="0"/>
      <c r="OS127" s="0"/>
      <c r="OT127" s="0"/>
      <c r="OU127" s="0"/>
      <c r="OV127" s="0"/>
      <c r="OW127" s="0"/>
      <c r="OX127" s="0"/>
      <c r="OY127" s="0"/>
      <c r="OZ127" s="0"/>
      <c r="PA127" s="0"/>
      <c r="PB127" s="0"/>
      <c r="PC127" s="0"/>
      <c r="PD127" s="0"/>
      <c r="PE127" s="0"/>
      <c r="PF127" s="0"/>
      <c r="PG127" s="0"/>
      <c r="PH127" s="0"/>
      <c r="PI127" s="0"/>
      <c r="PJ127" s="0"/>
      <c r="PK127" s="0"/>
      <c r="PL127" s="0"/>
      <c r="PM127" s="0"/>
      <c r="PN127" s="0"/>
      <c r="PO127" s="0"/>
      <c r="PP127" s="0"/>
      <c r="PQ127" s="0"/>
      <c r="PR127" s="0"/>
      <c r="PS127" s="0"/>
      <c r="PT127" s="0"/>
      <c r="PU127" s="0"/>
      <c r="PV127" s="0"/>
      <c r="PW127" s="0"/>
      <c r="PX127" s="0"/>
      <c r="PY127" s="0"/>
      <c r="PZ127" s="0"/>
      <c r="QA127" s="0"/>
      <c r="QB127" s="0"/>
      <c r="QC127" s="0"/>
      <c r="QD127" s="0"/>
      <c r="QE127" s="0"/>
      <c r="QF127" s="0"/>
      <c r="QG127" s="0"/>
      <c r="QH127" s="0"/>
      <c r="QI127" s="0"/>
      <c r="QJ127" s="0"/>
      <c r="QK127" s="0"/>
      <c r="QL127" s="0"/>
      <c r="QM127" s="0"/>
      <c r="QN127" s="0"/>
      <c r="QO127" s="0"/>
      <c r="QP127" s="0"/>
      <c r="QQ127" s="0"/>
      <c r="QR127" s="0"/>
      <c r="QS127" s="0"/>
      <c r="QT127" s="0"/>
      <c r="QU127" s="0"/>
      <c r="QV127" s="0"/>
      <c r="QW127" s="0"/>
      <c r="QX127" s="0"/>
      <c r="QY127" s="0"/>
      <c r="QZ127" s="0"/>
      <c r="RA127" s="0"/>
      <c r="RB127" s="0"/>
      <c r="RC127" s="0"/>
      <c r="RD127" s="0"/>
      <c r="RE127" s="0"/>
      <c r="RF127" s="0"/>
      <c r="RG127" s="0"/>
      <c r="RH127" s="0"/>
      <c r="RI127" s="0"/>
      <c r="RJ127" s="0"/>
      <c r="RK127" s="0"/>
      <c r="RL127" s="0"/>
      <c r="RM127" s="0"/>
      <c r="RN127" s="0"/>
      <c r="RO127" s="0"/>
      <c r="RP127" s="0"/>
      <c r="RQ127" s="0"/>
      <c r="RR127" s="0"/>
      <c r="RS127" s="0"/>
      <c r="RT127" s="0"/>
      <c r="RU127" s="0"/>
      <c r="RV127" s="0"/>
      <c r="RW127" s="0"/>
      <c r="RX127" s="0"/>
      <c r="RY127" s="0"/>
      <c r="RZ127" s="0"/>
      <c r="SA127" s="0"/>
      <c r="SB127" s="0"/>
      <c r="SC127" s="0"/>
      <c r="SD127" s="0"/>
      <c r="SE127" s="0"/>
      <c r="SF127" s="0"/>
      <c r="SG127" s="0"/>
      <c r="SH127" s="0"/>
      <c r="SI127" s="0"/>
      <c r="SJ127" s="0"/>
      <c r="SK127" s="0"/>
      <c r="SL127" s="0"/>
      <c r="SM127" s="0"/>
      <c r="SN127" s="0"/>
      <c r="SO127" s="0"/>
      <c r="SP127" s="0"/>
      <c r="SQ127" s="0"/>
      <c r="SR127" s="0"/>
      <c r="SS127" s="0"/>
      <c r="ST127" s="0"/>
      <c r="SU127" s="0"/>
      <c r="SV127" s="0"/>
      <c r="SW127" s="0"/>
      <c r="SX127" s="0"/>
      <c r="SY127" s="0"/>
      <c r="SZ127" s="0"/>
      <c r="TA127" s="0"/>
      <c r="TB127" s="0"/>
      <c r="TC127" s="0"/>
      <c r="TD127" s="0"/>
      <c r="TE127" s="0"/>
      <c r="TF127" s="0"/>
      <c r="TG127" s="0"/>
      <c r="TH127" s="0"/>
      <c r="TI127" s="0"/>
      <c r="TJ127" s="0"/>
      <c r="TK127" s="0"/>
      <c r="TL127" s="0"/>
      <c r="TM127" s="0"/>
      <c r="TN127" s="0"/>
      <c r="TO127" s="0"/>
      <c r="TP127" s="0"/>
      <c r="TQ127" s="0"/>
      <c r="TR127" s="0"/>
      <c r="TS127" s="0"/>
      <c r="TT127" s="0"/>
      <c r="TU127" s="0"/>
      <c r="TV127" s="0"/>
      <c r="TW127" s="0"/>
      <c r="TX127" s="0"/>
      <c r="TY127" s="0"/>
      <c r="TZ127" s="0"/>
      <c r="UA127" s="0"/>
      <c r="UB127" s="0"/>
      <c r="UC127" s="0"/>
      <c r="UD127" s="0"/>
      <c r="UE127" s="0"/>
      <c r="UF127" s="0"/>
      <c r="UG127" s="0"/>
      <c r="UH127" s="0"/>
      <c r="UI127" s="0"/>
      <c r="UJ127" s="0"/>
      <c r="UK127" s="0"/>
      <c r="UL127" s="0"/>
      <c r="UM127" s="0"/>
      <c r="UN127" s="0"/>
      <c r="UO127" s="0"/>
      <c r="UP127" s="0"/>
      <c r="UQ127" s="0"/>
      <c r="UR127" s="0"/>
      <c r="US127" s="0"/>
      <c r="UT127" s="0"/>
      <c r="UU127" s="0"/>
      <c r="UV127" s="0"/>
      <c r="UW127" s="0"/>
      <c r="UX127" s="0"/>
      <c r="UY127" s="0"/>
      <c r="UZ127" s="0"/>
      <c r="VA127" s="0"/>
      <c r="VB127" s="0"/>
      <c r="VC127" s="0"/>
      <c r="VD127" s="0"/>
      <c r="VE127" s="0"/>
      <c r="VF127" s="0"/>
      <c r="VG127" s="0"/>
      <c r="VH127" s="0"/>
      <c r="VI127" s="0"/>
      <c r="VJ127" s="0"/>
      <c r="VK127" s="0"/>
      <c r="VL127" s="0"/>
      <c r="VM127" s="0"/>
      <c r="VN127" s="0"/>
      <c r="VO127" s="0"/>
      <c r="VP127" s="0"/>
      <c r="VQ127" s="0"/>
      <c r="VR127" s="0"/>
      <c r="VS127" s="0"/>
      <c r="VT127" s="0"/>
      <c r="VU127" s="0"/>
      <c r="VV127" s="0"/>
      <c r="VW127" s="0"/>
      <c r="VX127" s="0"/>
      <c r="VY127" s="0"/>
      <c r="VZ127" s="0"/>
      <c r="WA127" s="0"/>
      <c r="WB127" s="0"/>
      <c r="WC127" s="0"/>
      <c r="WD127" s="0"/>
      <c r="WE127" s="0"/>
      <c r="WF127" s="0"/>
      <c r="WG127" s="0"/>
      <c r="WH127" s="0"/>
      <c r="WI127" s="0"/>
      <c r="WJ127" s="0"/>
      <c r="WK127" s="0"/>
      <c r="WL127" s="0"/>
      <c r="WM127" s="0"/>
      <c r="WN127" s="0"/>
      <c r="WO127" s="0"/>
      <c r="WP127" s="0"/>
      <c r="WQ127" s="0"/>
      <c r="WR127" s="0"/>
      <c r="WS127" s="0"/>
      <c r="WT127" s="0"/>
      <c r="WU127" s="0"/>
      <c r="WV127" s="0"/>
      <c r="WW127" s="0"/>
      <c r="WX127" s="0"/>
      <c r="WY127" s="0"/>
      <c r="WZ127" s="0"/>
      <c r="XA127" s="0"/>
      <c r="XB127" s="0"/>
      <c r="XC127" s="0"/>
      <c r="XD127" s="0"/>
      <c r="XE127" s="0"/>
      <c r="XF127" s="0"/>
      <c r="XG127" s="0"/>
      <c r="XH127" s="0"/>
      <c r="XI127" s="0"/>
      <c r="XJ127" s="0"/>
      <c r="XK127" s="0"/>
      <c r="XL127" s="0"/>
      <c r="XM127" s="0"/>
      <c r="XN127" s="0"/>
      <c r="XO127" s="0"/>
      <c r="XP127" s="0"/>
      <c r="XQ127" s="0"/>
      <c r="XR127" s="0"/>
      <c r="XS127" s="0"/>
      <c r="XT127" s="0"/>
      <c r="XU127" s="0"/>
      <c r="XV127" s="0"/>
      <c r="XW127" s="0"/>
      <c r="XX127" s="0"/>
      <c r="XY127" s="0"/>
      <c r="XZ127" s="0"/>
      <c r="YA127" s="0"/>
      <c r="YB127" s="0"/>
      <c r="YC127" s="0"/>
      <c r="YD127" s="0"/>
      <c r="YE127" s="0"/>
      <c r="YF127" s="0"/>
      <c r="YG127" s="0"/>
      <c r="YH127" s="0"/>
      <c r="YI127" s="0"/>
      <c r="YJ127" s="0"/>
      <c r="YK127" s="0"/>
      <c r="YL127" s="0"/>
      <c r="YM127" s="0"/>
      <c r="YN127" s="0"/>
      <c r="YO127" s="0"/>
      <c r="YP127" s="0"/>
      <c r="YQ127" s="0"/>
      <c r="YR127" s="0"/>
      <c r="YS127" s="0"/>
      <c r="YT127" s="0"/>
      <c r="YU127" s="0"/>
      <c r="YV127" s="0"/>
      <c r="YW127" s="0"/>
      <c r="YX127" s="0"/>
      <c r="YY127" s="0"/>
      <c r="YZ127" s="0"/>
      <c r="ZA127" s="0"/>
      <c r="ZB127" s="0"/>
      <c r="ZC127" s="0"/>
      <c r="ZD127" s="0"/>
      <c r="ZE127" s="0"/>
      <c r="ZF127" s="0"/>
      <c r="ZG127" s="0"/>
      <c r="ZH127" s="0"/>
      <c r="ZI127" s="0"/>
      <c r="ZJ127" s="0"/>
      <c r="ZK127" s="0"/>
      <c r="ZL127" s="0"/>
      <c r="ZM127" s="0"/>
      <c r="ZN127" s="0"/>
      <c r="ZO127" s="0"/>
      <c r="ZP127" s="0"/>
      <c r="ZQ127" s="0"/>
      <c r="ZR127" s="0"/>
      <c r="ZS127" s="0"/>
      <c r="ZT127" s="0"/>
      <c r="ZU127" s="0"/>
      <c r="ZV127" s="0"/>
      <c r="ZW127" s="0"/>
      <c r="ZX127" s="0"/>
      <c r="ZY127" s="0"/>
      <c r="ZZ127" s="0"/>
      <c r="AAA127" s="0"/>
      <c r="AAB127" s="0"/>
      <c r="AAC127" s="0"/>
      <c r="AAD127" s="0"/>
      <c r="AAE127" s="0"/>
      <c r="AAF127" s="0"/>
      <c r="AAG127" s="0"/>
      <c r="AAH127" s="0"/>
      <c r="AAI127" s="0"/>
      <c r="AAJ127" s="0"/>
      <c r="AAK127" s="0"/>
      <c r="AAL127" s="0"/>
      <c r="AAM127" s="0"/>
      <c r="AAN127" s="0"/>
      <c r="AAO127" s="0"/>
      <c r="AAP127" s="0"/>
      <c r="AAQ127" s="0"/>
      <c r="AAR127" s="0"/>
      <c r="AAS127" s="0"/>
      <c r="AAT127" s="0"/>
      <c r="AAU127" s="0"/>
      <c r="AAV127" s="0"/>
      <c r="AAW127" s="0"/>
      <c r="AAX127" s="0"/>
      <c r="AAY127" s="0"/>
      <c r="AAZ127" s="0"/>
      <c r="ABA127" s="0"/>
      <c r="ABB127" s="0"/>
      <c r="ABC127" s="0"/>
      <c r="ABD127" s="0"/>
      <c r="ABE127" s="0"/>
      <c r="ABF127" s="0"/>
      <c r="ABG127" s="0"/>
      <c r="ABH127" s="0"/>
      <c r="ABI127" s="0"/>
      <c r="ABJ127" s="0"/>
      <c r="ABK127" s="0"/>
      <c r="ABL127" s="0"/>
      <c r="ABM127" s="0"/>
      <c r="ABN127" s="0"/>
      <c r="ABO127" s="0"/>
      <c r="ABP127" s="0"/>
      <c r="ABQ127" s="0"/>
      <c r="ABR127" s="0"/>
      <c r="ABS127" s="0"/>
      <c r="ABT127" s="0"/>
      <c r="ABU127" s="0"/>
      <c r="ABV127" s="0"/>
      <c r="ABW127" s="0"/>
      <c r="ABX127" s="0"/>
      <c r="ABY127" s="0"/>
      <c r="ABZ127" s="0"/>
      <c r="ACA127" s="0"/>
      <c r="ACB127" s="0"/>
      <c r="ACC127" s="0"/>
      <c r="ACD127" s="0"/>
      <c r="ACE127" s="0"/>
      <c r="ACF127" s="0"/>
      <c r="ACG127" s="0"/>
      <c r="ACH127" s="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customFormat="false" ht="18" hidden="false" customHeight="true" outlineLevel="0" collapsed="false">
      <c r="A128" s="0"/>
      <c r="B128" s="25" t="s">
        <v>27</v>
      </c>
      <c r="C128" s="25" t="s">
        <v>28</v>
      </c>
      <c r="D128" s="25" t="s">
        <v>29</v>
      </c>
      <c r="E128" s="25" t="s">
        <v>30</v>
      </c>
      <c r="F128" s="25" t="s">
        <v>31</v>
      </c>
      <c r="G128" s="25"/>
      <c r="H128" s="25"/>
      <c r="I128" s="26" t="s">
        <v>32</v>
      </c>
      <c r="J128" s="27" t="s">
        <v>33</v>
      </c>
      <c r="K128" s="26" t="s">
        <v>34</v>
      </c>
      <c r="L128" s="26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  <c r="IX128" s="0"/>
      <c r="IY128" s="0"/>
      <c r="IZ128" s="0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customFormat="false" ht="36" hidden="false" customHeight="true" outlineLevel="0" collapsed="false">
      <c r="A129" s="0"/>
      <c r="B129" s="25"/>
      <c r="C129" s="25"/>
      <c r="D129" s="25"/>
      <c r="E129" s="25"/>
      <c r="F129" s="28" t="s">
        <v>35</v>
      </c>
      <c r="G129" s="29" t="s">
        <v>36</v>
      </c>
      <c r="H129" s="29" t="s">
        <v>37</v>
      </c>
      <c r="I129" s="26"/>
      <c r="J129" s="27"/>
      <c r="K129" s="26"/>
      <c r="L129" s="26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0"/>
      <c r="EP129" s="0"/>
      <c r="EQ129" s="0"/>
      <c r="ER129" s="0"/>
      <c r="ES129" s="0"/>
      <c r="ET129" s="0"/>
      <c r="EU129" s="0"/>
      <c r="EV129" s="0"/>
      <c r="EW129" s="0"/>
      <c r="EX129" s="0"/>
      <c r="EY129" s="0"/>
      <c r="EZ129" s="0"/>
      <c r="FA129" s="0"/>
      <c r="FB129" s="0"/>
      <c r="FC129" s="0"/>
      <c r="FD129" s="0"/>
      <c r="FE129" s="0"/>
      <c r="FF129" s="0"/>
      <c r="FG129" s="0"/>
      <c r="FH129" s="0"/>
      <c r="FI129" s="0"/>
      <c r="FJ129" s="0"/>
      <c r="FK129" s="0"/>
      <c r="FL129" s="0"/>
      <c r="FM129" s="0"/>
      <c r="FN129" s="0"/>
      <c r="FO129" s="0"/>
      <c r="FP129" s="0"/>
      <c r="FQ129" s="0"/>
      <c r="FR129" s="0"/>
      <c r="FS129" s="0"/>
      <c r="FT129" s="0"/>
      <c r="FU129" s="0"/>
      <c r="FV129" s="0"/>
      <c r="FW129" s="0"/>
      <c r="FX129" s="0"/>
      <c r="FY129" s="0"/>
      <c r="FZ129" s="0"/>
      <c r="GA129" s="0"/>
      <c r="GB129" s="0"/>
      <c r="GC129" s="0"/>
      <c r="GD129" s="0"/>
      <c r="GE129" s="0"/>
      <c r="GF129" s="0"/>
      <c r="GG129" s="0"/>
      <c r="GH129" s="0"/>
      <c r="GI129" s="0"/>
      <c r="GJ129" s="0"/>
      <c r="GK129" s="0"/>
      <c r="GL129" s="0"/>
      <c r="GM129" s="0"/>
      <c r="GN129" s="0"/>
      <c r="GO129" s="0"/>
      <c r="GP129" s="0"/>
      <c r="GQ129" s="0"/>
      <c r="GR129" s="0"/>
      <c r="GS129" s="0"/>
      <c r="GT129" s="0"/>
      <c r="GU129" s="0"/>
      <c r="GV129" s="0"/>
      <c r="GW129" s="0"/>
      <c r="GX129" s="0"/>
      <c r="GY129" s="0"/>
      <c r="GZ129" s="0"/>
      <c r="HA129" s="0"/>
      <c r="HB129" s="0"/>
      <c r="HC129" s="0"/>
      <c r="HD129" s="0"/>
      <c r="HE129" s="0"/>
      <c r="HF129" s="0"/>
      <c r="HG129" s="0"/>
      <c r="HH129" s="0"/>
      <c r="HI129" s="0"/>
      <c r="HJ129" s="0"/>
      <c r="HK129" s="0"/>
      <c r="HL129" s="0"/>
      <c r="HM129" s="0"/>
      <c r="HN129" s="0"/>
      <c r="HO129" s="0"/>
      <c r="HP129" s="0"/>
      <c r="HQ129" s="0"/>
      <c r="HR129" s="0"/>
      <c r="HS129" s="0"/>
      <c r="HT129" s="0"/>
      <c r="HU129" s="0"/>
      <c r="HV129" s="0"/>
      <c r="HW129" s="0"/>
      <c r="HX129" s="0"/>
      <c r="HY129" s="0"/>
      <c r="HZ129" s="0"/>
      <c r="IA129" s="0"/>
      <c r="IB129" s="0"/>
      <c r="IC129" s="0"/>
      <c r="ID129" s="0"/>
      <c r="IE129" s="0"/>
      <c r="IF129" s="0"/>
      <c r="IG129" s="0"/>
      <c r="IH129" s="0"/>
      <c r="II129" s="0"/>
      <c r="IJ129" s="0"/>
      <c r="IK129" s="0"/>
      <c r="IL129" s="0"/>
      <c r="IM129" s="0"/>
      <c r="IN129" s="0"/>
      <c r="IO129" s="0"/>
      <c r="IP129" s="0"/>
      <c r="IQ129" s="0"/>
      <c r="IR129" s="0"/>
      <c r="IS129" s="0"/>
      <c r="IT129" s="0"/>
      <c r="IU129" s="0"/>
      <c r="IV129" s="0"/>
      <c r="IW129" s="0"/>
      <c r="IX129" s="0"/>
      <c r="IY129" s="0"/>
      <c r="IZ129" s="0"/>
      <c r="JA129" s="0"/>
      <c r="JB129" s="0"/>
      <c r="JC129" s="0"/>
      <c r="JD129" s="0"/>
      <c r="JE129" s="0"/>
      <c r="JF129" s="0"/>
      <c r="JG129" s="0"/>
      <c r="JH129" s="0"/>
      <c r="JI129" s="0"/>
      <c r="JJ129" s="0"/>
      <c r="JK129" s="0"/>
      <c r="JL129" s="0"/>
      <c r="JM129" s="0"/>
      <c r="JN129" s="0"/>
      <c r="JO129" s="0"/>
      <c r="JP129" s="0"/>
      <c r="JQ129" s="0"/>
      <c r="JR129" s="0"/>
      <c r="JS129" s="0"/>
      <c r="JT129" s="0"/>
      <c r="JU129" s="0"/>
      <c r="JV129" s="0"/>
      <c r="JW129" s="0"/>
      <c r="JX129" s="0"/>
      <c r="JY129" s="0"/>
      <c r="JZ129" s="0"/>
      <c r="KA129" s="0"/>
      <c r="KB129" s="0"/>
      <c r="KC129" s="0"/>
      <c r="KD129" s="0"/>
      <c r="KE129" s="0"/>
      <c r="KF129" s="0"/>
      <c r="KG129" s="0"/>
      <c r="KH129" s="0"/>
      <c r="KI129" s="0"/>
      <c r="KJ129" s="0"/>
      <c r="KK129" s="0"/>
      <c r="KL129" s="0"/>
      <c r="KM129" s="0"/>
      <c r="KN129" s="0"/>
      <c r="KO129" s="0"/>
      <c r="KP129" s="0"/>
      <c r="KQ129" s="0"/>
      <c r="KR129" s="0"/>
      <c r="KS129" s="0"/>
      <c r="KT129" s="0"/>
      <c r="KU129" s="0"/>
      <c r="KV129" s="0"/>
      <c r="KW129" s="0"/>
      <c r="KX129" s="0"/>
      <c r="KY129" s="0"/>
      <c r="KZ129" s="0"/>
      <c r="LA129" s="0"/>
      <c r="LB129" s="0"/>
      <c r="LC129" s="0"/>
      <c r="LD129" s="0"/>
      <c r="LE129" s="0"/>
      <c r="LF129" s="0"/>
      <c r="LG129" s="0"/>
      <c r="LH129" s="0"/>
      <c r="LI129" s="0"/>
      <c r="LJ129" s="0"/>
      <c r="LK129" s="0"/>
      <c r="LL129" s="0"/>
      <c r="LM129" s="0"/>
      <c r="LN129" s="0"/>
      <c r="LO129" s="0"/>
      <c r="LP129" s="0"/>
      <c r="LQ129" s="0"/>
      <c r="LR129" s="0"/>
      <c r="LS129" s="0"/>
      <c r="LT129" s="0"/>
      <c r="LU129" s="0"/>
      <c r="LV129" s="0"/>
      <c r="LW129" s="0"/>
      <c r="LX129" s="0"/>
      <c r="LY129" s="0"/>
      <c r="LZ129" s="0"/>
      <c r="MA129" s="0"/>
      <c r="MB129" s="0"/>
      <c r="MC129" s="0"/>
      <c r="MD129" s="0"/>
      <c r="ME129" s="0"/>
      <c r="MF129" s="0"/>
      <c r="MG129" s="0"/>
      <c r="MH129" s="0"/>
      <c r="MI129" s="0"/>
      <c r="MJ129" s="0"/>
      <c r="MK129" s="0"/>
      <c r="ML129" s="0"/>
      <c r="MM129" s="0"/>
      <c r="MN129" s="0"/>
      <c r="MO129" s="0"/>
      <c r="MP129" s="0"/>
      <c r="MQ129" s="0"/>
      <c r="MR129" s="0"/>
      <c r="MS129" s="0"/>
      <c r="MT129" s="0"/>
      <c r="MU129" s="0"/>
      <c r="MV129" s="0"/>
      <c r="MW129" s="0"/>
      <c r="MX129" s="0"/>
      <c r="MY129" s="0"/>
      <c r="MZ129" s="0"/>
      <c r="NA129" s="0"/>
      <c r="NB129" s="0"/>
      <c r="NC129" s="0"/>
      <c r="ND129" s="0"/>
      <c r="NE129" s="0"/>
      <c r="NF129" s="0"/>
      <c r="NG129" s="0"/>
      <c r="NH129" s="0"/>
      <c r="NI129" s="0"/>
      <c r="NJ129" s="0"/>
      <c r="NK129" s="0"/>
      <c r="NL129" s="0"/>
      <c r="NM129" s="0"/>
      <c r="NN129" s="0"/>
      <c r="NO129" s="0"/>
      <c r="NP129" s="0"/>
      <c r="NQ129" s="0"/>
      <c r="NR129" s="0"/>
      <c r="NS129" s="0"/>
      <c r="NT129" s="0"/>
      <c r="NU129" s="0"/>
      <c r="NV129" s="0"/>
      <c r="NW129" s="0"/>
      <c r="NX129" s="0"/>
      <c r="NY129" s="0"/>
      <c r="NZ129" s="0"/>
      <c r="OA129" s="0"/>
      <c r="OB129" s="0"/>
      <c r="OC129" s="0"/>
      <c r="OD129" s="0"/>
      <c r="OE129" s="0"/>
      <c r="OF129" s="0"/>
      <c r="OG129" s="0"/>
      <c r="OH129" s="0"/>
      <c r="OI129" s="0"/>
      <c r="OJ129" s="0"/>
      <c r="OK129" s="0"/>
      <c r="OL129" s="0"/>
      <c r="OM129" s="0"/>
      <c r="ON129" s="0"/>
      <c r="OO129" s="0"/>
      <c r="OP129" s="0"/>
      <c r="OQ129" s="0"/>
      <c r="OR129" s="0"/>
      <c r="OS129" s="0"/>
      <c r="OT129" s="0"/>
      <c r="OU129" s="0"/>
      <c r="OV129" s="0"/>
      <c r="OW129" s="0"/>
      <c r="OX129" s="0"/>
      <c r="OY129" s="0"/>
      <c r="OZ129" s="0"/>
      <c r="PA129" s="0"/>
      <c r="PB129" s="0"/>
      <c r="PC129" s="0"/>
      <c r="PD129" s="0"/>
      <c r="PE129" s="0"/>
      <c r="PF129" s="0"/>
      <c r="PG129" s="0"/>
      <c r="PH129" s="0"/>
      <c r="PI129" s="0"/>
      <c r="PJ129" s="0"/>
      <c r="PK129" s="0"/>
      <c r="PL129" s="0"/>
      <c r="PM129" s="0"/>
      <c r="PN129" s="0"/>
      <c r="PO129" s="0"/>
      <c r="PP129" s="0"/>
      <c r="PQ129" s="0"/>
      <c r="PR129" s="0"/>
      <c r="PS129" s="0"/>
      <c r="PT129" s="0"/>
      <c r="PU129" s="0"/>
      <c r="PV129" s="0"/>
      <c r="PW129" s="0"/>
      <c r="PX129" s="0"/>
      <c r="PY129" s="0"/>
      <c r="PZ129" s="0"/>
      <c r="QA129" s="0"/>
      <c r="QB129" s="0"/>
      <c r="QC129" s="0"/>
      <c r="QD129" s="0"/>
      <c r="QE129" s="0"/>
      <c r="QF129" s="0"/>
      <c r="QG129" s="0"/>
      <c r="QH129" s="0"/>
      <c r="QI129" s="0"/>
      <c r="QJ129" s="0"/>
      <c r="QK129" s="0"/>
      <c r="QL129" s="0"/>
      <c r="QM129" s="0"/>
      <c r="QN129" s="0"/>
      <c r="QO129" s="0"/>
      <c r="QP129" s="0"/>
      <c r="QQ129" s="0"/>
      <c r="QR129" s="0"/>
      <c r="QS129" s="0"/>
      <c r="QT129" s="0"/>
      <c r="QU129" s="0"/>
      <c r="QV129" s="0"/>
      <c r="QW129" s="0"/>
      <c r="QX129" s="0"/>
      <c r="QY129" s="0"/>
      <c r="QZ129" s="0"/>
      <c r="RA129" s="0"/>
      <c r="RB129" s="0"/>
      <c r="RC129" s="0"/>
      <c r="RD129" s="0"/>
      <c r="RE129" s="0"/>
      <c r="RF129" s="0"/>
      <c r="RG129" s="0"/>
      <c r="RH129" s="0"/>
      <c r="RI129" s="0"/>
      <c r="RJ129" s="0"/>
      <c r="RK129" s="0"/>
      <c r="RL129" s="0"/>
      <c r="RM129" s="0"/>
      <c r="RN129" s="0"/>
      <c r="RO129" s="0"/>
      <c r="RP129" s="0"/>
      <c r="RQ129" s="0"/>
      <c r="RR129" s="0"/>
      <c r="RS129" s="0"/>
      <c r="RT129" s="0"/>
      <c r="RU129" s="0"/>
      <c r="RV129" s="0"/>
      <c r="RW129" s="0"/>
      <c r="RX129" s="0"/>
      <c r="RY129" s="0"/>
      <c r="RZ129" s="0"/>
      <c r="SA129" s="0"/>
      <c r="SB129" s="0"/>
      <c r="SC129" s="0"/>
      <c r="SD129" s="0"/>
      <c r="SE129" s="0"/>
      <c r="SF129" s="0"/>
      <c r="SG129" s="0"/>
      <c r="SH129" s="0"/>
      <c r="SI129" s="0"/>
      <c r="SJ129" s="0"/>
      <c r="SK129" s="0"/>
      <c r="SL129" s="0"/>
      <c r="SM129" s="0"/>
      <c r="SN129" s="0"/>
      <c r="SO129" s="0"/>
      <c r="SP129" s="0"/>
      <c r="SQ129" s="0"/>
      <c r="SR129" s="0"/>
      <c r="SS129" s="0"/>
      <c r="ST129" s="0"/>
      <c r="SU129" s="0"/>
      <c r="SV129" s="0"/>
      <c r="SW129" s="0"/>
      <c r="SX129" s="0"/>
      <c r="SY129" s="0"/>
      <c r="SZ129" s="0"/>
      <c r="TA129" s="0"/>
      <c r="TB129" s="0"/>
      <c r="TC129" s="0"/>
      <c r="TD129" s="0"/>
      <c r="TE129" s="0"/>
      <c r="TF129" s="0"/>
      <c r="TG129" s="0"/>
      <c r="TH129" s="0"/>
      <c r="TI129" s="0"/>
      <c r="TJ129" s="0"/>
      <c r="TK129" s="0"/>
      <c r="TL129" s="0"/>
      <c r="TM129" s="0"/>
      <c r="TN129" s="0"/>
      <c r="TO129" s="0"/>
      <c r="TP129" s="0"/>
      <c r="TQ129" s="0"/>
      <c r="TR129" s="0"/>
      <c r="TS129" s="0"/>
      <c r="TT129" s="0"/>
      <c r="TU129" s="0"/>
      <c r="TV129" s="0"/>
      <c r="TW129" s="0"/>
      <c r="TX129" s="0"/>
      <c r="TY129" s="0"/>
      <c r="TZ129" s="0"/>
      <c r="UA129" s="0"/>
      <c r="UB129" s="0"/>
      <c r="UC129" s="0"/>
      <c r="UD129" s="0"/>
      <c r="UE129" s="0"/>
      <c r="UF129" s="0"/>
      <c r="UG129" s="0"/>
      <c r="UH129" s="0"/>
      <c r="UI129" s="0"/>
      <c r="UJ129" s="0"/>
      <c r="UK129" s="0"/>
      <c r="UL129" s="0"/>
      <c r="UM129" s="0"/>
      <c r="UN129" s="0"/>
      <c r="UO129" s="0"/>
      <c r="UP129" s="0"/>
      <c r="UQ129" s="0"/>
      <c r="UR129" s="0"/>
      <c r="US129" s="0"/>
      <c r="UT129" s="0"/>
      <c r="UU129" s="0"/>
      <c r="UV129" s="0"/>
      <c r="UW129" s="0"/>
      <c r="UX129" s="0"/>
      <c r="UY129" s="0"/>
      <c r="UZ129" s="0"/>
      <c r="VA129" s="0"/>
      <c r="VB129" s="0"/>
      <c r="VC129" s="0"/>
      <c r="VD129" s="0"/>
      <c r="VE129" s="0"/>
      <c r="VF129" s="0"/>
      <c r="VG129" s="0"/>
      <c r="VH129" s="0"/>
      <c r="VI129" s="0"/>
      <c r="VJ129" s="0"/>
      <c r="VK129" s="0"/>
      <c r="VL129" s="0"/>
      <c r="VM129" s="0"/>
      <c r="VN129" s="0"/>
      <c r="VO129" s="0"/>
      <c r="VP129" s="0"/>
      <c r="VQ129" s="0"/>
      <c r="VR129" s="0"/>
      <c r="VS129" s="0"/>
      <c r="VT129" s="0"/>
      <c r="VU129" s="0"/>
      <c r="VV129" s="0"/>
      <c r="VW129" s="0"/>
      <c r="VX129" s="0"/>
      <c r="VY129" s="0"/>
      <c r="VZ129" s="0"/>
      <c r="WA129" s="0"/>
      <c r="WB129" s="0"/>
      <c r="WC129" s="0"/>
      <c r="WD129" s="0"/>
      <c r="WE129" s="0"/>
      <c r="WF129" s="0"/>
      <c r="WG129" s="0"/>
      <c r="WH129" s="0"/>
      <c r="WI129" s="0"/>
      <c r="WJ129" s="0"/>
      <c r="WK129" s="0"/>
      <c r="WL129" s="0"/>
      <c r="WM129" s="0"/>
      <c r="WN129" s="0"/>
      <c r="WO129" s="0"/>
      <c r="WP129" s="0"/>
      <c r="WQ129" s="0"/>
      <c r="WR129" s="0"/>
      <c r="WS129" s="0"/>
      <c r="WT129" s="0"/>
      <c r="WU129" s="0"/>
      <c r="WV129" s="0"/>
      <c r="WW129" s="0"/>
      <c r="WX129" s="0"/>
      <c r="WY129" s="0"/>
      <c r="WZ129" s="0"/>
      <c r="XA129" s="0"/>
      <c r="XB129" s="0"/>
      <c r="XC129" s="0"/>
      <c r="XD129" s="0"/>
      <c r="XE129" s="0"/>
      <c r="XF129" s="0"/>
      <c r="XG129" s="0"/>
      <c r="XH129" s="0"/>
      <c r="XI129" s="0"/>
      <c r="XJ129" s="0"/>
      <c r="XK129" s="0"/>
      <c r="XL129" s="0"/>
      <c r="XM129" s="0"/>
      <c r="XN129" s="0"/>
      <c r="XO129" s="0"/>
      <c r="XP129" s="0"/>
      <c r="XQ129" s="0"/>
      <c r="XR129" s="0"/>
      <c r="XS129" s="0"/>
      <c r="XT129" s="0"/>
      <c r="XU129" s="0"/>
      <c r="XV129" s="0"/>
      <c r="XW129" s="0"/>
      <c r="XX129" s="0"/>
      <c r="XY129" s="0"/>
      <c r="XZ129" s="0"/>
      <c r="YA129" s="0"/>
      <c r="YB129" s="0"/>
      <c r="YC129" s="0"/>
      <c r="YD129" s="0"/>
      <c r="YE129" s="0"/>
      <c r="YF129" s="0"/>
      <c r="YG129" s="0"/>
      <c r="YH129" s="0"/>
      <c r="YI129" s="0"/>
      <c r="YJ129" s="0"/>
      <c r="YK129" s="0"/>
      <c r="YL129" s="0"/>
      <c r="YM129" s="0"/>
      <c r="YN129" s="0"/>
      <c r="YO129" s="0"/>
      <c r="YP129" s="0"/>
      <c r="YQ129" s="0"/>
      <c r="YR129" s="0"/>
      <c r="YS129" s="0"/>
      <c r="YT129" s="0"/>
      <c r="YU129" s="0"/>
      <c r="YV129" s="0"/>
      <c r="YW129" s="0"/>
      <c r="YX129" s="0"/>
      <c r="YY129" s="0"/>
      <c r="YZ129" s="0"/>
      <c r="ZA129" s="0"/>
      <c r="ZB129" s="0"/>
      <c r="ZC129" s="0"/>
      <c r="ZD129" s="0"/>
      <c r="ZE129" s="0"/>
      <c r="ZF129" s="0"/>
      <c r="ZG129" s="0"/>
      <c r="ZH129" s="0"/>
      <c r="ZI129" s="0"/>
      <c r="ZJ129" s="0"/>
      <c r="ZK129" s="0"/>
      <c r="ZL129" s="0"/>
      <c r="ZM129" s="0"/>
      <c r="ZN129" s="0"/>
      <c r="ZO129" s="0"/>
      <c r="ZP129" s="0"/>
      <c r="ZQ129" s="0"/>
      <c r="ZR129" s="0"/>
      <c r="ZS129" s="0"/>
      <c r="ZT129" s="0"/>
      <c r="ZU129" s="0"/>
      <c r="ZV129" s="0"/>
      <c r="ZW129" s="0"/>
      <c r="ZX129" s="0"/>
      <c r="ZY129" s="0"/>
      <c r="ZZ129" s="0"/>
      <c r="AAA129" s="0"/>
      <c r="AAB129" s="0"/>
      <c r="AAC129" s="0"/>
      <c r="AAD129" s="0"/>
      <c r="AAE129" s="0"/>
      <c r="AAF129" s="0"/>
      <c r="AAG129" s="0"/>
      <c r="AAH129" s="0"/>
      <c r="AAI129" s="0"/>
      <c r="AAJ129" s="0"/>
      <c r="AAK129" s="0"/>
      <c r="AAL129" s="0"/>
      <c r="AAM129" s="0"/>
      <c r="AAN129" s="0"/>
      <c r="AAO129" s="0"/>
      <c r="AAP129" s="0"/>
      <c r="AAQ129" s="0"/>
      <c r="AAR129" s="0"/>
      <c r="AAS129" s="0"/>
      <c r="AAT129" s="0"/>
      <c r="AAU129" s="0"/>
      <c r="AAV129" s="0"/>
      <c r="AAW129" s="0"/>
      <c r="AAX129" s="0"/>
      <c r="AAY129" s="0"/>
      <c r="AAZ129" s="0"/>
      <c r="ABA129" s="0"/>
      <c r="ABB129" s="0"/>
      <c r="ABC129" s="0"/>
      <c r="ABD129" s="0"/>
      <c r="ABE129" s="0"/>
      <c r="ABF129" s="0"/>
      <c r="ABG129" s="0"/>
      <c r="ABH129" s="0"/>
      <c r="ABI129" s="0"/>
      <c r="ABJ129" s="0"/>
      <c r="ABK129" s="0"/>
      <c r="ABL129" s="0"/>
      <c r="ABM129" s="0"/>
      <c r="ABN129" s="0"/>
      <c r="ABO129" s="0"/>
      <c r="ABP129" s="0"/>
      <c r="ABQ129" s="0"/>
      <c r="ABR129" s="0"/>
      <c r="ABS129" s="0"/>
      <c r="ABT129" s="0"/>
      <c r="ABU129" s="0"/>
      <c r="ABV129" s="0"/>
      <c r="ABW129" s="0"/>
      <c r="ABX129" s="0"/>
      <c r="ABY129" s="0"/>
      <c r="ABZ129" s="0"/>
      <c r="ACA129" s="0"/>
      <c r="ACB129" s="0"/>
      <c r="ACC129" s="0"/>
      <c r="ACD129" s="0"/>
      <c r="ACE129" s="0"/>
      <c r="ACF129" s="0"/>
      <c r="ACG129" s="0"/>
      <c r="ACH129" s="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customFormat="false" ht="18" hidden="false" customHeight="true" outlineLevel="0" collapsed="false">
      <c r="A130" s="0"/>
      <c r="B130" s="25"/>
      <c r="C130" s="25"/>
      <c r="D130" s="25"/>
      <c r="E130" s="25"/>
      <c r="F130" s="28"/>
      <c r="G130" s="30" t="n">
        <f aca="false">G16</f>
        <v>0.2493</v>
      </c>
      <c r="H130" s="29"/>
      <c r="I130" s="26"/>
      <c r="J130" s="27"/>
      <c r="K130" s="26"/>
      <c r="L130" s="26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customFormat="false" ht="18" hidden="false" customHeight="true" outlineLevel="0" collapsed="false">
      <c r="A131" s="0"/>
      <c r="B131" s="31" t="s">
        <v>258</v>
      </c>
      <c r="C131" s="32" t="s">
        <v>259</v>
      </c>
      <c r="D131" s="33"/>
      <c r="E131" s="33"/>
      <c r="F131" s="33"/>
      <c r="G131" s="33"/>
      <c r="H131" s="33"/>
      <c r="I131" s="34" t="n">
        <f aca="false">I135</f>
        <v>15407.4869728</v>
      </c>
      <c r="J131" s="35"/>
      <c r="K131" s="33"/>
      <c r="L131" s="36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0"/>
      <c r="EP131" s="0"/>
      <c r="EQ131" s="0"/>
      <c r="ER131" s="0"/>
      <c r="ES131" s="0"/>
      <c r="ET131" s="0"/>
      <c r="EU131" s="0"/>
      <c r="EV131" s="0"/>
      <c r="EW131" s="0"/>
      <c r="EX131" s="0"/>
      <c r="EY131" s="0"/>
      <c r="EZ131" s="0"/>
      <c r="FA131" s="0"/>
      <c r="FB131" s="0"/>
      <c r="FC131" s="0"/>
      <c r="FD131" s="0"/>
      <c r="FE131" s="0"/>
      <c r="FF131" s="0"/>
      <c r="FG131" s="0"/>
      <c r="FH131" s="0"/>
      <c r="FI131" s="0"/>
      <c r="FJ131" s="0"/>
      <c r="FK131" s="0"/>
      <c r="FL131" s="0"/>
      <c r="FM131" s="0"/>
      <c r="FN131" s="0"/>
      <c r="FO131" s="0"/>
      <c r="FP131" s="0"/>
      <c r="FQ131" s="0"/>
      <c r="FR131" s="0"/>
      <c r="FS131" s="0"/>
      <c r="FT131" s="0"/>
      <c r="FU131" s="0"/>
      <c r="FV131" s="0"/>
      <c r="FW131" s="0"/>
      <c r="FX131" s="0"/>
      <c r="FY131" s="0"/>
      <c r="FZ131" s="0"/>
      <c r="GA131" s="0"/>
      <c r="GB131" s="0"/>
      <c r="GC131" s="0"/>
      <c r="GD131" s="0"/>
      <c r="GE131" s="0"/>
      <c r="GF131" s="0"/>
      <c r="GG131" s="0"/>
      <c r="GH131" s="0"/>
      <c r="GI131" s="0"/>
      <c r="GJ131" s="0"/>
      <c r="GK131" s="0"/>
      <c r="GL131" s="0"/>
      <c r="GM131" s="0"/>
      <c r="GN131" s="0"/>
      <c r="GO131" s="0"/>
      <c r="GP131" s="0"/>
      <c r="GQ131" s="0"/>
      <c r="GR131" s="0"/>
      <c r="GS131" s="0"/>
      <c r="GT131" s="0"/>
      <c r="GU131" s="0"/>
      <c r="GV131" s="0"/>
      <c r="GW131" s="0"/>
      <c r="GX131" s="0"/>
      <c r="GY131" s="0"/>
      <c r="GZ131" s="0"/>
      <c r="HA131" s="0"/>
      <c r="HB131" s="0"/>
      <c r="HC131" s="0"/>
      <c r="HD131" s="0"/>
      <c r="HE131" s="0"/>
      <c r="HF131" s="0"/>
      <c r="HG131" s="0"/>
      <c r="HH131" s="0"/>
      <c r="HI131" s="0"/>
      <c r="HJ131" s="0"/>
      <c r="HK131" s="0"/>
      <c r="HL131" s="0"/>
      <c r="HM131" s="0"/>
      <c r="HN131" s="0"/>
      <c r="HO131" s="0"/>
      <c r="HP131" s="0"/>
      <c r="HQ131" s="0"/>
      <c r="HR131" s="0"/>
      <c r="HS131" s="0"/>
      <c r="HT131" s="0"/>
      <c r="HU131" s="0"/>
      <c r="HV131" s="0"/>
      <c r="HW131" s="0"/>
      <c r="HX131" s="0"/>
      <c r="HY131" s="0"/>
      <c r="HZ131" s="0"/>
      <c r="IA131" s="0"/>
      <c r="IB131" s="0"/>
      <c r="IC131" s="0"/>
      <c r="ID131" s="0"/>
      <c r="IE131" s="0"/>
      <c r="IF131" s="0"/>
      <c r="IG131" s="0"/>
      <c r="IH131" s="0"/>
      <c r="II131" s="0"/>
      <c r="IJ131" s="0"/>
      <c r="IK131" s="0"/>
      <c r="IL131" s="0"/>
      <c r="IM131" s="0"/>
      <c r="IN131" s="0"/>
      <c r="IO131" s="0"/>
      <c r="IP131" s="0"/>
      <c r="IQ131" s="0"/>
      <c r="IR131" s="0"/>
      <c r="IS131" s="0"/>
      <c r="IT131" s="0"/>
      <c r="IU131" s="0"/>
      <c r="IV131" s="0"/>
      <c r="IW131" s="0"/>
      <c r="IX131" s="0"/>
      <c r="IY131" s="0"/>
      <c r="IZ131" s="0"/>
      <c r="JA131" s="0"/>
      <c r="JB131" s="0"/>
      <c r="JC131" s="0"/>
      <c r="JD131" s="0"/>
      <c r="JE131" s="0"/>
      <c r="JF131" s="0"/>
      <c r="JG131" s="0"/>
      <c r="JH131" s="0"/>
      <c r="JI131" s="0"/>
      <c r="JJ131" s="0"/>
      <c r="JK131" s="0"/>
      <c r="JL131" s="0"/>
      <c r="JM131" s="0"/>
      <c r="JN131" s="0"/>
      <c r="JO131" s="0"/>
      <c r="JP131" s="0"/>
      <c r="JQ131" s="0"/>
      <c r="JR131" s="0"/>
      <c r="JS131" s="0"/>
      <c r="JT131" s="0"/>
      <c r="JU131" s="0"/>
      <c r="JV131" s="0"/>
      <c r="JW131" s="0"/>
      <c r="JX131" s="0"/>
      <c r="JY131" s="0"/>
      <c r="JZ131" s="0"/>
      <c r="KA131" s="0"/>
      <c r="KB131" s="0"/>
      <c r="KC131" s="0"/>
      <c r="KD131" s="0"/>
      <c r="KE131" s="0"/>
      <c r="KF131" s="0"/>
      <c r="KG131" s="0"/>
      <c r="KH131" s="0"/>
      <c r="KI131" s="0"/>
      <c r="KJ131" s="0"/>
      <c r="KK131" s="0"/>
      <c r="KL131" s="0"/>
      <c r="KM131" s="0"/>
      <c r="KN131" s="0"/>
      <c r="KO131" s="0"/>
      <c r="KP131" s="0"/>
      <c r="KQ131" s="0"/>
      <c r="KR131" s="0"/>
      <c r="KS131" s="0"/>
      <c r="KT131" s="0"/>
      <c r="KU131" s="0"/>
      <c r="KV131" s="0"/>
      <c r="KW131" s="0"/>
      <c r="KX131" s="0"/>
      <c r="KY131" s="0"/>
      <c r="KZ131" s="0"/>
      <c r="LA131" s="0"/>
      <c r="LB131" s="0"/>
      <c r="LC131" s="0"/>
      <c r="LD131" s="0"/>
      <c r="LE131" s="0"/>
      <c r="LF131" s="0"/>
      <c r="LG131" s="0"/>
      <c r="LH131" s="0"/>
      <c r="LI131" s="0"/>
      <c r="LJ131" s="0"/>
      <c r="LK131" s="0"/>
      <c r="LL131" s="0"/>
      <c r="LM131" s="0"/>
      <c r="LN131" s="0"/>
      <c r="LO131" s="0"/>
      <c r="LP131" s="0"/>
      <c r="LQ131" s="0"/>
      <c r="LR131" s="0"/>
      <c r="LS131" s="0"/>
      <c r="LT131" s="0"/>
      <c r="LU131" s="0"/>
      <c r="LV131" s="0"/>
      <c r="LW131" s="0"/>
      <c r="LX131" s="0"/>
      <c r="LY131" s="0"/>
      <c r="LZ131" s="0"/>
      <c r="MA131" s="0"/>
      <c r="MB131" s="0"/>
      <c r="MC131" s="0"/>
      <c r="MD131" s="0"/>
      <c r="ME131" s="0"/>
      <c r="MF131" s="0"/>
      <c r="MG131" s="0"/>
      <c r="MH131" s="0"/>
      <c r="MI131" s="0"/>
      <c r="MJ131" s="0"/>
      <c r="MK131" s="0"/>
      <c r="ML131" s="0"/>
      <c r="MM131" s="0"/>
      <c r="MN131" s="0"/>
      <c r="MO131" s="0"/>
      <c r="MP131" s="0"/>
      <c r="MQ131" s="0"/>
      <c r="MR131" s="0"/>
      <c r="MS131" s="0"/>
      <c r="MT131" s="0"/>
      <c r="MU131" s="0"/>
      <c r="MV131" s="0"/>
      <c r="MW131" s="0"/>
      <c r="MX131" s="0"/>
      <c r="MY131" s="0"/>
      <c r="MZ131" s="0"/>
      <c r="NA131" s="0"/>
      <c r="NB131" s="0"/>
      <c r="NC131" s="0"/>
      <c r="ND131" s="0"/>
      <c r="NE131" s="0"/>
      <c r="NF131" s="0"/>
      <c r="NG131" s="0"/>
      <c r="NH131" s="0"/>
      <c r="NI131" s="0"/>
      <c r="NJ131" s="0"/>
      <c r="NK131" s="0"/>
      <c r="NL131" s="0"/>
      <c r="NM131" s="0"/>
      <c r="NN131" s="0"/>
      <c r="NO131" s="0"/>
      <c r="NP131" s="0"/>
      <c r="NQ131" s="0"/>
      <c r="NR131" s="0"/>
      <c r="NS131" s="0"/>
      <c r="NT131" s="0"/>
      <c r="NU131" s="0"/>
      <c r="NV131" s="0"/>
      <c r="NW131" s="0"/>
      <c r="NX131" s="0"/>
      <c r="NY131" s="0"/>
      <c r="NZ131" s="0"/>
      <c r="OA131" s="0"/>
      <c r="OB131" s="0"/>
      <c r="OC131" s="0"/>
      <c r="OD131" s="0"/>
      <c r="OE131" s="0"/>
      <c r="OF131" s="0"/>
      <c r="OG131" s="0"/>
      <c r="OH131" s="0"/>
      <c r="OI131" s="0"/>
      <c r="OJ131" s="0"/>
      <c r="OK131" s="0"/>
      <c r="OL131" s="0"/>
      <c r="OM131" s="0"/>
      <c r="ON131" s="0"/>
      <c r="OO131" s="0"/>
      <c r="OP131" s="0"/>
      <c r="OQ131" s="0"/>
      <c r="OR131" s="0"/>
      <c r="OS131" s="0"/>
      <c r="OT131" s="0"/>
      <c r="OU131" s="0"/>
      <c r="OV131" s="0"/>
      <c r="OW131" s="0"/>
      <c r="OX131" s="0"/>
      <c r="OY131" s="0"/>
      <c r="OZ131" s="0"/>
      <c r="PA131" s="0"/>
      <c r="PB131" s="0"/>
      <c r="PC131" s="0"/>
      <c r="PD131" s="0"/>
      <c r="PE131" s="0"/>
      <c r="PF131" s="0"/>
      <c r="PG131" s="0"/>
      <c r="PH131" s="0"/>
      <c r="PI131" s="0"/>
      <c r="PJ131" s="0"/>
      <c r="PK131" s="0"/>
      <c r="PL131" s="0"/>
      <c r="PM131" s="0"/>
      <c r="PN131" s="0"/>
      <c r="PO131" s="0"/>
      <c r="PP131" s="0"/>
      <c r="PQ131" s="0"/>
      <c r="PR131" s="0"/>
      <c r="PS131" s="0"/>
      <c r="PT131" s="0"/>
      <c r="PU131" s="0"/>
      <c r="PV131" s="0"/>
      <c r="PW131" s="0"/>
      <c r="PX131" s="0"/>
      <c r="PY131" s="0"/>
      <c r="PZ131" s="0"/>
      <c r="QA131" s="0"/>
      <c r="QB131" s="0"/>
      <c r="QC131" s="0"/>
      <c r="QD131" s="0"/>
      <c r="QE131" s="0"/>
      <c r="QF131" s="0"/>
      <c r="QG131" s="0"/>
      <c r="QH131" s="0"/>
      <c r="QI131" s="0"/>
      <c r="QJ131" s="0"/>
      <c r="QK131" s="0"/>
      <c r="QL131" s="0"/>
      <c r="QM131" s="0"/>
      <c r="QN131" s="0"/>
      <c r="QO131" s="0"/>
      <c r="QP131" s="0"/>
      <c r="QQ131" s="0"/>
      <c r="QR131" s="0"/>
      <c r="QS131" s="0"/>
      <c r="QT131" s="0"/>
      <c r="QU131" s="0"/>
      <c r="QV131" s="0"/>
      <c r="QW131" s="0"/>
      <c r="QX131" s="0"/>
      <c r="QY131" s="0"/>
      <c r="QZ131" s="0"/>
      <c r="RA131" s="0"/>
      <c r="RB131" s="0"/>
      <c r="RC131" s="0"/>
      <c r="RD131" s="0"/>
      <c r="RE131" s="0"/>
      <c r="RF131" s="0"/>
      <c r="RG131" s="0"/>
      <c r="RH131" s="0"/>
      <c r="RI131" s="0"/>
      <c r="RJ131" s="0"/>
      <c r="RK131" s="0"/>
      <c r="RL131" s="0"/>
      <c r="RM131" s="0"/>
      <c r="RN131" s="0"/>
      <c r="RO131" s="0"/>
      <c r="RP131" s="0"/>
      <c r="RQ131" s="0"/>
      <c r="RR131" s="0"/>
      <c r="RS131" s="0"/>
      <c r="RT131" s="0"/>
      <c r="RU131" s="0"/>
      <c r="RV131" s="0"/>
      <c r="RW131" s="0"/>
      <c r="RX131" s="0"/>
      <c r="RY131" s="0"/>
      <c r="RZ131" s="0"/>
      <c r="SA131" s="0"/>
      <c r="SB131" s="0"/>
      <c r="SC131" s="0"/>
      <c r="SD131" s="0"/>
      <c r="SE131" s="0"/>
      <c r="SF131" s="0"/>
      <c r="SG131" s="0"/>
      <c r="SH131" s="0"/>
      <c r="SI131" s="0"/>
      <c r="SJ131" s="0"/>
      <c r="SK131" s="0"/>
      <c r="SL131" s="0"/>
      <c r="SM131" s="0"/>
      <c r="SN131" s="0"/>
      <c r="SO131" s="0"/>
      <c r="SP131" s="0"/>
      <c r="SQ131" s="0"/>
      <c r="SR131" s="0"/>
      <c r="SS131" s="0"/>
      <c r="ST131" s="0"/>
      <c r="SU131" s="0"/>
      <c r="SV131" s="0"/>
      <c r="SW131" s="0"/>
      <c r="SX131" s="0"/>
      <c r="SY131" s="0"/>
      <c r="SZ131" s="0"/>
      <c r="TA131" s="0"/>
      <c r="TB131" s="0"/>
      <c r="TC131" s="0"/>
      <c r="TD131" s="0"/>
      <c r="TE131" s="0"/>
      <c r="TF131" s="0"/>
      <c r="TG131" s="0"/>
      <c r="TH131" s="0"/>
      <c r="TI131" s="0"/>
      <c r="TJ131" s="0"/>
      <c r="TK131" s="0"/>
      <c r="TL131" s="0"/>
      <c r="TM131" s="0"/>
      <c r="TN131" s="0"/>
      <c r="TO131" s="0"/>
      <c r="TP131" s="0"/>
      <c r="TQ131" s="0"/>
      <c r="TR131" s="0"/>
      <c r="TS131" s="0"/>
      <c r="TT131" s="0"/>
      <c r="TU131" s="0"/>
      <c r="TV131" s="0"/>
      <c r="TW131" s="0"/>
      <c r="TX131" s="0"/>
      <c r="TY131" s="0"/>
      <c r="TZ131" s="0"/>
      <c r="UA131" s="0"/>
      <c r="UB131" s="0"/>
      <c r="UC131" s="0"/>
      <c r="UD131" s="0"/>
      <c r="UE131" s="0"/>
      <c r="UF131" s="0"/>
      <c r="UG131" s="0"/>
      <c r="UH131" s="0"/>
      <c r="UI131" s="0"/>
      <c r="UJ131" s="0"/>
      <c r="UK131" s="0"/>
      <c r="UL131" s="0"/>
      <c r="UM131" s="0"/>
      <c r="UN131" s="0"/>
      <c r="UO131" s="0"/>
      <c r="UP131" s="0"/>
      <c r="UQ131" s="0"/>
      <c r="UR131" s="0"/>
      <c r="US131" s="0"/>
      <c r="UT131" s="0"/>
      <c r="UU131" s="0"/>
      <c r="UV131" s="0"/>
      <c r="UW131" s="0"/>
      <c r="UX131" s="0"/>
      <c r="UY131" s="0"/>
      <c r="UZ131" s="0"/>
      <c r="VA131" s="0"/>
      <c r="VB131" s="0"/>
      <c r="VC131" s="0"/>
      <c r="VD131" s="0"/>
      <c r="VE131" s="0"/>
      <c r="VF131" s="0"/>
      <c r="VG131" s="0"/>
      <c r="VH131" s="0"/>
      <c r="VI131" s="0"/>
      <c r="VJ131" s="0"/>
      <c r="VK131" s="0"/>
      <c r="VL131" s="0"/>
      <c r="VM131" s="0"/>
      <c r="VN131" s="0"/>
      <c r="VO131" s="0"/>
      <c r="VP131" s="0"/>
      <c r="VQ131" s="0"/>
      <c r="VR131" s="0"/>
      <c r="VS131" s="0"/>
      <c r="VT131" s="0"/>
      <c r="VU131" s="0"/>
      <c r="VV131" s="0"/>
      <c r="VW131" s="0"/>
      <c r="VX131" s="0"/>
      <c r="VY131" s="0"/>
      <c r="VZ131" s="0"/>
      <c r="WA131" s="0"/>
      <c r="WB131" s="0"/>
      <c r="WC131" s="0"/>
      <c r="WD131" s="0"/>
      <c r="WE131" s="0"/>
      <c r="WF131" s="0"/>
      <c r="WG131" s="0"/>
      <c r="WH131" s="0"/>
      <c r="WI131" s="0"/>
      <c r="WJ131" s="0"/>
      <c r="WK131" s="0"/>
      <c r="WL131" s="0"/>
      <c r="WM131" s="0"/>
      <c r="WN131" s="0"/>
      <c r="WO131" s="0"/>
      <c r="WP131" s="0"/>
      <c r="WQ131" s="0"/>
      <c r="WR131" s="0"/>
      <c r="WS131" s="0"/>
      <c r="WT131" s="0"/>
      <c r="WU131" s="0"/>
      <c r="WV131" s="0"/>
      <c r="WW131" s="0"/>
      <c r="WX131" s="0"/>
      <c r="WY131" s="0"/>
      <c r="WZ131" s="0"/>
      <c r="XA131" s="0"/>
      <c r="XB131" s="0"/>
      <c r="XC131" s="0"/>
      <c r="XD131" s="0"/>
      <c r="XE131" s="0"/>
      <c r="XF131" s="0"/>
      <c r="XG131" s="0"/>
      <c r="XH131" s="0"/>
      <c r="XI131" s="0"/>
      <c r="XJ131" s="0"/>
      <c r="XK131" s="0"/>
      <c r="XL131" s="0"/>
      <c r="XM131" s="0"/>
      <c r="XN131" s="0"/>
      <c r="XO131" s="0"/>
      <c r="XP131" s="0"/>
      <c r="XQ131" s="0"/>
      <c r="XR131" s="0"/>
      <c r="XS131" s="0"/>
      <c r="XT131" s="0"/>
      <c r="XU131" s="0"/>
      <c r="XV131" s="0"/>
      <c r="XW131" s="0"/>
      <c r="XX131" s="0"/>
      <c r="XY131" s="0"/>
      <c r="XZ131" s="0"/>
      <c r="YA131" s="0"/>
      <c r="YB131" s="0"/>
      <c r="YC131" s="0"/>
      <c r="YD131" s="0"/>
      <c r="YE131" s="0"/>
      <c r="YF131" s="0"/>
      <c r="YG131" s="0"/>
      <c r="YH131" s="0"/>
      <c r="YI131" s="0"/>
      <c r="YJ131" s="0"/>
      <c r="YK131" s="0"/>
      <c r="YL131" s="0"/>
      <c r="YM131" s="0"/>
      <c r="YN131" s="0"/>
      <c r="YO131" s="0"/>
      <c r="YP131" s="0"/>
      <c r="YQ131" s="0"/>
      <c r="YR131" s="0"/>
      <c r="YS131" s="0"/>
      <c r="YT131" s="0"/>
      <c r="YU131" s="0"/>
      <c r="YV131" s="0"/>
      <c r="YW131" s="0"/>
      <c r="YX131" s="0"/>
      <c r="YY131" s="0"/>
      <c r="YZ131" s="0"/>
      <c r="ZA131" s="0"/>
      <c r="ZB131" s="0"/>
      <c r="ZC131" s="0"/>
      <c r="ZD131" s="0"/>
      <c r="ZE131" s="0"/>
      <c r="ZF131" s="0"/>
      <c r="ZG131" s="0"/>
      <c r="ZH131" s="0"/>
      <c r="ZI131" s="0"/>
      <c r="ZJ131" s="0"/>
      <c r="ZK131" s="0"/>
      <c r="ZL131" s="0"/>
      <c r="ZM131" s="0"/>
      <c r="ZN131" s="0"/>
      <c r="ZO131" s="0"/>
      <c r="ZP131" s="0"/>
      <c r="ZQ131" s="0"/>
      <c r="ZR131" s="0"/>
      <c r="ZS131" s="0"/>
      <c r="ZT131" s="0"/>
      <c r="ZU131" s="0"/>
      <c r="ZV131" s="0"/>
      <c r="ZW131" s="0"/>
      <c r="ZX131" s="0"/>
      <c r="ZY131" s="0"/>
      <c r="ZZ131" s="0"/>
      <c r="AAA131" s="0"/>
      <c r="AAB131" s="0"/>
      <c r="AAC131" s="0"/>
      <c r="AAD131" s="0"/>
      <c r="AAE131" s="0"/>
      <c r="AAF131" s="0"/>
      <c r="AAG131" s="0"/>
      <c r="AAH131" s="0"/>
      <c r="AAI131" s="0"/>
      <c r="AAJ131" s="0"/>
      <c r="AAK131" s="0"/>
      <c r="AAL131" s="0"/>
      <c r="AAM131" s="0"/>
      <c r="AAN131" s="0"/>
      <c r="AAO131" s="0"/>
      <c r="AAP131" s="0"/>
      <c r="AAQ131" s="0"/>
      <c r="AAR131" s="0"/>
      <c r="AAS131" s="0"/>
      <c r="AAT131" s="0"/>
      <c r="AAU131" s="0"/>
      <c r="AAV131" s="0"/>
      <c r="AAW131" s="0"/>
      <c r="AAX131" s="0"/>
      <c r="AAY131" s="0"/>
      <c r="AAZ131" s="0"/>
      <c r="ABA131" s="0"/>
      <c r="ABB131" s="0"/>
      <c r="ABC131" s="0"/>
      <c r="ABD131" s="0"/>
      <c r="ABE131" s="0"/>
      <c r="ABF131" s="0"/>
      <c r="ABG131" s="0"/>
      <c r="ABH131" s="0"/>
      <c r="ABI131" s="0"/>
      <c r="ABJ131" s="0"/>
      <c r="ABK131" s="0"/>
      <c r="ABL131" s="0"/>
      <c r="ABM131" s="0"/>
      <c r="ABN131" s="0"/>
      <c r="ABO131" s="0"/>
      <c r="ABP131" s="0"/>
      <c r="ABQ131" s="0"/>
      <c r="ABR131" s="0"/>
      <c r="ABS131" s="0"/>
      <c r="ABT131" s="0"/>
      <c r="ABU131" s="0"/>
      <c r="ABV131" s="0"/>
      <c r="ABW131" s="0"/>
      <c r="ABX131" s="0"/>
      <c r="ABY131" s="0"/>
      <c r="ABZ131" s="0"/>
      <c r="ACA131" s="0"/>
      <c r="ACB131" s="0"/>
      <c r="ACC131" s="0"/>
      <c r="ACD131" s="0"/>
      <c r="ACE131" s="0"/>
      <c r="ACF131" s="0"/>
      <c r="ACG131" s="0"/>
      <c r="ACH131" s="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customFormat="false" ht="18" hidden="false" customHeight="true" outlineLevel="0" collapsed="false">
      <c r="A132" s="0"/>
      <c r="B132" s="28" t="s">
        <v>260</v>
      </c>
      <c r="C132" s="37" t="s">
        <v>261</v>
      </c>
      <c r="D132" s="28" t="s">
        <v>42</v>
      </c>
      <c r="E132" s="38" t="n">
        <f aca="false">VLOOKUP(C132,'MEMÓRIA DE CÁLCULO'!$C$407:$J$585,8,0)</f>
        <v>33.6</v>
      </c>
      <c r="F132" s="39" t="n">
        <v>10.36</v>
      </c>
      <c r="G132" s="40" t="n">
        <f aca="false">F132*(1+$G$130)</f>
        <v>12.942748</v>
      </c>
      <c r="H132" s="40" t="n">
        <f aca="false">E132*G132</f>
        <v>434.8763328</v>
      </c>
      <c r="I132" s="41"/>
      <c r="J132" s="42" t="n">
        <f aca="false">H132/$I$179</f>
        <v>0.00141740874365121</v>
      </c>
      <c r="K132" s="28" t="s">
        <v>48</v>
      </c>
      <c r="L132" s="43" t="n">
        <v>85334</v>
      </c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18" hidden="false" customHeight="true" outlineLevel="0" collapsed="false">
      <c r="A133" s="0"/>
      <c r="B133" s="28" t="s">
        <v>262</v>
      </c>
      <c r="C133" s="37" t="s">
        <v>263</v>
      </c>
      <c r="D133" s="28" t="s">
        <v>42</v>
      </c>
      <c r="E133" s="38" t="n">
        <f aca="false">VLOOKUP(C133,'MEMÓRIA DE CÁLCULO'!$C$407:$J$585,8,0)</f>
        <v>710</v>
      </c>
      <c r="F133" s="39" t="n">
        <v>11.7</v>
      </c>
      <c r="G133" s="40" t="n">
        <f aca="false">F133*(1+$G$130)</f>
        <v>14.61681</v>
      </c>
      <c r="H133" s="40" t="n">
        <f aca="false">E133*G133</f>
        <v>10377.9351</v>
      </c>
      <c r="I133" s="41"/>
      <c r="J133" s="42" t="n">
        <f aca="false">H133/$I$179</f>
        <v>0.0338251931464612</v>
      </c>
      <c r="K133" s="28" t="s">
        <v>48</v>
      </c>
      <c r="L133" s="43" t="n">
        <v>72228</v>
      </c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18" hidden="false" customHeight="true" outlineLevel="0" collapsed="false">
      <c r="A134" s="0"/>
      <c r="B134" s="28" t="s">
        <v>264</v>
      </c>
      <c r="C134" s="37" t="s">
        <v>265</v>
      </c>
      <c r="D134" s="28" t="s">
        <v>42</v>
      </c>
      <c r="E134" s="38" t="n">
        <f aca="false">VLOOKUP(C134,'MEMÓRIA DE CÁLCULO'!$C$407:$J$585,8,0)</f>
        <v>710</v>
      </c>
      <c r="F134" s="39" t="n">
        <v>5.18</v>
      </c>
      <c r="G134" s="40" t="n">
        <f aca="false">F134*(1+$G$130)</f>
        <v>6.471374</v>
      </c>
      <c r="H134" s="40" t="n">
        <f aca="false">E134*G134</f>
        <v>4594.67554</v>
      </c>
      <c r="I134" s="41"/>
      <c r="J134" s="42" t="n">
        <f aca="false">H134/$I$179</f>
        <v>0.0149755983332196</v>
      </c>
      <c r="K134" s="28" t="s">
        <v>48</v>
      </c>
      <c r="L134" s="43" t="n">
        <v>72230</v>
      </c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customFormat="false" ht="18" hidden="false" customHeight="true" outlineLevel="0" collapsed="false">
      <c r="A135" s="0"/>
      <c r="B135" s="44" t="str">
        <f aca="false">"SUBTOTAL DO ITEM "&amp;C131</f>
        <v>SUBTOTAL DO ITEM SERVIÇOS PRELIMINARES (FACHADA)</v>
      </c>
      <c r="C135" s="44"/>
      <c r="D135" s="44"/>
      <c r="E135" s="44"/>
      <c r="F135" s="44"/>
      <c r="G135" s="44"/>
      <c r="H135" s="44"/>
      <c r="I135" s="45" t="n">
        <f aca="false">SUM(H132:H134)</f>
        <v>15407.4869728</v>
      </c>
      <c r="J135" s="46" t="n">
        <f aca="false">SUM(J132:J134)</f>
        <v>0.050218200223332</v>
      </c>
      <c r="K135" s="47"/>
      <c r="L135" s="48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18" hidden="false" customHeight="true" outlineLevel="0" collapsed="false">
      <c r="A136" s="0"/>
      <c r="B136" s="31" t="s">
        <v>266</v>
      </c>
      <c r="C136" s="32" t="s">
        <v>267</v>
      </c>
      <c r="D136" s="33"/>
      <c r="E136" s="33"/>
      <c r="F136" s="33"/>
      <c r="G136" s="33"/>
      <c r="H136" s="33"/>
      <c r="I136" s="34" t="n">
        <f aca="false">I138</f>
        <v>18579.73152048</v>
      </c>
      <c r="J136" s="33"/>
      <c r="K136" s="33"/>
      <c r="L136" s="36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customFormat="false" ht="18" hidden="false" customHeight="true" outlineLevel="0" collapsed="false">
      <c r="A137" s="0"/>
      <c r="B137" s="28" t="s">
        <v>268</v>
      </c>
      <c r="C137" s="37" t="s">
        <v>94</v>
      </c>
      <c r="D137" s="28" t="s">
        <v>42</v>
      </c>
      <c r="E137" s="38" t="n">
        <f aca="false">VLOOKUP(C137,'MEMÓRIA DE CÁLCULO'!$C$407:$J$585,8,0)</f>
        <v>220.72</v>
      </c>
      <c r="F137" s="39" t="n">
        <v>67.38</v>
      </c>
      <c r="G137" s="40" t="n">
        <f aca="false">F137*(1+$G$16)</f>
        <v>84.177834</v>
      </c>
      <c r="H137" s="40" t="n">
        <f aca="false">E137*G137</f>
        <v>18579.73152048</v>
      </c>
      <c r="I137" s="41"/>
      <c r="J137" s="42" t="n">
        <f aca="false">H137/$I$124</f>
        <v>0.0969821149952618</v>
      </c>
      <c r="K137" s="28" t="s">
        <v>48</v>
      </c>
      <c r="L137" s="43" t="n">
        <v>87500</v>
      </c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18" hidden="false" customHeight="true" outlineLevel="0" collapsed="false">
      <c r="A138" s="0"/>
      <c r="B138" s="44" t="str">
        <f aca="false">"SUBTOTAL DO ITEM "&amp;C136</f>
        <v>SUBTOTAL DO ITEM PAREDES E PAINÉIS (FACHADA)</v>
      </c>
      <c r="C138" s="44"/>
      <c r="D138" s="44"/>
      <c r="E138" s="44"/>
      <c r="F138" s="44"/>
      <c r="G138" s="44"/>
      <c r="H138" s="44"/>
      <c r="I138" s="45" t="n">
        <f aca="false">SUM(H137:H137)</f>
        <v>18579.73152048</v>
      </c>
      <c r="J138" s="46" t="n">
        <f aca="false">SUM(J137:J137)</f>
        <v>0.0969821149952618</v>
      </c>
      <c r="K138" s="47"/>
      <c r="L138" s="48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customFormat="false" ht="18" hidden="false" customHeight="true" outlineLevel="0" collapsed="false">
      <c r="A139" s="0"/>
      <c r="B139" s="31" t="s">
        <v>269</v>
      </c>
      <c r="C139" s="32" t="s">
        <v>270</v>
      </c>
      <c r="D139" s="33"/>
      <c r="E139" s="33"/>
      <c r="F139" s="33"/>
      <c r="G139" s="33"/>
      <c r="H139" s="33"/>
      <c r="I139" s="34" t="n">
        <f aca="false">I145</f>
        <v>151527.77889808</v>
      </c>
      <c r="J139" s="33"/>
      <c r="K139" s="33"/>
      <c r="L139" s="36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52" customFormat="true" ht="45" hidden="false" customHeight="true" outlineLevel="0" collapsed="false">
      <c r="B140" s="28" t="s">
        <v>271</v>
      </c>
      <c r="C140" s="51" t="s">
        <v>98</v>
      </c>
      <c r="D140" s="28" t="s">
        <v>42</v>
      </c>
      <c r="E140" s="38" t="n">
        <f aca="false">VLOOKUP(C140,'MEMÓRIA DE CÁLCULO'!$C$407:$J$585,8,0)</f>
        <v>692.305</v>
      </c>
      <c r="F140" s="53" t="n">
        <v>59.92</v>
      </c>
      <c r="G140" s="54" t="n">
        <f aca="false">F140*(1+$G$16)</f>
        <v>74.858056</v>
      </c>
      <c r="H140" s="54" t="n">
        <f aca="false">E140*G140</f>
        <v>51824.60645908</v>
      </c>
      <c r="I140" s="41"/>
      <c r="J140" s="42" t="n">
        <f aca="false">H140/$I$179</f>
        <v>0.168913883766504</v>
      </c>
      <c r="K140" s="29" t="s">
        <v>48</v>
      </c>
      <c r="L140" s="56" t="n">
        <v>72110</v>
      </c>
    </row>
    <row r="141" customFormat="false" ht="18" hidden="false" customHeight="true" outlineLevel="0" collapsed="false">
      <c r="B141" s="28" t="s">
        <v>272</v>
      </c>
      <c r="C141" s="37" t="s">
        <v>103</v>
      </c>
      <c r="D141" s="28" t="s">
        <v>42</v>
      </c>
      <c r="E141" s="38" t="n">
        <f aca="false">VLOOKUP(C141,'MEMÓRIA DE CÁLCULO'!$C$407:$J$585,8,0)</f>
        <v>651.05</v>
      </c>
      <c r="F141" s="39" t="n">
        <v>111.69</v>
      </c>
      <c r="G141" s="54" t="n">
        <f aca="false">F141*(1+$G$16)</f>
        <v>139.534317</v>
      </c>
      <c r="H141" s="54" t="n">
        <f aca="false">E141*G141</f>
        <v>90843.81708285</v>
      </c>
      <c r="I141" s="41"/>
      <c r="J141" s="42" t="n">
        <f aca="false">H141/$I$179</f>
        <v>0.296090660558206</v>
      </c>
      <c r="K141" s="28" t="s">
        <v>43</v>
      </c>
      <c r="L141" s="43" t="s">
        <v>104</v>
      </c>
    </row>
    <row r="142" customFormat="false" ht="18" hidden="false" customHeight="true" outlineLevel="0" collapsed="false">
      <c r="B142" s="28" t="s">
        <v>273</v>
      </c>
      <c r="C142" s="37" t="s">
        <v>106</v>
      </c>
      <c r="D142" s="28" t="s">
        <v>107</v>
      </c>
      <c r="E142" s="38" t="n">
        <f aca="false">VLOOKUP(C142,'MEMÓRIA DE CÁLCULO'!$C$407:$J$585,8,0)</f>
        <v>114.65</v>
      </c>
      <c r="F142" s="39" t="n">
        <v>25.09</v>
      </c>
      <c r="G142" s="54" t="n">
        <f aca="false">F142*(1+$G$16)</f>
        <v>31.344937</v>
      </c>
      <c r="H142" s="54" t="n">
        <f aca="false">E142*G142</f>
        <v>3593.69702705</v>
      </c>
      <c r="I142" s="41"/>
      <c r="J142" s="42" t="n">
        <f aca="false">H142/$I$179</f>
        <v>0.0117130715193844</v>
      </c>
      <c r="K142" s="28" t="s">
        <v>48</v>
      </c>
      <c r="L142" s="43" t="n">
        <v>72104</v>
      </c>
    </row>
    <row r="143" customFormat="false" ht="18" hidden="false" customHeight="true" outlineLevel="0" collapsed="false">
      <c r="B143" s="28" t="s">
        <v>274</v>
      </c>
      <c r="C143" s="37" t="s">
        <v>109</v>
      </c>
      <c r="D143" s="28" t="s">
        <v>107</v>
      </c>
      <c r="E143" s="38" t="n">
        <f aca="false">VLOOKUP(C143,'MEMÓRIA DE CÁLCULO'!$C$407:$J$585,8,0)</f>
        <v>63.6</v>
      </c>
      <c r="F143" s="39" t="n">
        <v>23.39</v>
      </c>
      <c r="G143" s="54" t="n">
        <f aca="false">F143*(1+$G$16)</f>
        <v>29.221127</v>
      </c>
      <c r="H143" s="54" t="n">
        <f aca="false">E143*G143</f>
        <v>1858.4636772</v>
      </c>
      <c r="I143" s="41"/>
      <c r="J143" s="42" t="n">
        <f aca="false">H143/$I$179</f>
        <v>0.00605736037383512</v>
      </c>
      <c r="K143" s="28" t="s">
        <v>48</v>
      </c>
      <c r="L143" s="43" t="s">
        <v>110</v>
      </c>
    </row>
    <row r="144" customFormat="false" ht="30" hidden="false" customHeight="true" outlineLevel="0" collapsed="false">
      <c r="B144" s="28" t="s">
        <v>275</v>
      </c>
      <c r="C144" s="51" t="s">
        <v>112</v>
      </c>
      <c r="D144" s="28" t="s">
        <v>107</v>
      </c>
      <c r="E144" s="38" t="n">
        <f aca="false">VLOOKUP(C144,'MEMÓRIA DE CÁLCULO'!$C$407:$J$585,8,0)</f>
        <v>125.45</v>
      </c>
      <c r="F144" s="39" t="n">
        <v>21.74</v>
      </c>
      <c r="G144" s="54" t="n">
        <f aca="false">F144*(1+$G$16)</f>
        <v>27.159782</v>
      </c>
      <c r="H144" s="54" t="n">
        <f aca="false">E144*G144</f>
        <v>3407.1946519</v>
      </c>
      <c r="I144" s="41"/>
      <c r="J144" s="42" t="n">
        <f aca="false">H144/$I$179</f>
        <v>0.0111051973323775</v>
      </c>
      <c r="K144" s="28" t="s">
        <v>48</v>
      </c>
      <c r="L144" s="43" t="n">
        <v>71623</v>
      </c>
    </row>
    <row r="145" customFormat="false" ht="18" hidden="false" customHeight="true" outlineLevel="0" collapsed="false">
      <c r="B145" s="44" t="str">
        <f aca="false">"SUBTOTAL DO ITEM "&amp;C139</f>
        <v>SUBTOTAL DO ITEM COBERTURA (FACHADA)</v>
      </c>
      <c r="C145" s="44"/>
      <c r="D145" s="44"/>
      <c r="E145" s="44"/>
      <c r="F145" s="44"/>
      <c r="G145" s="44"/>
      <c r="H145" s="44"/>
      <c r="I145" s="45" t="n">
        <f aca="false">SUM(H140:H144)</f>
        <v>151527.77889808</v>
      </c>
      <c r="J145" s="46" t="n">
        <f aca="false">SUM(J140:J144)</f>
        <v>0.493880173550308</v>
      </c>
      <c r="K145" s="47"/>
      <c r="L145" s="48"/>
    </row>
    <row r="146" customFormat="false" ht="18" hidden="false" customHeight="true" outlineLevel="0" collapsed="false">
      <c r="B146" s="31" t="s">
        <v>276</v>
      </c>
      <c r="C146" s="32" t="s">
        <v>277</v>
      </c>
      <c r="D146" s="33"/>
      <c r="E146" s="33"/>
      <c r="F146" s="33"/>
      <c r="G146" s="33"/>
      <c r="H146" s="33"/>
      <c r="I146" s="34" t="n">
        <f aca="false">I149</f>
        <v>8618.708019168</v>
      </c>
      <c r="J146" s="33"/>
      <c r="K146" s="33"/>
      <c r="L146" s="36"/>
    </row>
    <row r="147" customFormat="false" ht="18" hidden="false" customHeight="true" outlineLevel="0" collapsed="false">
      <c r="B147" s="28" t="s">
        <v>278</v>
      </c>
      <c r="C147" s="37" t="s">
        <v>125</v>
      </c>
      <c r="D147" s="28" t="s">
        <v>42</v>
      </c>
      <c r="E147" s="38" t="n">
        <f aca="false">VLOOKUP(C147,'MEMÓRIA DE CÁLCULO'!$C$407:$J$585,8,0)</f>
        <v>12.6</v>
      </c>
      <c r="F147" s="39" t="n">
        <v>499.83</v>
      </c>
      <c r="G147" s="40" t="n">
        <f aca="false">F147*(1+$G$16)</f>
        <v>624.437619</v>
      </c>
      <c r="H147" s="40" t="n">
        <f aca="false">E147*G147</f>
        <v>7867.9139994</v>
      </c>
      <c r="I147" s="41"/>
      <c r="J147" s="42" t="n">
        <f aca="false">H147/$I$179</f>
        <v>0.0256441872227021</v>
      </c>
      <c r="K147" s="28" t="s">
        <v>48</v>
      </c>
      <c r="L147" s="43" t="s">
        <v>126</v>
      </c>
    </row>
    <row r="148" customFormat="false" ht="18" hidden="false" customHeight="true" outlineLevel="0" collapsed="false">
      <c r="B148" s="28" t="s">
        <v>279</v>
      </c>
      <c r="C148" s="37" t="s">
        <v>280</v>
      </c>
      <c r="D148" s="28" t="s">
        <v>42</v>
      </c>
      <c r="E148" s="38" t="n">
        <f aca="false">VLOOKUP(C148,'MEMÓRIA DE CÁLCULO'!$C$407:$J$585,8,0)</f>
        <v>15.096</v>
      </c>
      <c r="F148" s="39" t="n">
        <v>39.81</v>
      </c>
      <c r="G148" s="40" t="n">
        <f aca="false">F148*(1+$G$130)</f>
        <v>49.734633</v>
      </c>
      <c r="H148" s="40" t="n">
        <f aca="false">E148*G148</f>
        <v>750.794019768</v>
      </c>
      <c r="I148" s="41"/>
      <c r="J148" s="42" t="n">
        <f aca="false">H148/$I$179</f>
        <v>0.00244709111081844</v>
      </c>
      <c r="K148" s="28" t="s">
        <v>43</v>
      </c>
      <c r="L148" s="43" t="s">
        <v>281</v>
      </c>
    </row>
    <row r="149" customFormat="false" ht="18" hidden="false" customHeight="true" outlineLevel="0" collapsed="false">
      <c r="B149" s="44" t="str">
        <f aca="false">"SUBTOTAL DO ITEM "&amp;C146</f>
        <v>SUBTOTAL DO ITEM ESQUADRIAS (FACHADA)</v>
      </c>
      <c r="C149" s="44"/>
      <c r="D149" s="44"/>
      <c r="E149" s="44"/>
      <c r="F149" s="44"/>
      <c r="G149" s="44"/>
      <c r="H149" s="44"/>
      <c r="I149" s="45" t="n">
        <f aca="false">SUM(H147:H148)</f>
        <v>8618.708019168</v>
      </c>
      <c r="J149" s="46" t="n">
        <f aca="false">SUM(J147:J148)</f>
        <v>0.0280912783335205</v>
      </c>
      <c r="K149" s="47"/>
      <c r="L149" s="48"/>
    </row>
    <row r="150" customFormat="false" ht="18" hidden="false" customHeight="true" outlineLevel="0" collapsed="false">
      <c r="B150" s="31" t="s">
        <v>282</v>
      </c>
      <c r="C150" s="32" t="s">
        <v>283</v>
      </c>
      <c r="D150" s="33"/>
      <c r="E150" s="33"/>
      <c r="F150" s="33"/>
      <c r="G150" s="33"/>
      <c r="H150" s="33"/>
      <c r="I150" s="34" t="n">
        <f aca="false">I155</f>
        <v>46730.142145115</v>
      </c>
      <c r="J150" s="35"/>
      <c r="K150" s="33"/>
      <c r="L150" s="36"/>
    </row>
    <row r="151" customFormat="false" ht="18" hidden="false" customHeight="true" outlineLevel="0" collapsed="false">
      <c r="B151" s="28" t="s">
        <v>284</v>
      </c>
      <c r="C151" s="37" t="s">
        <v>130</v>
      </c>
      <c r="D151" s="28" t="s">
        <v>42</v>
      </c>
      <c r="E151" s="38" t="n">
        <f aca="false">VLOOKUP(C151,'MEMÓRIA DE CÁLCULO'!$C$407:$J$585,8,0)</f>
        <v>441.44</v>
      </c>
      <c r="F151" s="39" t="n">
        <v>4</v>
      </c>
      <c r="G151" s="40" t="n">
        <f aca="false">F151*(1+$G$16)</f>
        <v>4.9972</v>
      </c>
      <c r="H151" s="40" t="n">
        <f aca="false">E151*G151</f>
        <v>2205.963968</v>
      </c>
      <c r="I151" s="41"/>
      <c r="J151" s="42" t="n">
        <f aca="false">H151/$I$124</f>
        <v>0.0115146470757212</v>
      </c>
      <c r="K151" s="28" t="s">
        <v>48</v>
      </c>
      <c r="L151" s="43" t="n">
        <v>87893</v>
      </c>
    </row>
    <row r="152" customFormat="false" ht="18" hidden="false" customHeight="true" outlineLevel="0" collapsed="false">
      <c r="B152" s="28" t="s">
        <v>285</v>
      </c>
      <c r="C152" s="37" t="s">
        <v>134</v>
      </c>
      <c r="D152" s="28" t="s">
        <v>42</v>
      </c>
      <c r="E152" s="38" t="n">
        <f aca="false">VLOOKUP(C152,'MEMÓRIA DE CÁLCULO'!$C$407:$J$585,8,0)</f>
        <v>441.44</v>
      </c>
      <c r="F152" s="39" t="n">
        <v>20.13</v>
      </c>
      <c r="G152" s="40" t="n">
        <f aca="false">F152*(1+$G$130)</f>
        <v>25.148409</v>
      </c>
      <c r="H152" s="40" t="n">
        <f aca="false">E152*G152</f>
        <v>11101.51366896</v>
      </c>
      <c r="I152" s="41"/>
      <c r="J152" s="42" t="n">
        <f aca="false">H152/$I$179</f>
        <v>0.036183579917613</v>
      </c>
      <c r="K152" s="28" t="s">
        <v>48</v>
      </c>
      <c r="L152" s="43" t="n">
        <v>87534</v>
      </c>
    </row>
    <row r="153" customFormat="false" ht="18" hidden="false" customHeight="true" outlineLevel="0" collapsed="false">
      <c r="B153" s="28" t="s">
        <v>286</v>
      </c>
      <c r="C153" s="37" t="s">
        <v>138</v>
      </c>
      <c r="D153" s="28" t="s">
        <v>42</v>
      </c>
      <c r="E153" s="38" t="n">
        <f aca="false">VLOOKUP(C153,'MEMÓRIA DE CÁLCULO'!$C$407:$J$585,8,0)</f>
        <v>57.735</v>
      </c>
      <c r="F153" s="39" t="n">
        <v>417.61</v>
      </c>
      <c r="G153" s="40" t="n">
        <f aca="false">F153*(1+$G$130)</f>
        <v>521.720173</v>
      </c>
      <c r="H153" s="40" t="n">
        <f aca="false">E153*G153</f>
        <v>30121.514188155</v>
      </c>
      <c r="I153" s="41"/>
      <c r="J153" s="42" t="n">
        <f aca="false">H153/$I$179</f>
        <v>0.0981761810476359</v>
      </c>
      <c r="K153" s="28" t="s">
        <v>43</v>
      </c>
      <c r="L153" s="43" t="s">
        <v>139</v>
      </c>
    </row>
    <row r="154" customFormat="false" ht="18" hidden="false" customHeight="true" outlineLevel="0" collapsed="false">
      <c r="B154" s="28" t="s">
        <v>287</v>
      </c>
      <c r="C154" s="37" t="s">
        <v>144</v>
      </c>
      <c r="D154" s="28" t="s">
        <v>42</v>
      </c>
      <c r="E154" s="38" t="n">
        <f aca="false">VLOOKUP(C154,'MEMÓRIA DE CÁLCULO'!$C$407:$J$585,8,0)</f>
        <v>73.4</v>
      </c>
      <c r="F154" s="39" t="n">
        <v>36</v>
      </c>
      <c r="G154" s="40" t="n">
        <f aca="false">F154*(1+$G$130)</f>
        <v>44.9748</v>
      </c>
      <c r="H154" s="40" t="n">
        <f aca="false">E154*G154</f>
        <v>3301.15032</v>
      </c>
      <c r="I154" s="41"/>
      <c r="J154" s="42" t="n">
        <f aca="false">H154/$I$179</f>
        <v>0.0107595630637064</v>
      </c>
      <c r="K154" s="28" t="s">
        <v>43</v>
      </c>
      <c r="L154" s="43" t="s">
        <v>145</v>
      </c>
    </row>
    <row r="155" customFormat="false" ht="18" hidden="false" customHeight="true" outlineLevel="0" collapsed="false">
      <c r="B155" s="44" t="str">
        <f aca="false">"SUBTOTAL DO ITEM "&amp;C150</f>
        <v>SUBTOTAL DO ITEM REVESTIMENTO (FACHADA)</v>
      </c>
      <c r="C155" s="44"/>
      <c r="D155" s="44"/>
      <c r="E155" s="44"/>
      <c r="F155" s="44"/>
      <c r="G155" s="44"/>
      <c r="H155" s="44"/>
      <c r="I155" s="45" t="n">
        <f aca="false">SUM(H151:H154)</f>
        <v>46730.142145115</v>
      </c>
      <c r="J155" s="46" t="n">
        <f aca="false">SUM(J151:J154)</f>
        <v>0.156633971104677</v>
      </c>
      <c r="K155" s="47"/>
      <c r="L155" s="48"/>
    </row>
    <row r="156" customFormat="false" ht="18" hidden="false" customHeight="true" outlineLevel="0" collapsed="false">
      <c r="B156" s="31" t="s">
        <v>288</v>
      </c>
      <c r="C156" s="32" t="s">
        <v>289</v>
      </c>
      <c r="D156" s="33"/>
      <c r="E156" s="33"/>
      <c r="F156" s="33"/>
      <c r="G156" s="33"/>
      <c r="H156" s="33"/>
      <c r="I156" s="34" t="n">
        <f aca="false">I161</f>
        <v>13948.07182821</v>
      </c>
      <c r="J156" s="33"/>
      <c r="K156" s="33"/>
      <c r="L156" s="36"/>
    </row>
    <row r="157" customFormat="false" ht="18" hidden="false" customHeight="true" outlineLevel="0" collapsed="false">
      <c r="B157" s="28" t="s">
        <v>290</v>
      </c>
      <c r="C157" s="37" t="s">
        <v>291</v>
      </c>
      <c r="D157" s="28" t="s">
        <v>42</v>
      </c>
      <c r="E157" s="38" t="n">
        <f aca="false">VLOOKUP(C157,'MEMÓRIA DE CÁLCULO'!$C$407:$J$585,8,0)</f>
        <v>240.72</v>
      </c>
      <c r="F157" s="39" t="n">
        <v>1.69</v>
      </c>
      <c r="G157" s="40" t="n">
        <f aca="false">F157*(1+$G$130)</f>
        <v>2.111317</v>
      </c>
      <c r="H157" s="40" t="n">
        <f aca="false">E157*G157</f>
        <v>508.23622824</v>
      </c>
      <c r="I157" s="41"/>
      <c r="J157" s="42" t="n">
        <f aca="false">H157/$I$179</f>
        <v>0.00165651340257919</v>
      </c>
      <c r="K157" s="28" t="s">
        <v>48</v>
      </c>
      <c r="L157" s="43" t="n">
        <v>88415</v>
      </c>
    </row>
    <row r="158" customFormat="false" ht="18" hidden="false" customHeight="true" outlineLevel="0" collapsed="false">
      <c r="B158" s="28" t="s">
        <v>292</v>
      </c>
      <c r="C158" s="37" t="s">
        <v>155</v>
      </c>
      <c r="D158" s="28" t="s">
        <v>42</v>
      </c>
      <c r="E158" s="38" t="n">
        <f aca="false">VLOOKUP(C158,'MEMÓRIA DE CÁLCULO'!$C$407:$J$585,8,0)</f>
        <v>20</v>
      </c>
      <c r="F158" s="39" t="n">
        <v>9</v>
      </c>
      <c r="G158" s="40" t="n">
        <f aca="false">F158*(1+$G$130)</f>
        <v>11.2437</v>
      </c>
      <c r="H158" s="40" t="n">
        <f aca="false">E158*G158</f>
        <v>224.874</v>
      </c>
      <c r="I158" s="41"/>
      <c r="J158" s="42" t="n">
        <f aca="false">H158/$I$179</f>
        <v>0.00073294026319526</v>
      </c>
      <c r="K158" s="28" t="s">
        <v>48</v>
      </c>
      <c r="L158" s="43" t="n">
        <v>88497</v>
      </c>
    </row>
    <row r="159" customFormat="false" ht="18" hidden="false" customHeight="true" outlineLevel="0" collapsed="false">
      <c r="B159" s="28" t="s">
        <v>293</v>
      </c>
      <c r="C159" s="37" t="s">
        <v>157</v>
      </c>
      <c r="D159" s="28" t="s">
        <v>42</v>
      </c>
      <c r="E159" s="38" t="n">
        <f aca="false">VLOOKUP(C159,'MEMÓRIA DE CÁLCULO'!$C$407:$J$585,8,0)</f>
        <v>105.3</v>
      </c>
      <c r="F159" s="39" t="n">
        <v>8.48</v>
      </c>
      <c r="G159" s="40" t="n">
        <f aca="false">F159*(1+$G$130)</f>
        <v>10.594064</v>
      </c>
      <c r="H159" s="40" t="n">
        <f aca="false">E159*G159</f>
        <v>1115.5549392</v>
      </c>
      <c r="I159" s="41"/>
      <c r="J159" s="42" t="n">
        <f aca="false">H159/$I$179</f>
        <v>0.00363597005765904</v>
      </c>
      <c r="K159" s="28" t="s">
        <v>48</v>
      </c>
      <c r="L159" s="43" t="n">
        <v>88489</v>
      </c>
    </row>
    <row r="160" customFormat="false" ht="18" hidden="false" customHeight="true" outlineLevel="0" collapsed="false">
      <c r="B160" s="28" t="s">
        <v>294</v>
      </c>
      <c r="C160" s="37" t="s">
        <v>295</v>
      </c>
      <c r="D160" s="28" t="s">
        <v>42</v>
      </c>
      <c r="E160" s="38" t="n">
        <f aca="false">VLOOKUP(C160,'MEMÓRIA DE CÁLCULO'!$C$407:$J$585,8,0)</f>
        <v>673.97</v>
      </c>
      <c r="F160" s="39" t="n">
        <v>14.37</v>
      </c>
      <c r="G160" s="40" t="n">
        <f aca="false">F160*(1+$G$130)</f>
        <v>17.952441</v>
      </c>
      <c r="H160" s="40" t="n">
        <f aca="false">E160*G160</f>
        <v>12099.40666077</v>
      </c>
      <c r="I160" s="41"/>
      <c r="J160" s="42" t="n">
        <f aca="false">H160/$I$179</f>
        <v>0.0394360499766591</v>
      </c>
      <c r="K160" s="28" t="s">
        <v>48</v>
      </c>
      <c r="L160" s="43" t="n">
        <v>88431</v>
      </c>
    </row>
    <row r="161" customFormat="false" ht="18" hidden="false" customHeight="true" outlineLevel="0" collapsed="false">
      <c r="B161" s="44" t="str">
        <f aca="false">"SUBTOTAL DO ITEM "&amp;C156</f>
        <v>SUBTOTAL DO ITEM PINTURA (FACHADA)</v>
      </c>
      <c r="C161" s="44"/>
      <c r="D161" s="44"/>
      <c r="E161" s="44"/>
      <c r="F161" s="44"/>
      <c r="G161" s="44"/>
      <c r="H161" s="44"/>
      <c r="I161" s="45" t="n">
        <f aca="false">SUM(H157:H160)</f>
        <v>13948.07182821</v>
      </c>
      <c r="J161" s="46" t="n">
        <f aca="false">SUM(J157:J160)</f>
        <v>0.0454614737000926</v>
      </c>
      <c r="K161" s="47"/>
      <c r="L161" s="48"/>
    </row>
    <row r="162" customFormat="false" ht="18" hidden="false" customHeight="true" outlineLevel="0" collapsed="false">
      <c r="B162" s="31" t="s">
        <v>296</v>
      </c>
      <c r="C162" s="32" t="s">
        <v>297</v>
      </c>
      <c r="D162" s="33"/>
      <c r="E162" s="33"/>
      <c r="F162" s="33"/>
      <c r="G162" s="33"/>
      <c r="H162" s="33"/>
      <c r="I162" s="34" t="n">
        <f aca="false">I166</f>
        <v>1765.6619253</v>
      </c>
      <c r="J162" s="35"/>
      <c r="K162" s="33"/>
      <c r="L162" s="36"/>
    </row>
    <row r="163" customFormat="false" ht="18" hidden="false" customHeight="true" outlineLevel="0" collapsed="false">
      <c r="B163" s="28" t="s">
        <v>298</v>
      </c>
      <c r="C163" s="37" t="s">
        <v>192</v>
      </c>
      <c r="D163" s="28" t="s">
        <v>54</v>
      </c>
      <c r="E163" s="38" t="n">
        <f aca="false">VLOOKUP(C163,'MEMÓRIA DE CÁLCULO'!$C$407:$J$585,8,0)</f>
        <v>3</v>
      </c>
      <c r="F163" s="39" t="n">
        <v>131.26</v>
      </c>
      <c r="G163" s="40" t="n">
        <f aca="false">F163*(1+$G$130)</f>
        <v>163.983118</v>
      </c>
      <c r="H163" s="40" t="n">
        <f aca="false">E163*G163</f>
        <v>491.949354</v>
      </c>
      <c r="I163" s="41"/>
      <c r="J163" s="42" t="n">
        <f aca="false">H163/$I$179</f>
        <v>0.00160342898245016</v>
      </c>
      <c r="K163" s="28" t="s">
        <v>193</v>
      </c>
      <c r="L163" s="43" t="n">
        <v>3395</v>
      </c>
    </row>
    <row r="164" customFormat="false" ht="18" hidden="false" customHeight="true" outlineLevel="0" collapsed="false">
      <c r="B164" s="28" t="s">
        <v>299</v>
      </c>
      <c r="C164" s="37" t="s">
        <v>198</v>
      </c>
      <c r="D164" s="28" t="s">
        <v>54</v>
      </c>
      <c r="E164" s="38" t="n">
        <f aca="false">VLOOKUP(C164,'MEMÓRIA DE CÁLCULO'!$C$407:$J$585,8,0)</f>
        <v>3</v>
      </c>
      <c r="F164" s="39" t="n">
        <v>215.73</v>
      </c>
      <c r="G164" s="40" t="n">
        <f aca="false">F164*(1+$G$130)</f>
        <v>269.511489</v>
      </c>
      <c r="H164" s="40" t="n">
        <f aca="false">E164*G164</f>
        <v>808.534467</v>
      </c>
      <c r="I164" s="41"/>
      <c r="J164" s="42" t="n">
        <f aca="false">H164/$I$179</f>
        <v>0.00263528671631856</v>
      </c>
      <c r="K164" s="29" t="s">
        <v>43</v>
      </c>
      <c r="L164" s="43" t="s">
        <v>199</v>
      </c>
    </row>
    <row r="165" customFormat="false" ht="18" hidden="false" customHeight="true" outlineLevel="0" collapsed="false">
      <c r="B165" s="28" t="s">
        <v>300</v>
      </c>
      <c r="C165" s="37" t="s">
        <v>301</v>
      </c>
      <c r="D165" s="28" t="s">
        <v>54</v>
      </c>
      <c r="E165" s="38" t="n">
        <f aca="false">VLOOKUP(C165,'MEMÓRIA DE CÁLCULO'!$C$407:$J$585,8,0)</f>
        <v>3</v>
      </c>
      <c r="F165" s="39" t="n">
        <f aca="false">'COMPOSIÇÕES ANALÍTICAS'!G33</f>
        <v>124.117</v>
      </c>
      <c r="G165" s="40" t="n">
        <f aca="false">F165*(1+$G$130)</f>
        <v>155.0593681</v>
      </c>
      <c r="H165" s="40" t="n">
        <f aca="false">E165*G165</f>
        <v>465.1781043</v>
      </c>
      <c r="I165" s="41"/>
      <c r="J165" s="42" t="n">
        <f aca="false">H165/$I$179</f>
        <v>0.00151617244411677</v>
      </c>
      <c r="K165" s="29" t="s">
        <v>302</v>
      </c>
      <c r="L165" s="29"/>
    </row>
    <row r="166" customFormat="false" ht="18" hidden="false" customHeight="true" outlineLevel="0" collapsed="false">
      <c r="B166" s="44" t="str">
        <f aca="false">"SUBTOTAL DO ITEM "&amp;C162</f>
        <v>SUBTOTAL DO ITEM INSTALAÇÕES (FACHADA)</v>
      </c>
      <c r="C166" s="44"/>
      <c r="D166" s="44"/>
      <c r="E166" s="44"/>
      <c r="F166" s="44"/>
      <c r="G166" s="44"/>
      <c r="H166" s="44"/>
      <c r="I166" s="45" t="n">
        <f aca="false">SUM(H163:H165)</f>
        <v>1765.6619253</v>
      </c>
      <c r="J166" s="46" t="n">
        <f aca="false">SUM(J163:J164)</f>
        <v>0.00423871569876872</v>
      </c>
      <c r="K166" s="62"/>
      <c r="L166" s="48"/>
    </row>
    <row r="167" customFormat="false" ht="18" hidden="false" customHeight="true" outlineLevel="0" collapsed="false">
      <c r="B167" s="31" t="s">
        <v>303</v>
      </c>
      <c r="C167" s="32" t="s">
        <v>304</v>
      </c>
      <c r="D167" s="33"/>
      <c r="E167" s="33"/>
      <c r="F167" s="33"/>
      <c r="G167" s="33"/>
      <c r="H167" s="33"/>
      <c r="I167" s="34" t="n">
        <f aca="false">I177</f>
        <v>50233.23437678</v>
      </c>
      <c r="J167" s="33"/>
      <c r="K167" s="33"/>
      <c r="L167" s="36"/>
    </row>
    <row r="168" customFormat="false" ht="18" hidden="false" customHeight="true" outlineLevel="0" collapsed="false">
      <c r="B168" s="28" t="s">
        <v>305</v>
      </c>
      <c r="C168" s="37" t="s">
        <v>248</v>
      </c>
      <c r="D168" s="28" t="s">
        <v>42</v>
      </c>
      <c r="E168" s="38" t="n">
        <f aca="false">VLOOKUP(C168,'MEMÓRIA DE CÁLCULO'!$C$407:$J$585,8,0)</f>
        <v>238.07</v>
      </c>
      <c r="F168" s="39" t="n">
        <v>1.56</v>
      </c>
      <c r="G168" s="40" t="n">
        <f aca="false">F168*(1+$G$130)</f>
        <v>1.948908</v>
      </c>
      <c r="H168" s="40" t="n">
        <f aca="false">E168*G168</f>
        <v>463.97652756</v>
      </c>
      <c r="I168" s="70"/>
      <c r="J168" s="42" t="n">
        <f aca="false">H168/$I$179</f>
        <v>0.00151225609997709</v>
      </c>
      <c r="K168" s="28" t="s">
        <v>48</v>
      </c>
      <c r="L168" s="43" t="n">
        <v>9537</v>
      </c>
    </row>
    <row r="169" customFormat="false" ht="30" hidden="false" customHeight="false" outlineLevel="0" collapsed="false">
      <c r="B169" s="28" t="s">
        <v>306</v>
      </c>
      <c r="C169" s="51" t="s">
        <v>307</v>
      </c>
      <c r="D169" s="28" t="s">
        <v>308</v>
      </c>
      <c r="E169" s="38" t="n">
        <f aca="false">VLOOKUP(C169,'MEMÓRIA DE CÁLCULO'!$C$407:$J$585,8,0)</f>
        <v>1</v>
      </c>
      <c r="F169" s="39" t="n">
        <v>14100</v>
      </c>
      <c r="G169" s="40" t="n">
        <f aca="false">F169*(1+$G$130)</f>
        <v>17615.13</v>
      </c>
      <c r="H169" s="40" t="n">
        <f aca="false">E169*G169</f>
        <v>17615.13</v>
      </c>
      <c r="I169" s="71"/>
      <c r="J169" s="42" t="n">
        <f aca="false">H169/$I$179</f>
        <v>0.0574136539502953</v>
      </c>
      <c r="K169" s="28" t="s">
        <v>309</v>
      </c>
      <c r="L169" s="28"/>
    </row>
    <row r="170" customFormat="false" ht="30" hidden="false" customHeight="false" outlineLevel="0" collapsed="false">
      <c r="B170" s="28" t="s">
        <v>310</v>
      </c>
      <c r="C170" s="51" t="s">
        <v>311</v>
      </c>
      <c r="D170" s="28" t="s">
        <v>308</v>
      </c>
      <c r="E170" s="38" t="n">
        <f aca="false">VLOOKUP(C170,'MEMÓRIA DE CÁLCULO'!$C$407:$J$585,8,0)</f>
        <v>1</v>
      </c>
      <c r="F170" s="39" t="n">
        <v>9204</v>
      </c>
      <c r="G170" s="40" t="n">
        <f aca="false">F170*(1+$G$130)</f>
        <v>11498.5572</v>
      </c>
      <c r="H170" s="40" t="n">
        <f aca="false">E170*G170</f>
        <v>11498.5572</v>
      </c>
      <c r="I170" s="71"/>
      <c r="J170" s="42" t="n">
        <f aca="false">H170/$I$179</f>
        <v>0.0374776787913843</v>
      </c>
      <c r="K170" s="28" t="s">
        <v>309</v>
      </c>
      <c r="L170" s="28"/>
    </row>
    <row r="171" customFormat="false" ht="30" hidden="false" customHeight="false" outlineLevel="0" collapsed="false">
      <c r="B171" s="28" t="s">
        <v>312</v>
      </c>
      <c r="C171" s="51" t="s">
        <v>313</v>
      </c>
      <c r="D171" s="28" t="s">
        <v>308</v>
      </c>
      <c r="E171" s="38" t="n">
        <f aca="false">VLOOKUP(C171,'MEMÓRIA DE CÁLCULO'!$C$407:$J$585,8,0)</f>
        <v>1</v>
      </c>
      <c r="F171" s="39" t="n">
        <v>4141.8</v>
      </c>
      <c r="G171" s="40" t="n">
        <f aca="false">F171*(1+$G$130)</f>
        <v>5174.35074</v>
      </c>
      <c r="H171" s="40" t="n">
        <f aca="false">E171*G171</f>
        <v>5174.35074</v>
      </c>
      <c r="I171" s="71"/>
      <c r="J171" s="42" t="n">
        <f aca="false">H171/$I$179</f>
        <v>0.0168649554561229</v>
      </c>
      <c r="K171" s="28" t="s">
        <v>309</v>
      </c>
      <c r="L171" s="28"/>
    </row>
    <row r="172" customFormat="false" ht="30" hidden="false" customHeight="false" outlineLevel="0" collapsed="false">
      <c r="B172" s="28" t="s">
        <v>314</v>
      </c>
      <c r="C172" s="51" t="s">
        <v>315</v>
      </c>
      <c r="D172" s="28" t="s">
        <v>308</v>
      </c>
      <c r="E172" s="38" t="n">
        <f aca="false">VLOOKUP(C172,'MEMÓRIA DE CÁLCULO'!$C$407:$J$585,8,0)</f>
        <v>1</v>
      </c>
      <c r="F172" s="39" t="n">
        <v>1416</v>
      </c>
      <c r="G172" s="40" t="n">
        <f aca="false">F172*(1+$G$130)</f>
        <v>1769.0088</v>
      </c>
      <c r="H172" s="40" t="n">
        <f aca="false">E172*G172</f>
        <v>1769.0088</v>
      </c>
      <c r="I172" s="71"/>
      <c r="J172" s="42" t="n">
        <f aca="false">H172/$I$179</f>
        <v>0.00576579673713604</v>
      </c>
      <c r="K172" s="28" t="s">
        <v>309</v>
      </c>
      <c r="L172" s="28"/>
    </row>
    <row r="173" customFormat="false" ht="30" hidden="false" customHeight="false" outlineLevel="0" collapsed="false">
      <c r="B173" s="28" t="s">
        <v>316</v>
      </c>
      <c r="C173" s="51" t="s">
        <v>317</v>
      </c>
      <c r="D173" s="28" t="s">
        <v>308</v>
      </c>
      <c r="E173" s="38" t="n">
        <f aca="false">VLOOKUP(C173,'MEMÓRIA DE CÁLCULO'!$C$407:$J$585,8,0)</f>
        <v>1</v>
      </c>
      <c r="F173" s="39" t="n">
        <v>1298</v>
      </c>
      <c r="G173" s="40" t="n">
        <f aca="false">F173*(1+$G$130)</f>
        <v>1621.5914</v>
      </c>
      <c r="H173" s="40" t="n">
        <f aca="false">E173*G173</f>
        <v>1621.5914</v>
      </c>
      <c r="I173" s="71"/>
      <c r="J173" s="42" t="n">
        <f aca="false">H173/$I$179</f>
        <v>0.00528531367570804</v>
      </c>
      <c r="K173" s="28" t="s">
        <v>309</v>
      </c>
      <c r="L173" s="28"/>
    </row>
    <row r="174" customFormat="false" ht="18" hidden="false" customHeight="true" outlineLevel="0" collapsed="false">
      <c r="B174" s="28" t="s">
        <v>318</v>
      </c>
      <c r="C174" s="37" t="s">
        <v>119</v>
      </c>
      <c r="D174" s="28" t="s">
        <v>42</v>
      </c>
      <c r="E174" s="38" t="n">
        <f aca="false">VLOOKUP(C174,'MEMÓRIA DE CÁLCULO'!$C$407:$J$585,8,0)</f>
        <v>37.6</v>
      </c>
      <c r="F174" s="39" t="n">
        <v>202.9</v>
      </c>
      <c r="G174" s="40" t="n">
        <f aca="false">F174*(1+$G$16)</f>
        <v>253.48297</v>
      </c>
      <c r="H174" s="40" t="n">
        <f aca="false">E174*G174</f>
        <v>9530.959672</v>
      </c>
      <c r="I174" s="71"/>
      <c r="J174" s="42" t="n">
        <f aca="false">H174/$I$179</f>
        <v>0.0310646143640398</v>
      </c>
      <c r="K174" s="28" t="s">
        <v>48</v>
      </c>
      <c r="L174" s="43" t="s">
        <v>120</v>
      </c>
    </row>
    <row r="175" customFormat="false" ht="18" hidden="false" customHeight="true" outlineLevel="0" collapsed="false">
      <c r="B175" s="28" t="s">
        <v>319</v>
      </c>
      <c r="C175" s="37" t="s">
        <v>67</v>
      </c>
      <c r="D175" s="28" t="s">
        <v>47</v>
      </c>
      <c r="E175" s="38" t="n">
        <f aca="false">VLOOKUP(C175,'MEMÓRIA DE CÁLCULO'!$C$407:$J$585,8,0)</f>
        <v>101.53</v>
      </c>
      <c r="F175" s="39" t="n">
        <v>15.99</v>
      </c>
      <c r="G175" s="40" t="n">
        <f aca="false">F175*(1+$G$16)</f>
        <v>19.976307</v>
      </c>
      <c r="H175" s="40" t="n">
        <f aca="false">E175*G175</f>
        <v>2028.19444971</v>
      </c>
      <c r="I175" s="41"/>
      <c r="J175" s="42" t="n">
        <f aca="false">H175/$I$124</f>
        <v>0.0105867292612765</v>
      </c>
      <c r="K175" s="28" t="s">
        <v>48</v>
      </c>
      <c r="L175" s="43" t="n">
        <v>72897</v>
      </c>
    </row>
    <row r="176" customFormat="false" ht="18" hidden="false" customHeight="true" outlineLevel="0" collapsed="false">
      <c r="B176" s="28" t="s">
        <v>320</v>
      </c>
      <c r="C176" s="37" t="s">
        <v>69</v>
      </c>
      <c r="D176" s="28" t="s">
        <v>47</v>
      </c>
      <c r="E176" s="38" t="n">
        <f aca="false">VLOOKUP(C176,'MEMÓRIA DE CÁLCULO'!$C$407:$J$585,8,0)</f>
        <v>101.53</v>
      </c>
      <c r="F176" s="39" t="n">
        <v>4.19</v>
      </c>
      <c r="G176" s="40" t="n">
        <f aca="false">F176*(1+$G$16)</f>
        <v>5.234567</v>
      </c>
      <c r="H176" s="40" t="n">
        <f aca="false">E176*G176</f>
        <v>531.46558751</v>
      </c>
      <c r="I176" s="41"/>
      <c r="J176" s="42" t="n">
        <f aca="false">H176/$I$124</f>
        <v>0.00277413355877102</v>
      </c>
      <c r="K176" s="28" t="s">
        <v>48</v>
      </c>
      <c r="L176" s="43" t="n">
        <v>72899</v>
      </c>
    </row>
    <row r="177" customFormat="false" ht="18" hidden="false" customHeight="true" outlineLevel="0" collapsed="false">
      <c r="B177" s="44" t="str">
        <f aca="false">"SUBTOTAL DO ITEM "&amp;C167</f>
        <v>SUBTOTAL DO ITEM DIVERSOS (FACHADA)</v>
      </c>
      <c r="C177" s="44"/>
      <c r="D177" s="44"/>
      <c r="E177" s="44"/>
      <c r="F177" s="44"/>
      <c r="G177" s="44"/>
      <c r="H177" s="44"/>
      <c r="I177" s="45" t="n">
        <f aca="false">SUM(H168:H176)</f>
        <v>50233.23437678</v>
      </c>
      <c r="J177" s="46" t="n">
        <f aca="false">SUM(J168:J176)</f>
        <v>0.168745131894711</v>
      </c>
      <c r="K177" s="47"/>
      <c r="L177" s="48"/>
    </row>
    <row r="178" customFormat="false" ht="18" hidden="false" customHeight="true" outlineLevel="0" collapsed="false">
      <c r="B178" s="65"/>
      <c r="C178" s="65"/>
      <c r="D178" s="65"/>
      <c r="E178" s="65"/>
      <c r="F178" s="65"/>
      <c r="G178" s="65"/>
      <c r="H178" s="65"/>
      <c r="I178" s="66"/>
      <c r="J178" s="67"/>
      <c r="K178" s="15"/>
      <c r="L178" s="15"/>
    </row>
    <row r="179" customFormat="false" ht="18" hidden="false" customHeight="true" outlineLevel="0" collapsed="false">
      <c r="B179" s="68" t="s">
        <v>256</v>
      </c>
      <c r="C179" s="68"/>
      <c r="D179" s="68"/>
      <c r="E179" s="68"/>
      <c r="F179" s="68"/>
      <c r="G179" s="68"/>
      <c r="H179" s="68"/>
      <c r="I179" s="69" t="n">
        <f aca="false">I135+I138+I145+I149+I155+I161+I166+I177</f>
        <v>306810.815685933</v>
      </c>
      <c r="J179" s="69"/>
      <c r="K179" s="69"/>
      <c r="L179" s="69"/>
    </row>
    <row r="180" customFormat="false" ht="18" hidden="false" customHeight="true" outlineLevel="0" collapsed="false">
      <c r="B180" s="0"/>
      <c r="C180" s="0"/>
      <c r="D180" s="0"/>
      <c r="E180" s="0"/>
      <c r="F180" s="0"/>
      <c r="G180" s="0"/>
      <c r="H180" s="0"/>
      <c r="I180" s="0"/>
      <c r="J180" s="0"/>
      <c r="K180" s="0"/>
      <c r="L180" s="0"/>
    </row>
    <row r="181" customFormat="false" ht="18" hidden="false" customHeight="true" outlineLevel="0" collapsed="false">
      <c r="B181" s="68" t="s">
        <v>321</v>
      </c>
      <c r="C181" s="68"/>
      <c r="D181" s="68"/>
      <c r="E181" s="68"/>
      <c r="F181" s="68"/>
      <c r="G181" s="68"/>
      <c r="H181" s="68"/>
      <c r="I181" s="69" t="n">
        <f aca="false">I124+I179</f>
        <v>498389.763220617</v>
      </c>
      <c r="J181" s="69"/>
      <c r="K181" s="69"/>
      <c r="L181" s="69"/>
    </row>
    <row r="182" customFormat="false" ht="18" hidden="false" customHeight="true" outlineLevel="0" collapsed="false">
      <c r="C182" s="0"/>
      <c r="D182" s="0"/>
      <c r="E182" s="0"/>
      <c r="F182" s="0"/>
      <c r="G182" s="0"/>
      <c r="H182" s="0"/>
      <c r="I182" s="0"/>
      <c r="J182" s="0"/>
      <c r="K182" s="0"/>
      <c r="L182" s="0"/>
    </row>
    <row r="183" customFormat="false" ht="18" hidden="false" customHeight="true" outlineLevel="0" collapsed="false">
      <c r="C183" s="0"/>
      <c r="D183" s="0"/>
      <c r="E183" s="0"/>
      <c r="F183" s="0"/>
      <c r="G183" s="0"/>
      <c r="H183" s="0"/>
      <c r="I183" s="0"/>
      <c r="J183" s="0"/>
      <c r="K183" s="0"/>
      <c r="L183" s="0"/>
    </row>
    <row r="184" customFormat="false" ht="18" hidden="false" customHeight="true" outlineLevel="0" collapsed="false">
      <c r="C184" s="72" t="s">
        <v>322</v>
      </c>
      <c r="D184" s="72"/>
      <c r="E184" s="72"/>
      <c r="F184" s="72"/>
      <c r="G184" s="72"/>
      <c r="H184" s="72"/>
      <c r="I184" s="72"/>
      <c r="J184" s="72"/>
      <c r="K184" s="72"/>
      <c r="L184" s="72"/>
    </row>
  </sheetData>
  <sheetProtection sheet="true" objects="true" scenarios="true" formatCells="false"/>
  <mergeCells count="63">
    <mergeCell ref="F2:L3"/>
    <mergeCell ref="F4:L6"/>
    <mergeCell ref="F7:L8"/>
    <mergeCell ref="B9:E9"/>
    <mergeCell ref="F9:L9"/>
    <mergeCell ref="B10:E10"/>
    <mergeCell ref="F10:L10"/>
    <mergeCell ref="B12:L12"/>
    <mergeCell ref="B14:B16"/>
    <mergeCell ref="C14:C16"/>
    <mergeCell ref="D14:D16"/>
    <mergeCell ref="E14:E16"/>
    <mergeCell ref="F14:H14"/>
    <mergeCell ref="I14:I16"/>
    <mergeCell ref="J14:J16"/>
    <mergeCell ref="K14:L16"/>
    <mergeCell ref="F15:F16"/>
    <mergeCell ref="H15:H16"/>
    <mergeCell ref="B23:H23"/>
    <mergeCell ref="B29:H29"/>
    <mergeCell ref="B34:H34"/>
    <mergeCell ref="B41:H41"/>
    <mergeCell ref="B44:H44"/>
    <mergeCell ref="B52:H52"/>
    <mergeCell ref="B58:H58"/>
    <mergeCell ref="B67:H67"/>
    <mergeCell ref="B77:H77"/>
    <mergeCell ref="B87:H87"/>
    <mergeCell ref="B104:H104"/>
    <mergeCell ref="B116:H116"/>
    <mergeCell ref="B122:H122"/>
    <mergeCell ref="B124:H124"/>
    <mergeCell ref="I124:L124"/>
    <mergeCell ref="B126:L126"/>
    <mergeCell ref="B128:B130"/>
    <mergeCell ref="C128:C130"/>
    <mergeCell ref="D128:D130"/>
    <mergeCell ref="E128:E130"/>
    <mergeCell ref="F128:H128"/>
    <mergeCell ref="I128:I130"/>
    <mergeCell ref="J128:J130"/>
    <mergeCell ref="K128:L130"/>
    <mergeCell ref="F129:F130"/>
    <mergeCell ref="H129:H130"/>
    <mergeCell ref="B135:H135"/>
    <mergeCell ref="B138:H138"/>
    <mergeCell ref="B145:H145"/>
    <mergeCell ref="B149:H149"/>
    <mergeCell ref="B155:H155"/>
    <mergeCell ref="B161:H161"/>
    <mergeCell ref="K165:L165"/>
    <mergeCell ref="B166:H166"/>
    <mergeCell ref="K169:L169"/>
    <mergeCell ref="K170:L170"/>
    <mergeCell ref="K171:L171"/>
    <mergeCell ref="K172:L172"/>
    <mergeCell ref="K173:L173"/>
    <mergeCell ref="B177:H177"/>
    <mergeCell ref="B179:H179"/>
    <mergeCell ref="I179:L179"/>
    <mergeCell ref="B181:H181"/>
    <mergeCell ref="I181:L181"/>
    <mergeCell ref="C184:L18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5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8" zoomScaleNormal="98" zoomScalePageLayoutView="100" workbookViewId="0">
      <selection pane="topLeft" activeCell="B1" activeCellId="0" sqref="B1"/>
    </sheetView>
  </sheetViews>
  <sheetFormatPr defaultRowHeight="15"/>
  <cols>
    <col collapsed="false" hidden="false" max="1" min="1" style="73" width="4.59183673469388"/>
    <col collapsed="false" hidden="false" max="2" min="2" style="74" width="12.2857142857143"/>
    <col collapsed="false" hidden="false" max="3" min="3" style="73" width="74.7857142857143"/>
    <col collapsed="false" hidden="false" max="10" min="4" style="73" width="13.5"/>
    <col collapsed="false" hidden="false" max="1025" min="11" style="73" width="9.04591836734694"/>
  </cols>
  <sheetData>
    <row r="1" customFormat="false" ht="7.5" hidden="false" customHeight="true" outlineLevel="0" collapsed="false">
      <c r="A1" s="75" t="s">
        <v>18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false" outlineLevel="0" collapsed="false">
      <c r="A2" s="0"/>
      <c r="B2" s="76"/>
      <c r="C2" s="77"/>
      <c r="D2" s="77"/>
      <c r="E2" s="77"/>
      <c r="F2" s="77"/>
      <c r="G2" s="77"/>
      <c r="H2" s="77"/>
      <c r="I2" s="77"/>
      <c r="J2" s="78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8" hidden="false" customHeight="false" outlineLevel="0" collapsed="false">
      <c r="A3" s="0"/>
      <c r="B3" s="79" t="s">
        <v>323</v>
      </c>
      <c r="C3" s="79"/>
      <c r="D3" s="79"/>
      <c r="E3" s="79"/>
      <c r="F3" s="79"/>
      <c r="G3" s="79"/>
      <c r="H3" s="79"/>
      <c r="I3" s="79"/>
      <c r="J3" s="79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75" hidden="false" customHeight="false" outlineLevel="0" collapsed="false">
      <c r="A4" s="0"/>
      <c r="B4" s="80"/>
      <c r="C4" s="81"/>
      <c r="D4" s="81"/>
      <c r="E4" s="81"/>
      <c r="F4" s="81"/>
      <c r="G4" s="81"/>
      <c r="H4" s="81"/>
      <c r="I4" s="81"/>
      <c r="J4" s="82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0"/>
      <c r="B6" s="83" t="s">
        <v>324</v>
      </c>
      <c r="C6" s="83" t="s">
        <v>28</v>
      </c>
      <c r="D6" s="83" t="s">
        <v>325</v>
      </c>
      <c r="E6" s="83" t="s">
        <v>326</v>
      </c>
      <c r="F6" s="83" t="s">
        <v>327</v>
      </c>
      <c r="G6" s="83" t="s">
        <v>328</v>
      </c>
      <c r="H6" s="83" t="s">
        <v>329</v>
      </c>
      <c r="I6" s="83" t="s">
        <v>330</v>
      </c>
      <c r="J6" s="83" t="s">
        <v>331</v>
      </c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0"/>
      <c r="B7" s="84"/>
      <c r="C7" s="85"/>
      <c r="D7" s="84"/>
      <c r="E7" s="84"/>
      <c r="F7" s="84"/>
      <c r="G7" s="84"/>
      <c r="H7" s="84"/>
      <c r="I7" s="84"/>
      <c r="J7" s="84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0"/>
      <c r="B8" s="31" t="str">
        <f aca="false">ORÇAMENTO!C17</f>
        <v>SERVIÇOS PRELIMINARES (URBANIZAÇÃO)</v>
      </c>
      <c r="C8" s="31"/>
      <c r="D8" s="31"/>
      <c r="E8" s="31"/>
      <c r="F8" s="31"/>
      <c r="G8" s="31"/>
      <c r="H8" s="31"/>
      <c r="I8" s="31"/>
      <c r="J8" s="31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0"/>
      <c r="B9" s="0"/>
      <c r="C9" s="0"/>
      <c r="D9" s="86"/>
      <c r="E9" s="86"/>
      <c r="F9" s="86"/>
      <c r="G9" s="86"/>
      <c r="H9" s="86"/>
      <c r="I9" s="86"/>
      <c r="J9" s="86"/>
      <c r="K9" s="86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0"/>
      <c r="B10" s="87" t="str">
        <f aca="false">ORÇAMENTO!B18</f>
        <v>1.1</v>
      </c>
      <c r="C10" s="88" t="str">
        <f aca="false">VLOOKUP(B10,ORÇAMENTO!$B$17:$L$122,2,0)</f>
        <v>RETIRADA DE PAVIMENTAÇÃO EM PARALELEPÍPEDO OU PEDRA TOSCA</v>
      </c>
      <c r="D10" s="88" t="s">
        <v>18</v>
      </c>
      <c r="E10" s="88" t="s">
        <v>18</v>
      </c>
      <c r="F10" s="88" t="s">
        <v>18</v>
      </c>
      <c r="G10" s="88" t="s">
        <v>18</v>
      </c>
      <c r="H10" s="88" t="s">
        <v>18</v>
      </c>
      <c r="I10" s="88" t="s">
        <v>18</v>
      </c>
      <c r="J10" s="89" t="n">
        <f aca="false">SUM(J11:J11)</f>
        <v>824.91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false" outlineLevel="0" collapsed="false">
      <c r="A11" s="0"/>
      <c r="B11" s="84"/>
      <c r="C11" s="90" t="s">
        <v>18</v>
      </c>
      <c r="D11" s="91" t="s">
        <v>18</v>
      </c>
      <c r="E11" s="91" t="s">
        <v>18</v>
      </c>
      <c r="F11" s="91" t="s">
        <v>18</v>
      </c>
      <c r="G11" s="91" t="n">
        <v>824.91</v>
      </c>
      <c r="H11" s="91" t="n">
        <v>0</v>
      </c>
      <c r="I11" s="91" t="n">
        <v>1</v>
      </c>
      <c r="J11" s="92" t="n">
        <f aca="false">G11*I11</f>
        <v>824.91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false" outlineLevel="0" collapsed="false">
      <c r="A12" s="0"/>
      <c r="B12" s="93"/>
      <c r="C12" s="94"/>
      <c r="D12" s="86"/>
      <c r="E12" s="86"/>
      <c r="F12" s="86"/>
      <c r="G12" s="86"/>
      <c r="H12" s="86"/>
      <c r="I12" s="86"/>
      <c r="J12" s="86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false" outlineLevel="0" collapsed="false">
      <c r="A13" s="0"/>
      <c r="B13" s="87" t="str">
        <f aca="false">ORÇAMENTO!B19</f>
        <v>1.2</v>
      </c>
      <c r="C13" s="88" t="str">
        <f aca="false">VLOOKUP(B13,ORÇAMENTO!$B$17:$L$122,2,0)</f>
        <v>DEMOLICAO DE CONCRETO SIMPLES</v>
      </c>
      <c r="D13" s="88" t="s">
        <v>18</v>
      </c>
      <c r="E13" s="88" t="s">
        <v>18</v>
      </c>
      <c r="F13" s="88" t="s">
        <v>18</v>
      </c>
      <c r="G13" s="88" t="s">
        <v>18</v>
      </c>
      <c r="H13" s="88" t="s">
        <v>18</v>
      </c>
      <c r="I13" s="88" t="s">
        <v>18</v>
      </c>
      <c r="J13" s="89" t="n">
        <f aca="false">SUM(J14:J15)</f>
        <v>17.352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0"/>
      <c r="B14" s="84"/>
      <c r="C14" s="90" t="s">
        <v>332</v>
      </c>
      <c r="D14" s="91" t="n">
        <v>4</v>
      </c>
      <c r="E14" s="91" t="n">
        <f aca="false">29.4+7</f>
        <v>36.4</v>
      </c>
      <c r="F14" s="91" t="n">
        <v>0.1</v>
      </c>
      <c r="G14" s="92" t="n">
        <v>0</v>
      </c>
      <c r="H14" s="92" t="n">
        <f aca="false">PRODUCT(D14,E14,F14)</f>
        <v>14.56</v>
      </c>
      <c r="I14" s="91" t="n">
        <v>1</v>
      </c>
      <c r="J14" s="92" t="n">
        <f aca="false">IF(G14&gt;0,G14*I14,H14*I14)</f>
        <v>14.56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0"/>
      <c r="B15" s="84"/>
      <c r="C15" s="90" t="s">
        <v>332</v>
      </c>
      <c r="D15" s="91" t="n">
        <v>34.9</v>
      </c>
      <c r="E15" s="91" t="n">
        <v>0.8</v>
      </c>
      <c r="F15" s="91" t="n">
        <v>0.1</v>
      </c>
      <c r="G15" s="92" t="n">
        <v>0</v>
      </c>
      <c r="H15" s="92" t="n">
        <f aca="false">PRODUCT(D15,E15,F15)</f>
        <v>2.792</v>
      </c>
      <c r="I15" s="91" t="n">
        <v>1</v>
      </c>
      <c r="J15" s="92" t="n">
        <f aca="false">IF(G15&gt;0,G15*I15,H15*I15)</f>
        <v>2.792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0"/>
      <c r="B16" s="93"/>
      <c r="C16" s="94"/>
      <c r="D16" s="86"/>
      <c r="E16" s="86"/>
      <c r="F16" s="86"/>
      <c r="G16" s="86"/>
      <c r="H16" s="86"/>
      <c r="I16" s="86"/>
      <c r="J16" s="86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false" outlineLevel="0" collapsed="false">
      <c r="A17" s="0"/>
      <c r="B17" s="87" t="str">
        <f aca="false">ORÇAMENTO!B20</f>
        <v>1.3</v>
      </c>
      <c r="C17" s="88" t="str">
        <f aca="false">VLOOKUP(B17,ORÇAMENTO!$B$17:$L$122,2,0)</f>
        <v>DEMOLICAO DE ALVENARIA DE TIJOLOS FURADOS S/REAPROVEITAMENTO</v>
      </c>
      <c r="D17" s="88" t="s">
        <v>18</v>
      </c>
      <c r="E17" s="88" t="s">
        <v>18</v>
      </c>
      <c r="F17" s="88" t="s">
        <v>18</v>
      </c>
      <c r="G17" s="88" t="s">
        <v>18</v>
      </c>
      <c r="H17" s="88" t="s">
        <v>18</v>
      </c>
      <c r="I17" s="88" t="s">
        <v>18</v>
      </c>
      <c r="J17" s="89" t="n">
        <f aca="false">SUM(J18:J18)</f>
        <v>3.28875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75" customFormat="true" ht="15" hidden="false" customHeight="false" outlineLevel="0" collapsed="false">
      <c r="B18" s="87"/>
      <c r="C18" s="90" t="s">
        <v>333</v>
      </c>
      <c r="D18" s="91" t="n">
        <f aca="false">29.4+14.45</f>
        <v>43.85</v>
      </c>
      <c r="E18" s="91" t="n">
        <v>0.15</v>
      </c>
      <c r="F18" s="91" t="n">
        <v>0.5</v>
      </c>
      <c r="G18" s="92" t="n">
        <v>0</v>
      </c>
      <c r="H18" s="92" t="n">
        <f aca="false">PRODUCT(D18,E18,F18)</f>
        <v>3.28875</v>
      </c>
      <c r="I18" s="91" t="n">
        <v>1</v>
      </c>
      <c r="J18" s="92" t="n">
        <f aca="false">IF(G18&gt;0,G18*I18,H18*I18)</f>
        <v>3.28875</v>
      </c>
    </row>
    <row r="19" customFormat="false" ht="15" hidden="false" customHeight="false" outlineLevel="0" collapsed="false">
      <c r="A19" s="0"/>
      <c r="B19" s="93"/>
      <c r="C19" s="94"/>
      <c r="D19" s="86"/>
      <c r="E19" s="86"/>
      <c r="F19" s="86"/>
      <c r="G19" s="86"/>
      <c r="H19" s="86"/>
      <c r="I19" s="86"/>
      <c r="J19" s="86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0"/>
      <c r="B20" s="87" t="str">
        <f aca="false">ORÇAMENTO!B21</f>
        <v>1.4</v>
      </c>
      <c r="C20" s="88" t="str">
        <f aca="false">VLOOKUP(B20,ORÇAMENTO!$B$17:$L$122,2,0)</f>
        <v>RETIRADA DE ÁRVORES</v>
      </c>
      <c r="D20" s="88" t="s">
        <v>18</v>
      </c>
      <c r="E20" s="88" t="s">
        <v>18</v>
      </c>
      <c r="F20" s="88" t="s">
        <v>18</v>
      </c>
      <c r="G20" s="88" t="s">
        <v>18</v>
      </c>
      <c r="H20" s="88" t="s">
        <v>18</v>
      </c>
      <c r="I20" s="88" t="s">
        <v>18</v>
      </c>
      <c r="J20" s="89" t="n">
        <f aca="false">SUM(J21:J21)</f>
        <v>3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0"/>
      <c r="B21" s="95"/>
      <c r="C21" s="90" t="s">
        <v>18</v>
      </c>
      <c r="D21" s="91" t="s">
        <v>18</v>
      </c>
      <c r="E21" s="91" t="s">
        <v>18</v>
      </c>
      <c r="F21" s="91" t="s">
        <v>18</v>
      </c>
      <c r="G21" s="91" t="s">
        <v>18</v>
      </c>
      <c r="H21" s="91" t="s">
        <v>18</v>
      </c>
      <c r="I21" s="91" t="n">
        <v>3</v>
      </c>
      <c r="J21" s="92" t="n">
        <f aca="false">I21</f>
        <v>3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0"/>
      <c r="B22" s="0"/>
      <c r="C22" s="94"/>
      <c r="D22" s="96"/>
      <c r="E22" s="96"/>
      <c r="F22" s="96"/>
      <c r="G22" s="96"/>
      <c r="H22" s="96"/>
      <c r="I22" s="96"/>
      <c r="J22" s="86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0"/>
      <c r="B23" s="87" t="str">
        <f aca="false">ORÇAMENTO!B22</f>
        <v>1.5</v>
      </c>
      <c r="C23" s="88" t="str">
        <f aca="false">VLOOKUP(B23,ORÇAMENTO!$B$17:$L$122,2,0)</f>
        <v>PLACA DE OBRA EM CHAPA DE ACO GALVANIZADO</v>
      </c>
      <c r="D23" s="88" t="s">
        <v>18</v>
      </c>
      <c r="E23" s="88" t="s">
        <v>18</v>
      </c>
      <c r="F23" s="88" t="s">
        <v>18</v>
      </c>
      <c r="G23" s="88" t="s">
        <v>18</v>
      </c>
      <c r="H23" s="88" t="s">
        <v>18</v>
      </c>
      <c r="I23" s="88" t="s">
        <v>18</v>
      </c>
      <c r="J23" s="89" t="n">
        <f aca="false">SUM(J24:J24)</f>
        <v>4.5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0"/>
      <c r="B24" s="87"/>
      <c r="C24" s="90" t="s">
        <v>18</v>
      </c>
      <c r="D24" s="91" t="n">
        <v>3</v>
      </c>
      <c r="E24" s="91" t="s">
        <v>18</v>
      </c>
      <c r="F24" s="91" t="n">
        <v>1.5</v>
      </c>
      <c r="G24" s="92" t="n">
        <f aca="false">PRODUCT(D24,E24,F24)</f>
        <v>4.5</v>
      </c>
      <c r="H24" s="92" t="n">
        <v>0</v>
      </c>
      <c r="I24" s="91" t="n">
        <v>1</v>
      </c>
      <c r="J24" s="92" t="n">
        <f aca="false">IF(G24&gt;0,G24*I24,H24*I24)</f>
        <v>4.5</v>
      </c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0"/>
      <c r="B25" s="0"/>
      <c r="C25" s="94"/>
      <c r="D25" s="96"/>
      <c r="E25" s="96"/>
      <c r="F25" s="96"/>
      <c r="G25" s="96"/>
      <c r="H25" s="96"/>
      <c r="I25" s="96"/>
      <c r="J25" s="86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0"/>
      <c r="B26" s="93"/>
      <c r="C26" s="97"/>
      <c r="D26" s="97"/>
      <c r="E26" s="97"/>
      <c r="F26" s="97"/>
      <c r="G26" s="97"/>
      <c r="H26" s="97"/>
      <c r="I26" s="97"/>
      <c r="J26" s="98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0"/>
      <c r="B27" s="31" t="str">
        <f aca="false">ORÇAMENTO!C24</f>
        <v>MOVIMENTAÇÃO DE TERRA (URBANIZAÇÃO)</v>
      </c>
      <c r="C27" s="31" t="str">
        <f aca="false">[1]'ORÇAMENTO CONSTRUÇÃO'!C15</f>
        <v>MOVIMENTAÇÃO DE TERRA</v>
      </c>
      <c r="D27" s="31"/>
      <c r="E27" s="31"/>
      <c r="F27" s="31"/>
      <c r="G27" s="31"/>
      <c r="H27" s="31"/>
      <c r="I27" s="31"/>
      <c r="J27" s="31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0"/>
      <c r="B28" s="99"/>
      <c r="C28" s="99"/>
      <c r="D28" s="93"/>
      <c r="E28" s="93"/>
      <c r="F28" s="93"/>
      <c r="G28" s="93"/>
      <c r="H28" s="93"/>
      <c r="I28" s="93"/>
      <c r="J28" s="93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0"/>
      <c r="B29" s="87" t="str">
        <f aca="false">ORÇAMENTO!B25</f>
        <v>2.1</v>
      </c>
      <c r="C29" s="88" t="str">
        <f aca="false">VLOOKUP(B29,ORÇAMENTO!$B$17:$L$122,2,0)</f>
        <v>ESCAVACAO MANUAL EM SOLO</v>
      </c>
      <c r="D29" s="88" t="s">
        <v>18</v>
      </c>
      <c r="E29" s="88" t="s">
        <v>18</v>
      </c>
      <c r="F29" s="88" t="s">
        <v>18</v>
      </c>
      <c r="G29" s="88" t="s">
        <v>18</v>
      </c>
      <c r="H29" s="88" t="s">
        <v>18</v>
      </c>
      <c r="I29" s="88" t="s">
        <v>18</v>
      </c>
      <c r="J29" s="89" t="n">
        <f aca="false">SUM(J30:J40)</f>
        <v>7.088</v>
      </c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false" outlineLevel="0" collapsed="false">
      <c r="A30" s="0"/>
      <c r="B30" s="84"/>
      <c r="C30" s="90" t="s">
        <v>334</v>
      </c>
      <c r="D30" s="91" t="n">
        <v>2.75</v>
      </c>
      <c r="E30" s="91" t="n">
        <v>0.4</v>
      </c>
      <c r="F30" s="91" t="n">
        <v>0.8</v>
      </c>
      <c r="G30" s="92" t="n">
        <v>0</v>
      </c>
      <c r="H30" s="92" t="n">
        <f aca="false">PRODUCT(D30,E30,F30)</f>
        <v>0.88</v>
      </c>
      <c r="I30" s="91" t="n">
        <v>1</v>
      </c>
      <c r="J30" s="100" t="n">
        <f aca="false">IF(G30&gt;0,G30*I30,H30*I30)</f>
        <v>0.88</v>
      </c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false" outlineLevel="0" collapsed="false">
      <c r="A31" s="0"/>
      <c r="B31" s="84"/>
      <c r="C31" s="90" t="s">
        <v>335</v>
      </c>
      <c r="D31" s="91" t="n">
        <v>1.45</v>
      </c>
      <c r="E31" s="91" t="n">
        <f aca="false">E30</f>
        <v>0.4</v>
      </c>
      <c r="F31" s="91" t="n">
        <f aca="false">F30</f>
        <v>0.8</v>
      </c>
      <c r="G31" s="92" t="n">
        <v>0</v>
      </c>
      <c r="H31" s="92" t="n">
        <f aca="false">PRODUCT(D31,E31,F31)</f>
        <v>0.464</v>
      </c>
      <c r="I31" s="91" t="n">
        <v>1</v>
      </c>
      <c r="J31" s="92" t="n">
        <f aca="false">IF(G31&gt;0,G31*I31,H31*I31)</f>
        <v>0.464</v>
      </c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false" outlineLevel="0" collapsed="false">
      <c r="A32" s="0"/>
      <c r="B32" s="84"/>
      <c r="C32" s="90" t="s">
        <v>336</v>
      </c>
      <c r="D32" s="91" t="n">
        <v>3.7</v>
      </c>
      <c r="E32" s="91" t="n">
        <f aca="false">E31</f>
        <v>0.4</v>
      </c>
      <c r="F32" s="91" t="n">
        <f aca="false">F31</f>
        <v>0.8</v>
      </c>
      <c r="G32" s="92" t="n">
        <v>0</v>
      </c>
      <c r="H32" s="92" t="n">
        <f aca="false">PRODUCT(D32,E32,F32)</f>
        <v>1.184</v>
      </c>
      <c r="I32" s="91" t="n">
        <v>1</v>
      </c>
      <c r="J32" s="92" t="n">
        <f aca="false">IF(G32&gt;0,G32*I32,H32*I32)</f>
        <v>1.184</v>
      </c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false" outlineLevel="0" collapsed="false">
      <c r="A33" s="0"/>
      <c r="B33" s="84"/>
      <c r="C33" s="90" t="s">
        <v>337</v>
      </c>
      <c r="D33" s="91" t="n">
        <v>0.9</v>
      </c>
      <c r="E33" s="91" t="n">
        <f aca="false">E32</f>
        <v>0.4</v>
      </c>
      <c r="F33" s="91" t="n">
        <f aca="false">F32</f>
        <v>0.8</v>
      </c>
      <c r="G33" s="92" t="n">
        <v>0</v>
      </c>
      <c r="H33" s="92" t="n">
        <f aca="false">PRODUCT(D33,E33,F33)</f>
        <v>0.288</v>
      </c>
      <c r="I33" s="91" t="n">
        <v>1</v>
      </c>
      <c r="J33" s="92" t="n">
        <f aca="false">IF(G33&gt;0,G33*I33,H33*I33)</f>
        <v>0.288</v>
      </c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0"/>
      <c r="B34" s="84"/>
      <c r="C34" s="90" t="s">
        <v>338</v>
      </c>
      <c r="D34" s="91" t="n">
        <v>0.9</v>
      </c>
      <c r="E34" s="91" t="n">
        <f aca="false">E33</f>
        <v>0.4</v>
      </c>
      <c r="F34" s="91" t="n">
        <f aca="false">F33</f>
        <v>0.8</v>
      </c>
      <c r="G34" s="92" t="n">
        <v>0</v>
      </c>
      <c r="H34" s="92" t="n">
        <f aca="false">PRODUCT(D34,E34,F34)</f>
        <v>0.288</v>
      </c>
      <c r="I34" s="91" t="n">
        <v>1</v>
      </c>
      <c r="J34" s="92" t="n">
        <f aca="false">IF(G34&gt;0,G34*I34,H34*I34)</f>
        <v>0.288</v>
      </c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0"/>
      <c r="B35" s="84"/>
      <c r="C35" s="90" t="s">
        <v>339</v>
      </c>
      <c r="D35" s="91" t="n">
        <v>2.15</v>
      </c>
      <c r="E35" s="91" t="n">
        <f aca="false">E34</f>
        <v>0.4</v>
      </c>
      <c r="F35" s="91" t="n">
        <f aca="false">F34</f>
        <v>0.8</v>
      </c>
      <c r="G35" s="92" t="n">
        <v>0</v>
      </c>
      <c r="H35" s="92" t="n">
        <f aca="false">PRODUCT(D35,E35,F35)</f>
        <v>0.688</v>
      </c>
      <c r="I35" s="91" t="n">
        <v>1</v>
      </c>
      <c r="J35" s="92" t="n">
        <f aca="false">IF(G35&gt;0,G35*I35,H35*I35)</f>
        <v>0.688</v>
      </c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0"/>
      <c r="B36" s="84"/>
      <c r="C36" s="90" t="s">
        <v>340</v>
      </c>
      <c r="D36" s="91" t="n">
        <v>2.8</v>
      </c>
      <c r="E36" s="91" t="n">
        <f aca="false">E35</f>
        <v>0.4</v>
      </c>
      <c r="F36" s="91" t="n">
        <f aca="false">F35</f>
        <v>0.8</v>
      </c>
      <c r="G36" s="92" t="n">
        <v>0</v>
      </c>
      <c r="H36" s="92" t="n">
        <f aca="false">PRODUCT(D36,E36,F36)</f>
        <v>0.896</v>
      </c>
      <c r="I36" s="91" t="n">
        <v>1</v>
      </c>
      <c r="J36" s="92" t="n">
        <f aca="false">IF(G36&gt;0,G36*I36,H36*I36)</f>
        <v>0.896</v>
      </c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0"/>
      <c r="B37" s="84"/>
      <c r="C37" s="90" t="s">
        <v>341</v>
      </c>
      <c r="D37" s="91" t="n">
        <v>1</v>
      </c>
      <c r="E37" s="91" t="n">
        <f aca="false">E35</f>
        <v>0.4</v>
      </c>
      <c r="F37" s="91" t="n">
        <f aca="false">F35</f>
        <v>0.8</v>
      </c>
      <c r="G37" s="92" t="n">
        <v>0</v>
      </c>
      <c r="H37" s="92" t="n">
        <f aca="false">PRODUCT(D37,E37,F37)</f>
        <v>0.32</v>
      </c>
      <c r="I37" s="91" t="n">
        <v>1</v>
      </c>
      <c r="J37" s="92" t="n">
        <f aca="false">IF(G37&gt;0,G37*I37,H37*I37)</f>
        <v>0.32</v>
      </c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0"/>
      <c r="B38" s="84"/>
      <c r="C38" s="90" t="s">
        <v>342</v>
      </c>
      <c r="D38" s="91" t="n">
        <v>1</v>
      </c>
      <c r="E38" s="91" t="n">
        <f aca="false">E35</f>
        <v>0.4</v>
      </c>
      <c r="F38" s="91" t="n">
        <f aca="false">F35</f>
        <v>0.8</v>
      </c>
      <c r="G38" s="92" t="n">
        <v>0</v>
      </c>
      <c r="H38" s="92" t="n">
        <f aca="false">PRODUCT(D38,E38,F38)</f>
        <v>0.32</v>
      </c>
      <c r="I38" s="91" t="n">
        <v>1</v>
      </c>
      <c r="J38" s="92" t="n">
        <f aca="false">IF(G38&gt;0,G38*I38,H38*I38)</f>
        <v>0.32</v>
      </c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0"/>
      <c r="B39" s="84"/>
      <c r="C39" s="90" t="s">
        <v>343</v>
      </c>
      <c r="D39" s="91" t="n">
        <v>2.75</v>
      </c>
      <c r="E39" s="91" t="n">
        <f aca="false">E36</f>
        <v>0.4</v>
      </c>
      <c r="F39" s="91" t="n">
        <f aca="false">F36</f>
        <v>0.8</v>
      </c>
      <c r="G39" s="92" t="n">
        <v>0</v>
      </c>
      <c r="H39" s="92" t="n">
        <f aca="false">PRODUCT(D39,E39,F39)</f>
        <v>0.88</v>
      </c>
      <c r="I39" s="91" t="n">
        <v>1</v>
      </c>
      <c r="J39" s="92" t="n">
        <f aca="false">IF(G39&gt;0,G39*I39,H39*I39)</f>
        <v>0.88</v>
      </c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0"/>
      <c r="B40" s="84"/>
      <c r="C40" s="90" t="s">
        <v>344</v>
      </c>
      <c r="D40" s="91" t="n">
        <v>2.75</v>
      </c>
      <c r="E40" s="91" t="n">
        <f aca="false">E39</f>
        <v>0.4</v>
      </c>
      <c r="F40" s="91" t="n">
        <f aca="false">F39</f>
        <v>0.8</v>
      </c>
      <c r="G40" s="92" t="n">
        <v>0</v>
      </c>
      <c r="H40" s="92" t="n">
        <f aca="false">PRODUCT(D40,E40,F40)</f>
        <v>0.88</v>
      </c>
      <c r="I40" s="91" t="n">
        <v>1</v>
      </c>
      <c r="J40" s="92" t="n">
        <f aca="false">IF(G40&gt;0,G40*I40,H40*I40)</f>
        <v>0.88</v>
      </c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0"/>
      <c r="B41" s="0"/>
      <c r="C41" s="0"/>
      <c r="D41" s="86"/>
      <c r="E41" s="86"/>
      <c r="F41" s="86"/>
      <c r="G41" s="86"/>
      <c r="H41" s="86"/>
      <c r="I41" s="86"/>
      <c r="J41" s="86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false" outlineLevel="0" collapsed="false">
      <c r="A42" s="0"/>
      <c r="B42" s="87" t="str">
        <f aca="false">ORÇAMENTO!B26</f>
        <v>2.2</v>
      </c>
      <c r="C42" s="88" t="str">
        <f aca="false">VLOOKUP(B42,ORÇAMENTO!$B$17:$L$122,2,0)</f>
        <v>ATERRO COM AREIA COM ADENSAMENTO HIDRAULICO</v>
      </c>
      <c r="D42" s="88" t="s">
        <v>18</v>
      </c>
      <c r="E42" s="88" t="s">
        <v>18</v>
      </c>
      <c r="F42" s="88" t="s">
        <v>18</v>
      </c>
      <c r="G42" s="88" t="s">
        <v>18</v>
      </c>
      <c r="H42" s="88" t="s">
        <v>18</v>
      </c>
      <c r="I42" s="88" t="s">
        <v>18</v>
      </c>
      <c r="J42" s="89" t="n">
        <f aca="false">SUM(J43:J44)</f>
        <v>2.094</v>
      </c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false" outlineLevel="0" collapsed="false">
      <c r="A43" s="0"/>
      <c r="B43" s="87"/>
      <c r="C43" s="90" t="s">
        <v>345</v>
      </c>
      <c r="D43" s="91" t="n">
        <v>2</v>
      </c>
      <c r="E43" s="91" t="n">
        <v>2</v>
      </c>
      <c r="F43" s="91" t="n">
        <v>0.4</v>
      </c>
      <c r="G43" s="92" t="n">
        <v>0</v>
      </c>
      <c r="H43" s="92" t="n">
        <f aca="false">PRODUCT(D43,E43,F43)</f>
        <v>1.6</v>
      </c>
      <c r="I43" s="91" t="n">
        <v>1</v>
      </c>
      <c r="J43" s="100" t="n">
        <f aca="false">IF(G43&gt;0,G43*I43,H43*I43)</f>
        <v>1.6</v>
      </c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0"/>
      <c r="B44" s="87"/>
      <c r="C44" s="90" t="s">
        <v>346</v>
      </c>
      <c r="D44" s="91" t="n">
        <v>1.3</v>
      </c>
      <c r="E44" s="91" t="n">
        <v>0.95</v>
      </c>
      <c r="F44" s="91" t="n">
        <v>0.4</v>
      </c>
      <c r="G44" s="92" t="n">
        <v>0</v>
      </c>
      <c r="H44" s="92" t="n">
        <f aca="false">PRODUCT(D44,E44,F44)</f>
        <v>0.494</v>
      </c>
      <c r="I44" s="91" t="n">
        <v>1</v>
      </c>
      <c r="J44" s="100" t="n">
        <f aca="false">IF(G44&gt;0,G44*I44,H44*I44)</f>
        <v>0.494</v>
      </c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0"/>
      <c r="B45" s="93"/>
      <c r="C45" s="0"/>
      <c r="D45" s="97"/>
      <c r="E45" s="97"/>
      <c r="F45" s="97"/>
      <c r="G45" s="97"/>
      <c r="H45" s="97"/>
      <c r="I45" s="97"/>
      <c r="J45" s="98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0"/>
      <c r="B46" s="87" t="str">
        <f aca="false">ORÇAMENTO!B27</f>
        <v>2.3</v>
      </c>
      <c r="C46" s="88" t="str">
        <f aca="false">VLOOKUP(B46,ORÇAMENTO!$B$17:$L$122,2,0)</f>
        <v>CARGA MANUAL DE ENTULHO EM CAMINHAO BASCULANTE 6 M3</v>
      </c>
      <c r="D46" s="88"/>
      <c r="E46" s="88"/>
      <c r="F46" s="88"/>
      <c r="G46" s="88"/>
      <c r="H46" s="88"/>
      <c r="I46" s="88"/>
      <c r="J46" s="89" t="n">
        <f aca="false">SUM(J47:J50)</f>
        <v>198.980175</v>
      </c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false" outlineLevel="0" collapsed="false">
      <c r="A47" s="0"/>
      <c r="B47" s="95"/>
      <c r="C47" s="90" t="str">
        <f aca="false">C10</f>
        <v>RETIRADA DE PAVIMENTAÇÃO EM PARALELEPÍPEDO OU PEDRA TOSCA</v>
      </c>
      <c r="D47" s="91"/>
      <c r="E47" s="91"/>
      <c r="F47" s="91" t="n">
        <v>0.15</v>
      </c>
      <c r="G47" s="91" t="n">
        <f aca="false">G11</f>
        <v>824.91</v>
      </c>
      <c r="H47" s="91" t="n">
        <f aca="false">F47*G47</f>
        <v>123.7365</v>
      </c>
      <c r="I47" s="91" t="n">
        <v>1.3</v>
      </c>
      <c r="J47" s="92" t="n">
        <f aca="false">H47*I47</f>
        <v>160.85745</v>
      </c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5" hidden="false" customHeight="false" outlineLevel="0" collapsed="false">
      <c r="A48" s="0"/>
      <c r="B48" s="95"/>
      <c r="C48" s="90" t="str">
        <f aca="false">C13</f>
        <v>DEMOLICAO DE CONCRETO SIMPLES</v>
      </c>
      <c r="D48" s="91"/>
      <c r="E48" s="91"/>
      <c r="F48" s="91" t="s">
        <v>18</v>
      </c>
      <c r="G48" s="91"/>
      <c r="H48" s="91" t="n">
        <f aca="false">J13</f>
        <v>17.352</v>
      </c>
      <c r="I48" s="91" t="n">
        <v>1.3</v>
      </c>
      <c r="J48" s="92" t="n">
        <f aca="false">PRODUCT(F48,G48,H48,I48)</f>
        <v>22.5576</v>
      </c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5" hidden="false" customHeight="false" outlineLevel="0" collapsed="false">
      <c r="A49" s="0"/>
      <c r="B49" s="95"/>
      <c r="C49" s="90" t="str">
        <f aca="false">C17</f>
        <v>DEMOLICAO DE ALVENARIA DE TIJOLOS FURADOS S/REAPROVEITAMENTO</v>
      </c>
      <c r="D49" s="91"/>
      <c r="E49" s="91"/>
      <c r="F49" s="91" t="s">
        <v>18</v>
      </c>
      <c r="G49" s="91" t="s">
        <v>18</v>
      </c>
      <c r="H49" s="91" t="n">
        <f aca="false">J17</f>
        <v>3.28875</v>
      </c>
      <c r="I49" s="91" t="n">
        <v>1.5</v>
      </c>
      <c r="J49" s="92" t="n">
        <f aca="false">PRODUCT(F49,G49,H49,I49)</f>
        <v>4.933125</v>
      </c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false" outlineLevel="0" collapsed="false">
      <c r="A50" s="0"/>
      <c r="B50" s="95"/>
      <c r="C50" s="90" t="str">
        <f aca="false">C29</f>
        <v>ESCAVACAO MANUAL EM SOLO</v>
      </c>
      <c r="D50" s="91"/>
      <c r="E50" s="91"/>
      <c r="F50" s="91"/>
      <c r="G50" s="91"/>
      <c r="H50" s="91" t="n">
        <f aca="false">J29</f>
        <v>7.088</v>
      </c>
      <c r="I50" s="91" t="n">
        <v>1.5</v>
      </c>
      <c r="J50" s="92" t="n">
        <f aca="false">PRODUCT(F50,G50,H50,I50)</f>
        <v>10.632</v>
      </c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2" customFormat="false" ht="15" hidden="false" customHeight="false" outlineLevel="0" collapsed="false">
      <c r="A52" s="0"/>
      <c r="B52" s="87" t="str">
        <f aca="false">ORÇAMENTO!B28</f>
        <v>2.4</v>
      </c>
      <c r="C52" s="88" t="str">
        <f aca="false">VLOOKUP(B52,ORÇAMENTO!$B$17:$L$122,2,0)</f>
        <v>TRANSPORTE DE ENTULHO COM CAMINHÃO BASCULANTE 6 M3, ATE 0,5 KM</v>
      </c>
      <c r="D52" s="88"/>
      <c r="E52" s="88"/>
      <c r="F52" s="88"/>
      <c r="G52" s="88"/>
      <c r="H52" s="88"/>
      <c r="I52" s="88"/>
      <c r="J52" s="89" t="n">
        <f aca="false">J46</f>
        <v>198.980175</v>
      </c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4" customFormat="false" ht="15" hidden="false" customHeight="false" outlineLevel="0" collapsed="false">
      <c r="A54" s="0"/>
      <c r="B54" s="31" t="str">
        <f aca="false">ORÇAMENTO!C30</f>
        <v>INFRA-ESTRUTURA (URBANIZAÇÃO)</v>
      </c>
      <c r="C54" s="31" t="e">
        <f aca="false">'[1]orçamento construção'!#ref!</f>
        <v>#VALUE!</v>
      </c>
      <c r="D54" s="31"/>
      <c r="E54" s="31"/>
      <c r="F54" s="31"/>
      <c r="G54" s="31"/>
      <c r="H54" s="31"/>
      <c r="I54" s="31"/>
      <c r="J54" s="31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0"/>
      <c r="B55" s="99"/>
      <c r="C55" s="99"/>
      <c r="D55" s="93"/>
      <c r="E55" s="93"/>
      <c r="F55" s="93"/>
      <c r="G55" s="93"/>
      <c r="H55" s="93"/>
      <c r="I55" s="93"/>
      <c r="J55" s="93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0"/>
      <c r="B56" s="87" t="str">
        <f aca="false">ORÇAMENTO!B31</f>
        <v>3.1</v>
      </c>
      <c r="C56" s="88" t="str">
        <f aca="false">VLOOKUP(B56,ORÇAMENTO!$B$17:$L$122,2,0)</f>
        <v>EMBASAMENTO COM PEDRA ARGAMASSADA</v>
      </c>
      <c r="D56" s="88" t="s">
        <v>18</v>
      </c>
      <c r="E56" s="88" t="s">
        <v>18</v>
      </c>
      <c r="F56" s="88" t="s">
        <v>18</v>
      </c>
      <c r="G56" s="88" t="s">
        <v>18</v>
      </c>
      <c r="H56" s="88" t="s">
        <v>18</v>
      </c>
      <c r="I56" s="88" t="s">
        <v>18</v>
      </c>
      <c r="J56" s="89" t="n">
        <f aca="false">SUM(J57:J67)</f>
        <v>7.088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0"/>
      <c r="B57" s="84"/>
      <c r="C57" s="90" t="s">
        <v>334</v>
      </c>
      <c r="D57" s="91" t="n">
        <v>2.75</v>
      </c>
      <c r="E57" s="91" t="n">
        <v>0.4</v>
      </c>
      <c r="F57" s="91" t="n">
        <v>0.8</v>
      </c>
      <c r="G57" s="92" t="n">
        <v>0</v>
      </c>
      <c r="H57" s="92" t="n">
        <f aca="false">PRODUCT(D57,E57,F57)</f>
        <v>0.88</v>
      </c>
      <c r="I57" s="91" t="n">
        <v>1</v>
      </c>
      <c r="J57" s="100" t="n">
        <f aca="false">IF(G57&gt;0,G57*I57,H57*I57)</f>
        <v>0.88</v>
      </c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false" outlineLevel="0" collapsed="false">
      <c r="A58" s="0"/>
      <c r="B58" s="84"/>
      <c r="C58" s="90" t="s">
        <v>335</v>
      </c>
      <c r="D58" s="91" t="n">
        <v>1.45</v>
      </c>
      <c r="E58" s="91" t="n">
        <f aca="false">E57</f>
        <v>0.4</v>
      </c>
      <c r="F58" s="91" t="n">
        <f aca="false">F57</f>
        <v>0.8</v>
      </c>
      <c r="G58" s="92" t="n">
        <v>0</v>
      </c>
      <c r="H58" s="92" t="n">
        <f aca="false">PRODUCT(D58,E58,F58)</f>
        <v>0.464</v>
      </c>
      <c r="I58" s="91" t="n">
        <v>1</v>
      </c>
      <c r="J58" s="92" t="n">
        <f aca="false">IF(G58&gt;0,G58*I58,H58*I58)</f>
        <v>0.464</v>
      </c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false" outlineLevel="0" collapsed="false">
      <c r="A59" s="0"/>
      <c r="B59" s="84"/>
      <c r="C59" s="90" t="s">
        <v>336</v>
      </c>
      <c r="D59" s="91" t="n">
        <v>3.7</v>
      </c>
      <c r="E59" s="91" t="n">
        <f aca="false">E58</f>
        <v>0.4</v>
      </c>
      <c r="F59" s="91" t="n">
        <f aca="false">F58</f>
        <v>0.8</v>
      </c>
      <c r="G59" s="92" t="n">
        <v>0</v>
      </c>
      <c r="H59" s="92" t="n">
        <f aca="false">PRODUCT(D59,E59,F59)</f>
        <v>1.184</v>
      </c>
      <c r="I59" s="91" t="n">
        <v>1</v>
      </c>
      <c r="J59" s="92" t="n">
        <f aca="false">IF(G59&gt;0,G59*I59,H59*I59)</f>
        <v>1.184</v>
      </c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0"/>
      <c r="B60" s="84"/>
      <c r="C60" s="90" t="s">
        <v>337</v>
      </c>
      <c r="D60" s="91" t="n">
        <v>0.9</v>
      </c>
      <c r="E60" s="91" t="n">
        <f aca="false">E59</f>
        <v>0.4</v>
      </c>
      <c r="F60" s="91" t="n">
        <f aca="false">F59</f>
        <v>0.8</v>
      </c>
      <c r="G60" s="92" t="n">
        <v>0</v>
      </c>
      <c r="H60" s="92" t="n">
        <f aca="false">PRODUCT(D60,E60,F60)</f>
        <v>0.288</v>
      </c>
      <c r="I60" s="91" t="n">
        <v>1</v>
      </c>
      <c r="J60" s="92" t="n">
        <f aca="false">IF(G60&gt;0,G60*I60,H60*I60)</f>
        <v>0.288</v>
      </c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0"/>
      <c r="B61" s="84"/>
      <c r="C61" s="90" t="s">
        <v>338</v>
      </c>
      <c r="D61" s="91" t="n">
        <v>0.9</v>
      </c>
      <c r="E61" s="91" t="n">
        <f aca="false">E60</f>
        <v>0.4</v>
      </c>
      <c r="F61" s="91" t="n">
        <f aca="false">F60</f>
        <v>0.8</v>
      </c>
      <c r="G61" s="92" t="n">
        <v>0</v>
      </c>
      <c r="H61" s="92" t="n">
        <f aca="false">PRODUCT(D61,E61,F61)</f>
        <v>0.288</v>
      </c>
      <c r="I61" s="91" t="n">
        <v>1</v>
      </c>
      <c r="J61" s="92" t="n">
        <f aca="false">IF(G61&gt;0,G61*I61,H61*I61)</f>
        <v>0.288</v>
      </c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false" outlineLevel="0" collapsed="false">
      <c r="A62" s="0"/>
      <c r="B62" s="84"/>
      <c r="C62" s="90" t="s">
        <v>339</v>
      </c>
      <c r="D62" s="91" t="n">
        <v>2.15</v>
      </c>
      <c r="E62" s="91" t="n">
        <f aca="false">E61</f>
        <v>0.4</v>
      </c>
      <c r="F62" s="91" t="n">
        <f aca="false">F61</f>
        <v>0.8</v>
      </c>
      <c r="G62" s="92" t="n">
        <v>0</v>
      </c>
      <c r="H62" s="92" t="n">
        <f aca="false">PRODUCT(D62,E62,F62)</f>
        <v>0.688</v>
      </c>
      <c r="I62" s="91" t="n">
        <v>1</v>
      </c>
      <c r="J62" s="92" t="n">
        <f aca="false">IF(G62&gt;0,G62*I62,H62*I62)</f>
        <v>0.688</v>
      </c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0"/>
      <c r="B63" s="84"/>
      <c r="C63" s="90" t="s">
        <v>340</v>
      </c>
      <c r="D63" s="91" t="n">
        <v>2.8</v>
      </c>
      <c r="E63" s="91" t="n">
        <f aca="false">E62</f>
        <v>0.4</v>
      </c>
      <c r="F63" s="91" t="n">
        <f aca="false">F62</f>
        <v>0.8</v>
      </c>
      <c r="G63" s="92" t="n">
        <v>0</v>
      </c>
      <c r="H63" s="92" t="n">
        <f aca="false">PRODUCT(D63,E63,F63)</f>
        <v>0.896</v>
      </c>
      <c r="I63" s="91" t="n">
        <v>1</v>
      </c>
      <c r="J63" s="92" t="n">
        <f aca="false">IF(G63&gt;0,G63*I63,H63*I63)</f>
        <v>0.896</v>
      </c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false" outlineLevel="0" collapsed="false">
      <c r="A64" s="0"/>
      <c r="B64" s="84"/>
      <c r="C64" s="90" t="s">
        <v>341</v>
      </c>
      <c r="D64" s="91" t="n">
        <v>1</v>
      </c>
      <c r="E64" s="91" t="n">
        <f aca="false">E62</f>
        <v>0.4</v>
      </c>
      <c r="F64" s="91" t="n">
        <f aca="false">F62</f>
        <v>0.8</v>
      </c>
      <c r="G64" s="92" t="n">
        <v>0</v>
      </c>
      <c r="H64" s="92" t="n">
        <f aca="false">PRODUCT(D64,E64,F64)</f>
        <v>0.32</v>
      </c>
      <c r="I64" s="91" t="n">
        <v>1</v>
      </c>
      <c r="J64" s="92" t="n">
        <f aca="false">IF(G64&gt;0,G64*I64,H64*I64)</f>
        <v>0.32</v>
      </c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5" hidden="false" customHeight="false" outlineLevel="0" collapsed="false">
      <c r="A65" s="0"/>
      <c r="B65" s="84"/>
      <c r="C65" s="90" t="s">
        <v>342</v>
      </c>
      <c r="D65" s="91" t="n">
        <v>1</v>
      </c>
      <c r="E65" s="91" t="n">
        <f aca="false">E62</f>
        <v>0.4</v>
      </c>
      <c r="F65" s="91" t="n">
        <f aca="false">F62</f>
        <v>0.8</v>
      </c>
      <c r="G65" s="92" t="n">
        <v>0</v>
      </c>
      <c r="H65" s="92" t="n">
        <f aca="false">PRODUCT(D65,E65,F65)</f>
        <v>0.32</v>
      </c>
      <c r="I65" s="91" t="n">
        <v>1</v>
      </c>
      <c r="J65" s="92" t="n">
        <f aca="false">IF(G65&gt;0,G65*I65,H65*I65)</f>
        <v>0.32</v>
      </c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5" hidden="false" customHeight="false" outlineLevel="0" collapsed="false">
      <c r="A66" s="0"/>
      <c r="B66" s="84"/>
      <c r="C66" s="90" t="s">
        <v>343</v>
      </c>
      <c r="D66" s="91" t="n">
        <v>2.75</v>
      </c>
      <c r="E66" s="91" t="n">
        <f aca="false">E63</f>
        <v>0.4</v>
      </c>
      <c r="F66" s="91" t="n">
        <f aca="false">F63</f>
        <v>0.8</v>
      </c>
      <c r="G66" s="92" t="n">
        <v>0</v>
      </c>
      <c r="H66" s="92" t="n">
        <f aca="false">PRODUCT(D66,E66,F66)</f>
        <v>0.88</v>
      </c>
      <c r="I66" s="91" t="n">
        <v>1</v>
      </c>
      <c r="J66" s="92" t="n">
        <f aca="false">IF(G66&gt;0,G66*I66,H66*I66)</f>
        <v>0.88</v>
      </c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5" hidden="false" customHeight="false" outlineLevel="0" collapsed="false">
      <c r="A67" s="0"/>
      <c r="B67" s="84"/>
      <c r="C67" s="90" t="s">
        <v>344</v>
      </c>
      <c r="D67" s="91" t="n">
        <v>2.75</v>
      </c>
      <c r="E67" s="91" t="n">
        <f aca="false">E66</f>
        <v>0.4</v>
      </c>
      <c r="F67" s="91" t="n">
        <f aca="false">F66</f>
        <v>0.8</v>
      </c>
      <c r="G67" s="92" t="n">
        <v>0</v>
      </c>
      <c r="H67" s="92" t="n">
        <f aca="false">PRODUCT(D67,E67,F67)</f>
        <v>0.88</v>
      </c>
      <c r="I67" s="91" t="n">
        <v>1</v>
      </c>
      <c r="J67" s="92" t="n">
        <f aca="false">IF(G67&gt;0,G67*I67,H67*I67)</f>
        <v>0.88</v>
      </c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5" hidden="false" customHeight="false" outlineLevel="0" collapsed="false">
      <c r="A68" s="0"/>
      <c r="B68" s="99"/>
      <c r="C68" s="99"/>
      <c r="D68" s="93"/>
      <c r="E68" s="93"/>
      <c r="F68" s="93"/>
      <c r="G68" s="93"/>
      <c r="H68" s="93"/>
      <c r="I68" s="93"/>
      <c r="J68" s="93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5" hidden="false" customHeight="false" outlineLevel="0" collapsed="false">
      <c r="A69" s="0"/>
      <c r="B69" s="87" t="str">
        <f aca="false">ORÇAMENTO!B32</f>
        <v>3.2</v>
      </c>
      <c r="C69" s="88" t="str">
        <f aca="false">VLOOKUP(B69,ORÇAMENTO!$B$17:$L$122,2,0)</f>
        <v>ALVENARIA DE EMBASAMENTO DE TIJOLO FURADO</v>
      </c>
      <c r="D69" s="88" t="s">
        <v>18</v>
      </c>
      <c r="E69" s="88" t="s">
        <v>18</v>
      </c>
      <c r="F69" s="88" t="s">
        <v>18</v>
      </c>
      <c r="G69" s="88" t="s">
        <v>18</v>
      </c>
      <c r="H69" s="88" t="s">
        <v>18</v>
      </c>
      <c r="I69" s="88" t="s">
        <v>18</v>
      </c>
      <c r="J69" s="89" t="n">
        <f aca="false">SUM(J70:J75)</f>
        <v>0.67545</v>
      </c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5" hidden="false" customHeight="false" outlineLevel="0" collapsed="false">
      <c r="A70" s="0"/>
      <c r="B70" s="84"/>
      <c r="C70" s="90" t="s">
        <v>334</v>
      </c>
      <c r="D70" s="91" t="n">
        <v>2.75</v>
      </c>
      <c r="E70" s="91" t="n">
        <v>0.19</v>
      </c>
      <c r="F70" s="91" t="n">
        <v>0.3</v>
      </c>
      <c r="G70" s="92" t="n">
        <v>0</v>
      </c>
      <c r="H70" s="92" t="n">
        <f aca="false">PRODUCT(D70,E70,F70)</f>
        <v>0.15675</v>
      </c>
      <c r="I70" s="91" t="n">
        <v>1</v>
      </c>
      <c r="J70" s="100" t="n">
        <f aca="false">IF(G70&gt;0,G70*I70,H70*I70)</f>
        <v>0.15675</v>
      </c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5" hidden="false" customHeight="false" outlineLevel="0" collapsed="false">
      <c r="A71" s="0"/>
      <c r="B71" s="84"/>
      <c r="C71" s="90" t="s">
        <v>335</v>
      </c>
      <c r="D71" s="91" t="n">
        <v>1.45</v>
      </c>
      <c r="E71" s="91" t="n">
        <f aca="false">E70</f>
        <v>0.19</v>
      </c>
      <c r="F71" s="91" t="n">
        <f aca="false">F70</f>
        <v>0.3</v>
      </c>
      <c r="G71" s="92" t="n">
        <v>0</v>
      </c>
      <c r="H71" s="92" t="n">
        <f aca="false">PRODUCT(D71,E71,F71)</f>
        <v>0.08265</v>
      </c>
      <c r="I71" s="91" t="n">
        <v>1</v>
      </c>
      <c r="J71" s="92" t="n">
        <f aca="false">IF(G71&gt;0,G71*I71,H71*I71)</f>
        <v>0.08265</v>
      </c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5" hidden="false" customHeight="false" outlineLevel="0" collapsed="false">
      <c r="A72" s="0"/>
      <c r="B72" s="84"/>
      <c r="C72" s="90" t="s">
        <v>336</v>
      </c>
      <c r="D72" s="91" t="n">
        <v>3.7</v>
      </c>
      <c r="E72" s="91" t="n">
        <f aca="false">E71</f>
        <v>0.19</v>
      </c>
      <c r="F72" s="91" t="n">
        <f aca="false">F71</f>
        <v>0.3</v>
      </c>
      <c r="G72" s="92" t="n">
        <v>0</v>
      </c>
      <c r="H72" s="92" t="n">
        <f aca="false">PRODUCT(D72,E72,F72)</f>
        <v>0.2109</v>
      </c>
      <c r="I72" s="91" t="n">
        <v>1</v>
      </c>
      <c r="J72" s="92" t="n">
        <f aca="false">IF(G72&gt;0,G72*I72,H72*I72)</f>
        <v>0.2109</v>
      </c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5" hidden="false" customHeight="false" outlineLevel="0" collapsed="false">
      <c r="A73" s="0"/>
      <c r="B73" s="84"/>
      <c r="C73" s="90" t="s">
        <v>337</v>
      </c>
      <c r="D73" s="91" t="n">
        <v>0.9</v>
      </c>
      <c r="E73" s="91" t="n">
        <f aca="false">E72</f>
        <v>0.19</v>
      </c>
      <c r="F73" s="91" t="n">
        <f aca="false">F72</f>
        <v>0.3</v>
      </c>
      <c r="G73" s="92" t="n">
        <v>0</v>
      </c>
      <c r="H73" s="92" t="n">
        <f aca="false">PRODUCT(D73,E73,F73)</f>
        <v>0.0513</v>
      </c>
      <c r="I73" s="91" t="n">
        <v>1</v>
      </c>
      <c r="J73" s="92" t="n">
        <f aca="false">IF(G73&gt;0,G73*I73,H73*I73)</f>
        <v>0.0513</v>
      </c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5" hidden="false" customHeight="false" outlineLevel="0" collapsed="false">
      <c r="A74" s="0"/>
      <c r="B74" s="84"/>
      <c r="C74" s="90" t="s">
        <v>338</v>
      </c>
      <c r="D74" s="91" t="n">
        <v>0.9</v>
      </c>
      <c r="E74" s="91" t="n">
        <f aca="false">E73</f>
        <v>0.19</v>
      </c>
      <c r="F74" s="91" t="n">
        <f aca="false">F73</f>
        <v>0.3</v>
      </c>
      <c r="G74" s="92" t="n">
        <v>0</v>
      </c>
      <c r="H74" s="92" t="n">
        <f aca="false">PRODUCT(D74,E74,F74)</f>
        <v>0.0513</v>
      </c>
      <c r="I74" s="91" t="n">
        <v>1</v>
      </c>
      <c r="J74" s="92" t="n">
        <f aca="false">IF(G74&gt;0,G74*I74,H74*I74)</f>
        <v>0.0513</v>
      </c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5" hidden="false" customHeight="false" outlineLevel="0" collapsed="false">
      <c r="A75" s="0"/>
      <c r="B75" s="84"/>
      <c r="C75" s="90" t="s">
        <v>339</v>
      </c>
      <c r="D75" s="91" t="n">
        <v>2.15</v>
      </c>
      <c r="E75" s="91" t="n">
        <f aca="false">E74</f>
        <v>0.19</v>
      </c>
      <c r="F75" s="91" t="n">
        <f aca="false">F74</f>
        <v>0.3</v>
      </c>
      <c r="G75" s="92" t="n">
        <v>0</v>
      </c>
      <c r="H75" s="92" t="n">
        <f aca="false">PRODUCT(D75,E75,F75)</f>
        <v>0.12255</v>
      </c>
      <c r="I75" s="91" t="n">
        <v>1</v>
      </c>
      <c r="J75" s="92" t="n">
        <f aca="false">IF(G75&gt;0,G75*I75,H75*I75)</f>
        <v>0.12255</v>
      </c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5" hidden="false" customHeight="false" outlineLevel="0" collapsed="false">
      <c r="A76" s="0"/>
      <c r="B76" s="99"/>
      <c r="C76" s="99"/>
      <c r="D76" s="93"/>
      <c r="E76" s="93"/>
      <c r="F76" s="93"/>
      <c r="G76" s="93"/>
      <c r="H76" s="93"/>
      <c r="I76" s="93"/>
      <c r="J76" s="93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5" hidden="false" customHeight="false" outlineLevel="0" collapsed="false">
      <c r="A77" s="0"/>
      <c r="B77" s="93" t="str">
        <f aca="false">ORÇAMENTO!B33</f>
        <v>3.3</v>
      </c>
      <c r="C77" s="88" t="str">
        <f aca="false">VLOOKUP(B77,ORÇAMENTO!$B$17:$L$122,2,0)</f>
        <v>CONCRETO ARMADO DOSADO 15 MPA PARA EMBASAMENTO DOS PILARES</v>
      </c>
      <c r="D77" s="97"/>
      <c r="E77" s="97"/>
      <c r="F77" s="97"/>
      <c r="G77" s="97"/>
      <c r="H77" s="97"/>
      <c r="I77" s="97"/>
      <c r="J77" s="98" t="n">
        <f aca="false">SUM(J78:J78)</f>
        <v>1.44</v>
      </c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5" hidden="false" customHeight="false" outlineLevel="0" collapsed="false">
      <c r="A78" s="0"/>
      <c r="B78" s="95"/>
      <c r="C78" s="90" t="s">
        <v>347</v>
      </c>
      <c r="D78" s="91" t="n">
        <v>0.3</v>
      </c>
      <c r="E78" s="91" t="n">
        <v>0.4</v>
      </c>
      <c r="F78" s="91" t="n">
        <v>0.8</v>
      </c>
      <c r="G78" s="92" t="n">
        <v>0</v>
      </c>
      <c r="H78" s="92" t="n">
        <f aca="false">PRODUCT(D78,E78,F78)</f>
        <v>0.096</v>
      </c>
      <c r="I78" s="91" t="n">
        <v>15</v>
      </c>
      <c r="J78" s="92" t="n">
        <f aca="false">IF(G78&gt;0,G78*I78,H78*I78)</f>
        <v>1.44</v>
      </c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5" hidden="false" customHeight="false" outlineLevel="0" collapsed="false">
      <c r="A79" s="0"/>
      <c r="B79" s="0"/>
      <c r="C79" s="0"/>
      <c r="D79" s="86"/>
      <c r="E79" s="86"/>
      <c r="F79" s="86"/>
      <c r="G79" s="86"/>
      <c r="H79" s="86"/>
      <c r="I79" s="86"/>
      <c r="J79" s="86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5" hidden="false" customHeight="false" outlineLevel="0" collapsed="false">
      <c r="A80" s="0"/>
      <c r="B80" s="31" t="str">
        <f aca="false">ORÇAMENTO!C35</f>
        <v>SUPER-ESTRUTURA (URBANIZAÇÃO)</v>
      </c>
      <c r="C80" s="31" t="str">
        <f aca="false">[1]'ORÇAMENTO CONSTRUÇÃO'!C55</f>
        <v>REVESTIMENTO CERÂMICO PARA PAREDES INTERNAS COM PLACAS DE DIMENSÕES 25X35 CM.</v>
      </c>
      <c r="D80" s="31"/>
      <c r="E80" s="31"/>
      <c r="F80" s="31"/>
      <c r="G80" s="31"/>
      <c r="H80" s="31"/>
      <c r="I80" s="31"/>
      <c r="J80" s="31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5" hidden="false" customHeight="false" outlineLevel="0" collapsed="false">
      <c r="A81" s="0"/>
      <c r="B81" s="99"/>
      <c r="C81" s="99"/>
      <c r="D81" s="93"/>
      <c r="E81" s="93"/>
      <c r="F81" s="93"/>
      <c r="G81" s="93"/>
      <c r="H81" s="93"/>
      <c r="I81" s="93"/>
      <c r="J81" s="93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5" hidden="false" customHeight="false" outlineLevel="0" collapsed="false">
      <c r="A82" s="0"/>
      <c r="B82" s="87" t="str">
        <f aca="false">ORÇAMENTO!B36</f>
        <v>4.1</v>
      </c>
      <c r="C82" s="88" t="str">
        <f aca="false">VLOOKUP(B82,ORÇAMENTO!$B$17:$L$122,2,0)</f>
        <v>CONCRETO ARMADO DOSADO 15 MPA - PILARES</v>
      </c>
      <c r="D82" s="88"/>
      <c r="E82" s="88"/>
      <c r="F82" s="88"/>
      <c r="G82" s="88"/>
      <c r="H82" s="88"/>
      <c r="I82" s="88"/>
      <c r="J82" s="89" t="n">
        <f aca="false">SUM(J83:J85)</f>
        <v>0.748</v>
      </c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5" hidden="false" customHeight="false" outlineLevel="0" collapsed="false">
      <c r="A83" s="0"/>
      <c r="B83" s="95"/>
      <c r="C83" s="90" t="s">
        <v>348</v>
      </c>
      <c r="D83" s="91" t="n">
        <v>0.1</v>
      </c>
      <c r="E83" s="91" t="n">
        <v>0.1</v>
      </c>
      <c r="F83" s="91" t="n">
        <v>2.8</v>
      </c>
      <c r="G83" s="92" t="n">
        <v>0</v>
      </c>
      <c r="H83" s="92" t="n">
        <f aca="false">PRODUCT(D83,E83,F83)</f>
        <v>0.028</v>
      </c>
      <c r="I83" s="91" t="n">
        <v>6</v>
      </c>
      <c r="J83" s="92" t="n">
        <f aca="false">IF(G83&gt;0,G83*I83,H83*I83)</f>
        <v>0.168</v>
      </c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5" hidden="false" customHeight="false" outlineLevel="0" collapsed="false">
      <c r="A84" s="0"/>
      <c r="B84" s="95"/>
      <c r="C84" s="90" t="s">
        <v>349</v>
      </c>
      <c r="D84" s="91" t="n">
        <v>0.1</v>
      </c>
      <c r="E84" s="91" t="n">
        <v>0.1</v>
      </c>
      <c r="F84" s="91" t="n">
        <v>2</v>
      </c>
      <c r="G84" s="92" t="n">
        <v>0</v>
      </c>
      <c r="H84" s="92" t="n">
        <f aca="false">PRODUCT(D84,E84,F84)</f>
        <v>0.02</v>
      </c>
      <c r="I84" s="91" t="n">
        <v>4</v>
      </c>
      <c r="J84" s="92" t="n">
        <f aca="false">IF(G84&gt;0,G84*I84,H84*I84)</f>
        <v>0.08</v>
      </c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5" hidden="false" customHeight="false" outlineLevel="0" collapsed="false">
      <c r="A85" s="0"/>
      <c r="B85" s="95"/>
      <c r="C85" s="90" t="s">
        <v>350</v>
      </c>
      <c r="D85" s="91" t="n">
        <v>0.1</v>
      </c>
      <c r="E85" s="91" t="n">
        <v>0.2</v>
      </c>
      <c r="F85" s="91" t="n">
        <v>5</v>
      </c>
      <c r="G85" s="92" t="n">
        <v>0</v>
      </c>
      <c r="H85" s="92" t="n">
        <f aca="false">PRODUCT(D85,E85,F85)</f>
        <v>0.1</v>
      </c>
      <c r="I85" s="91" t="n">
        <v>5</v>
      </c>
      <c r="J85" s="92" t="n">
        <f aca="false">IF(G85&gt;0,G85*I85,H85*I85)</f>
        <v>0.5</v>
      </c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5" hidden="false" customHeight="false" outlineLevel="0" collapsed="false">
      <c r="A86" s="0"/>
      <c r="B86" s="0"/>
      <c r="C86" s="94"/>
      <c r="D86" s="86"/>
      <c r="E86" s="86"/>
      <c r="F86" s="86"/>
      <c r="G86" s="86"/>
      <c r="H86" s="86"/>
      <c r="I86" s="86"/>
      <c r="J86" s="86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5" hidden="false" customHeight="false" outlineLevel="0" collapsed="false">
      <c r="A87" s="0"/>
      <c r="B87" s="87" t="str">
        <f aca="false">ORÇAMENTO!B37</f>
        <v>4.2</v>
      </c>
      <c r="C87" s="88" t="str">
        <f aca="false">VLOOKUP(B87,ORÇAMENTO!$B$17:$L$122,2,0)</f>
        <v>CONCRETO ARMADO DOSADO 15 MPA - CINTA/VIGA INFERIOR</v>
      </c>
      <c r="D87" s="88"/>
      <c r="E87" s="88"/>
      <c r="F87" s="88"/>
      <c r="G87" s="88"/>
      <c r="H87" s="88"/>
      <c r="I87" s="88"/>
      <c r="J87" s="89" t="n">
        <f aca="false">SUM(J88:J98)</f>
        <v>0.41784</v>
      </c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5" hidden="false" customHeight="false" outlineLevel="0" collapsed="false">
      <c r="A88" s="0"/>
      <c r="B88" s="84"/>
      <c r="C88" s="90" t="s">
        <v>334</v>
      </c>
      <c r="D88" s="91" t="n">
        <v>2.75</v>
      </c>
      <c r="E88" s="91" t="n">
        <v>0.12</v>
      </c>
      <c r="F88" s="91" t="n">
        <v>0.12</v>
      </c>
      <c r="G88" s="92" t="n">
        <v>0</v>
      </c>
      <c r="H88" s="92" t="n">
        <f aca="false">PRODUCT(D88,E88,F88)</f>
        <v>0.0396</v>
      </c>
      <c r="I88" s="91" t="n">
        <v>1</v>
      </c>
      <c r="J88" s="100" t="n">
        <f aca="false">IF(G88&gt;0,G88*I88,H88*I88)</f>
        <v>0.0396</v>
      </c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5" hidden="false" customHeight="false" outlineLevel="0" collapsed="false">
      <c r="A89" s="0"/>
      <c r="B89" s="84"/>
      <c r="C89" s="90" t="s">
        <v>335</v>
      </c>
      <c r="D89" s="91" t="n">
        <v>1.45</v>
      </c>
      <c r="E89" s="91" t="n">
        <v>0.12</v>
      </c>
      <c r="F89" s="91" t="n">
        <v>0.12</v>
      </c>
      <c r="G89" s="92" t="n">
        <v>0</v>
      </c>
      <c r="H89" s="92" t="n">
        <f aca="false">PRODUCT(D89,E89,F89)</f>
        <v>0.02088</v>
      </c>
      <c r="I89" s="91" t="n">
        <v>1</v>
      </c>
      <c r="J89" s="92" t="n">
        <f aca="false">IF(G89&gt;0,G89*I89,H89*I89)</f>
        <v>0.02088</v>
      </c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5" hidden="false" customHeight="false" outlineLevel="0" collapsed="false">
      <c r="A90" s="0"/>
      <c r="B90" s="84"/>
      <c r="C90" s="90" t="s">
        <v>336</v>
      </c>
      <c r="D90" s="91" t="n">
        <v>3.7</v>
      </c>
      <c r="E90" s="91" t="n">
        <v>0.12</v>
      </c>
      <c r="F90" s="91" t="n">
        <v>0.12</v>
      </c>
      <c r="G90" s="92" t="n">
        <v>0</v>
      </c>
      <c r="H90" s="92" t="n">
        <f aca="false">PRODUCT(D90,E90,F90)</f>
        <v>0.05328</v>
      </c>
      <c r="I90" s="91" t="n">
        <v>1</v>
      </c>
      <c r="J90" s="92" t="n">
        <f aca="false">IF(G90&gt;0,G90*I90,H90*I90)</f>
        <v>0.05328</v>
      </c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5" hidden="false" customHeight="false" outlineLevel="0" collapsed="false">
      <c r="A91" s="0"/>
      <c r="B91" s="84"/>
      <c r="C91" s="90" t="s">
        <v>337</v>
      </c>
      <c r="D91" s="91" t="n">
        <v>0.9</v>
      </c>
      <c r="E91" s="91" t="n">
        <v>0.12</v>
      </c>
      <c r="F91" s="91" t="n">
        <v>0.12</v>
      </c>
      <c r="G91" s="92" t="n">
        <v>0</v>
      </c>
      <c r="H91" s="92" t="n">
        <f aca="false">PRODUCT(D91,E91,F91)</f>
        <v>0.01296</v>
      </c>
      <c r="I91" s="91" t="n">
        <v>1</v>
      </c>
      <c r="J91" s="92" t="n">
        <f aca="false">IF(G91&gt;0,G91*I91,H91*I91)</f>
        <v>0.01296</v>
      </c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5" hidden="false" customHeight="false" outlineLevel="0" collapsed="false">
      <c r="A92" s="0"/>
      <c r="B92" s="84"/>
      <c r="C92" s="90" t="s">
        <v>338</v>
      </c>
      <c r="D92" s="91" t="n">
        <v>0.9</v>
      </c>
      <c r="E92" s="91" t="n">
        <v>0.12</v>
      </c>
      <c r="F92" s="91" t="n">
        <v>0.12</v>
      </c>
      <c r="G92" s="92" t="n">
        <v>0</v>
      </c>
      <c r="H92" s="92" t="n">
        <f aca="false">PRODUCT(D92,E92,F92)</f>
        <v>0.01296</v>
      </c>
      <c r="I92" s="91" t="n">
        <v>1</v>
      </c>
      <c r="J92" s="92" t="n">
        <f aca="false">IF(G92&gt;0,G92*I92,H92*I92)</f>
        <v>0.01296</v>
      </c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5" hidden="false" customHeight="false" outlineLevel="0" collapsed="false">
      <c r="A93" s="0"/>
      <c r="B93" s="84"/>
      <c r="C93" s="90" t="s">
        <v>339</v>
      </c>
      <c r="D93" s="91" t="n">
        <v>2.15</v>
      </c>
      <c r="E93" s="91" t="n">
        <v>0.12</v>
      </c>
      <c r="F93" s="91" t="n">
        <v>0.12</v>
      </c>
      <c r="G93" s="92" t="n">
        <v>0</v>
      </c>
      <c r="H93" s="92" t="n">
        <f aca="false">PRODUCT(D93,E93,F93)</f>
        <v>0.03096</v>
      </c>
      <c r="I93" s="91" t="n">
        <v>1</v>
      </c>
      <c r="J93" s="92" t="n">
        <f aca="false">IF(G93&gt;0,G93*I93,H93*I93)</f>
        <v>0.03096</v>
      </c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5" hidden="false" customHeight="false" outlineLevel="0" collapsed="false">
      <c r="A94" s="0"/>
      <c r="B94" s="84"/>
      <c r="C94" s="90" t="s">
        <v>340</v>
      </c>
      <c r="D94" s="91" t="n">
        <v>2.8</v>
      </c>
      <c r="E94" s="91" t="n">
        <v>0.12</v>
      </c>
      <c r="F94" s="91" t="n">
        <v>0.2</v>
      </c>
      <c r="G94" s="92" t="n">
        <v>0</v>
      </c>
      <c r="H94" s="92" t="n">
        <f aca="false">PRODUCT(D94,E94,F94)</f>
        <v>0.0672</v>
      </c>
      <c r="I94" s="91" t="n">
        <v>1</v>
      </c>
      <c r="J94" s="92" t="n">
        <f aca="false">IF(G94&gt;0,G94*I94,H94*I94)</f>
        <v>0.0672</v>
      </c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5" hidden="false" customHeight="false" outlineLevel="0" collapsed="false">
      <c r="A95" s="0"/>
      <c r="B95" s="84"/>
      <c r="C95" s="90" t="s">
        <v>341</v>
      </c>
      <c r="D95" s="91" t="n">
        <v>1</v>
      </c>
      <c r="E95" s="91" t="n">
        <v>0.12</v>
      </c>
      <c r="F95" s="91" t="n">
        <v>0.2</v>
      </c>
      <c r="G95" s="92" t="n">
        <v>0</v>
      </c>
      <c r="H95" s="92" t="n">
        <f aca="false">PRODUCT(D95,E95,F95)</f>
        <v>0.024</v>
      </c>
      <c r="I95" s="91" t="n">
        <v>1</v>
      </c>
      <c r="J95" s="92" t="n">
        <f aca="false">IF(G95&gt;0,G95*I95,H95*I95)</f>
        <v>0.024</v>
      </c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5" hidden="false" customHeight="false" outlineLevel="0" collapsed="false">
      <c r="A96" s="0"/>
      <c r="B96" s="84"/>
      <c r="C96" s="90" t="s">
        <v>342</v>
      </c>
      <c r="D96" s="91" t="n">
        <v>1</v>
      </c>
      <c r="E96" s="91" t="n">
        <v>0.12</v>
      </c>
      <c r="F96" s="91" t="n">
        <v>0.2</v>
      </c>
      <c r="G96" s="92" t="n">
        <v>0</v>
      </c>
      <c r="H96" s="92" t="n">
        <f aca="false">PRODUCT(D96,E96,F96)</f>
        <v>0.024</v>
      </c>
      <c r="I96" s="91" t="n">
        <v>1</v>
      </c>
      <c r="J96" s="92" t="n">
        <f aca="false">IF(G96&gt;0,G96*I96,H96*I96)</f>
        <v>0.024</v>
      </c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5" hidden="false" customHeight="false" outlineLevel="0" collapsed="false">
      <c r="A97" s="0"/>
      <c r="B97" s="84"/>
      <c r="C97" s="90" t="s">
        <v>343</v>
      </c>
      <c r="D97" s="91" t="n">
        <v>2.75</v>
      </c>
      <c r="E97" s="91" t="n">
        <v>0.12</v>
      </c>
      <c r="F97" s="91" t="n">
        <v>0.2</v>
      </c>
      <c r="G97" s="92" t="n">
        <v>0</v>
      </c>
      <c r="H97" s="92" t="n">
        <f aca="false">PRODUCT(D97,E97,F97)</f>
        <v>0.066</v>
      </c>
      <c r="I97" s="91" t="n">
        <v>1</v>
      </c>
      <c r="J97" s="92" t="n">
        <f aca="false">IF(G97&gt;0,G97*I97,H97*I97)</f>
        <v>0.066</v>
      </c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5" hidden="false" customHeight="false" outlineLevel="0" collapsed="false">
      <c r="A98" s="0"/>
      <c r="B98" s="84"/>
      <c r="C98" s="90" t="s">
        <v>344</v>
      </c>
      <c r="D98" s="91" t="n">
        <v>2.75</v>
      </c>
      <c r="E98" s="91" t="n">
        <v>0.12</v>
      </c>
      <c r="F98" s="91" t="n">
        <v>0.2</v>
      </c>
      <c r="G98" s="92" t="n">
        <v>0</v>
      </c>
      <c r="H98" s="92" t="n">
        <f aca="false">PRODUCT(D98,E98,F98)</f>
        <v>0.066</v>
      </c>
      <c r="I98" s="91" t="n">
        <v>1</v>
      </c>
      <c r="J98" s="92" t="n">
        <f aca="false">IF(G98&gt;0,G98*I98,H98*I98)</f>
        <v>0.066</v>
      </c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5" hidden="false" customHeight="false" outlineLevel="0" collapsed="false">
      <c r="A99" s="0"/>
      <c r="B99" s="0"/>
      <c r="C99" s="94"/>
      <c r="D99" s="86"/>
      <c r="E99" s="86"/>
      <c r="F99" s="86"/>
      <c r="G99" s="86"/>
      <c r="H99" s="86"/>
      <c r="I99" s="86"/>
      <c r="J99" s="86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5" hidden="false" customHeight="false" outlineLevel="0" collapsed="false">
      <c r="A100" s="0"/>
      <c r="B100" s="87" t="str">
        <f aca="false">ORÇAMENTO!B38</f>
        <v>4.3</v>
      </c>
      <c r="C100" s="88" t="str">
        <f aca="false">VLOOKUP(B100,ORÇAMENTO!$B$17:$L$122,2,0)</f>
        <v>CONCRETO ARMADO DOSADO 15 MPA - CINTA/VIGA SUPERIOR</v>
      </c>
      <c r="D100" s="88"/>
      <c r="E100" s="88"/>
      <c r="F100" s="88"/>
      <c r="G100" s="88"/>
      <c r="H100" s="88"/>
      <c r="I100" s="88"/>
      <c r="J100" s="89" t="n">
        <f aca="false">SUM(J101:J111)</f>
        <v>0.31896</v>
      </c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15" hidden="false" customHeight="false" outlineLevel="0" collapsed="false">
      <c r="A101" s="0"/>
      <c r="B101" s="84"/>
      <c r="C101" s="90" t="s">
        <v>334</v>
      </c>
      <c r="D101" s="91" t="n">
        <v>2.75</v>
      </c>
      <c r="E101" s="91" t="n">
        <v>0.12</v>
      </c>
      <c r="F101" s="91" t="n">
        <v>0.12</v>
      </c>
      <c r="G101" s="92" t="n">
        <v>0</v>
      </c>
      <c r="H101" s="92" t="n">
        <f aca="false">PRODUCT(D101,E101,F101)</f>
        <v>0.0396</v>
      </c>
      <c r="I101" s="91" t="n">
        <v>1</v>
      </c>
      <c r="J101" s="100" t="n">
        <f aca="false">IF(G101&gt;0,G101*I101,H101*I101)</f>
        <v>0.0396</v>
      </c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15" hidden="false" customHeight="false" outlineLevel="0" collapsed="false">
      <c r="A102" s="0"/>
      <c r="B102" s="84"/>
      <c r="C102" s="90" t="s">
        <v>335</v>
      </c>
      <c r="D102" s="91" t="n">
        <v>1.45</v>
      </c>
      <c r="E102" s="91" t="n">
        <v>0.12</v>
      </c>
      <c r="F102" s="91" t="n">
        <v>0.12</v>
      </c>
      <c r="G102" s="92" t="n">
        <v>0</v>
      </c>
      <c r="H102" s="92" t="n">
        <f aca="false">PRODUCT(D102,E102,F102)</f>
        <v>0.02088</v>
      </c>
      <c r="I102" s="91" t="n">
        <v>1</v>
      </c>
      <c r="J102" s="92" t="n">
        <f aca="false">IF(G102&gt;0,G102*I102,H102*I102)</f>
        <v>0.02088</v>
      </c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5" hidden="false" customHeight="false" outlineLevel="0" collapsed="false">
      <c r="A103" s="0"/>
      <c r="B103" s="84"/>
      <c r="C103" s="90" t="s">
        <v>336</v>
      </c>
      <c r="D103" s="91" t="n">
        <v>3.7</v>
      </c>
      <c r="E103" s="91" t="n">
        <v>0.12</v>
      </c>
      <c r="F103" s="91" t="n">
        <v>0.12</v>
      </c>
      <c r="G103" s="92" t="n">
        <v>0</v>
      </c>
      <c r="H103" s="92" t="n">
        <f aca="false">PRODUCT(D103,E103,F103)</f>
        <v>0.05328</v>
      </c>
      <c r="I103" s="91" t="n">
        <v>1</v>
      </c>
      <c r="J103" s="92" t="n">
        <f aca="false">IF(G103&gt;0,G103*I103,H103*I103)</f>
        <v>0.05328</v>
      </c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customFormat="false" ht="15" hidden="false" customHeight="false" outlineLevel="0" collapsed="false">
      <c r="A104" s="0"/>
      <c r="B104" s="84"/>
      <c r="C104" s="90" t="s">
        <v>337</v>
      </c>
      <c r="D104" s="91" t="n">
        <v>0.9</v>
      </c>
      <c r="E104" s="91" t="n">
        <v>0.12</v>
      </c>
      <c r="F104" s="91" t="n">
        <v>0.12</v>
      </c>
      <c r="G104" s="92" t="n">
        <v>0</v>
      </c>
      <c r="H104" s="92" t="n">
        <f aca="false">PRODUCT(D104,E104,F104)</f>
        <v>0.01296</v>
      </c>
      <c r="I104" s="91" t="n">
        <v>1</v>
      </c>
      <c r="J104" s="92" t="n">
        <f aca="false">IF(G104&gt;0,G104*I104,H104*I104)</f>
        <v>0.01296</v>
      </c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customFormat="false" ht="15" hidden="false" customHeight="false" outlineLevel="0" collapsed="false">
      <c r="A105" s="0"/>
      <c r="B105" s="84"/>
      <c r="C105" s="90" t="s">
        <v>338</v>
      </c>
      <c r="D105" s="91" t="n">
        <v>0.9</v>
      </c>
      <c r="E105" s="91" t="n">
        <v>0.12</v>
      </c>
      <c r="F105" s="91" t="n">
        <v>0.12</v>
      </c>
      <c r="G105" s="92" t="n">
        <v>0</v>
      </c>
      <c r="H105" s="92" t="n">
        <f aca="false">PRODUCT(D105,E105,F105)</f>
        <v>0.01296</v>
      </c>
      <c r="I105" s="91" t="n">
        <v>1</v>
      </c>
      <c r="J105" s="92" t="n">
        <f aca="false">IF(G105&gt;0,G105*I105,H105*I105)</f>
        <v>0.01296</v>
      </c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customFormat="false" ht="15" hidden="false" customHeight="false" outlineLevel="0" collapsed="false">
      <c r="A106" s="0"/>
      <c r="B106" s="84"/>
      <c r="C106" s="90" t="s">
        <v>339</v>
      </c>
      <c r="D106" s="91" t="n">
        <v>2.15</v>
      </c>
      <c r="E106" s="91" t="n">
        <v>0.12</v>
      </c>
      <c r="F106" s="91" t="n">
        <v>0.12</v>
      </c>
      <c r="G106" s="92" t="n">
        <v>0</v>
      </c>
      <c r="H106" s="92" t="n">
        <f aca="false">PRODUCT(D106,E106,F106)</f>
        <v>0.03096</v>
      </c>
      <c r="I106" s="91" t="n">
        <v>1</v>
      </c>
      <c r="J106" s="92" t="n">
        <f aca="false">IF(G106&gt;0,G106*I106,H106*I106)</f>
        <v>0.03096</v>
      </c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15" hidden="false" customHeight="false" outlineLevel="0" collapsed="false">
      <c r="A107" s="0"/>
      <c r="B107" s="84"/>
      <c r="C107" s="90" t="s">
        <v>340</v>
      </c>
      <c r="D107" s="91" t="n">
        <v>2.8</v>
      </c>
      <c r="E107" s="91" t="n">
        <v>0.12</v>
      </c>
      <c r="F107" s="91" t="n">
        <v>0.12</v>
      </c>
      <c r="G107" s="92" t="n">
        <v>0</v>
      </c>
      <c r="H107" s="92" t="n">
        <f aca="false">PRODUCT(D107,E107,F107)</f>
        <v>0.04032</v>
      </c>
      <c r="I107" s="91" t="n">
        <v>1</v>
      </c>
      <c r="J107" s="92" t="n">
        <f aca="false">IF(G107&gt;0,G107*I107,H107*I107)</f>
        <v>0.04032</v>
      </c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15" hidden="false" customHeight="false" outlineLevel="0" collapsed="false">
      <c r="A108" s="0"/>
      <c r="B108" s="84"/>
      <c r="C108" s="90" t="s">
        <v>341</v>
      </c>
      <c r="D108" s="91" t="n">
        <v>1</v>
      </c>
      <c r="E108" s="91" t="n">
        <v>0.12</v>
      </c>
      <c r="F108" s="91" t="n">
        <v>0.12</v>
      </c>
      <c r="G108" s="92" t="n">
        <v>0</v>
      </c>
      <c r="H108" s="92" t="n">
        <f aca="false">PRODUCT(D108,E108,F108)</f>
        <v>0.0144</v>
      </c>
      <c r="I108" s="91" t="n">
        <v>1</v>
      </c>
      <c r="J108" s="92" t="n">
        <f aca="false">IF(G108&gt;0,G108*I108,H108*I108)</f>
        <v>0.0144</v>
      </c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15" hidden="false" customHeight="false" outlineLevel="0" collapsed="false">
      <c r="A109" s="0"/>
      <c r="B109" s="84"/>
      <c r="C109" s="90" t="s">
        <v>342</v>
      </c>
      <c r="D109" s="91" t="n">
        <v>1</v>
      </c>
      <c r="E109" s="91" t="n">
        <v>0.12</v>
      </c>
      <c r="F109" s="91" t="n">
        <v>0.12</v>
      </c>
      <c r="G109" s="92" t="n">
        <v>0</v>
      </c>
      <c r="H109" s="92" t="n">
        <f aca="false">PRODUCT(D109,E109,F109)</f>
        <v>0.0144</v>
      </c>
      <c r="I109" s="91" t="n">
        <v>1</v>
      </c>
      <c r="J109" s="92" t="n">
        <f aca="false">IF(G109&gt;0,G109*I109,H109*I109)</f>
        <v>0.0144</v>
      </c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15" hidden="false" customHeight="false" outlineLevel="0" collapsed="false">
      <c r="A110" s="0"/>
      <c r="B110" s="84"/>
      <c r="C110" s="90" t="s">
        <v>343</v>
      </c>
      <c r="D110" s="91" t="n">
        <v>2.75</v>
      </c>
      <c r="E110" s="91" t="n">
        <v>0.12</v>
      </c>
      <c r="F110" s="91" t="n">
        <v>0.12</v>
      </c>
      <c r="G110" s="92" t="n">
        <v>0</v>
      </c>
      <c r="H110" s="92" t="n">
        <f aca="false">PRODUCT(D110,E110,F110)</f>
        <v>0.0396</v>
      </c>
      <c r="I110" s="91" t="n">
        <v>1</v>
      </c>
      <c r="J110" s="92" t="n">
        <f aca="false">IF(G110&gt;0,G110*I110,H110*I110)</f>
        <v>0.0396</v>
      </c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5" hidden="false" customHeight="false" outlineLevel="0" collapsed="false">
      <c r="A111" s="0"/>
      <c r="B111" s="84"/>
      <c r="C111" s="90" t="s">
        <v>344</v>
      </c>
      <c r="D111" s="91" t="n">
        <v>2.75</v>
      </c>
      <c r="E111" s="91" t="n">
        <v>0.12</v>
      </c>
      <c r="F111" s="91" t="n">
        <v>0.12</v>
      </c>
      <c r="G111" s="92" t="n">
        <v>0</v>
      </c>
      <c r="H111" s="92" t="n">
        <f aca="false">PRODUCT(D111,E111,F111)</f>
        <v>0.0396</v>
      </c>
      <c r="I111" s="91" t="n">
        <v>1</v>
      </c>
      <c r="J111" s="92" t="n">
        <f aca="false">IF(G111&gt;0,G111*I111,H111*I111)</f>
        <v>0.0396</v>
      </c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5" hidden="false" customHeight="false" outlineLevel="0" collapsed="false">
      <c r="A112" s="0"/>
      <c r="B112" s="0"/>
      <c r="C112" s="94"/>
      <c r="D112" s="86"/>
      <c r="E112" s="86"/>
      <c r="F112" s="86"/>
      <c r="G112" s="86"/>
      <c r="H112" s="86"/>
      <c r="I112" s="86"/>
      <c r="J112" s="86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5" hidden="false" customHeight="false" outlineLevel="0" collapsed="false">
      <c r="A113" s="0"/>
      <c r="B113" s="87" t="str">
        <f aca="false">ORÇAMENTO!B39</f>
        <v>4.4</v>
      </c>
      <c r="C113" s="88" t="str">
        <f aca="false">VLOOKUP(B113,ORÇAMENTO!$B$17:$L$122,2,0)</f>
        <v>LAJE PRE-MOLDADA P/FORRO, SOBRECARGA 100KG/M2, VAOS ATE 3,50M/E=8CM, C/LAJOTAS E CAP.C/CONC FCK=20MPA, 3CM, INTER-EIXO 38CM, C/ESCORAMENTO (REAPR.3X) E FERRAGEM NEGATIVA</v>
      </c>
      <c r="D113" s="88"/>
      <c r="E113" s="88"/>
      <c r="F113" s="88"/>
      <c r="G113" s="88"/>
      <c r="H113" s="88"/>
      <c r="I113" s="88"/>
      <c r="J113" s="89" t="n">
        <f aca="false">SUM(J114:J114)</f>
        <v>7.7</v>
      </c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5" hidden="false" customHeight="false" outlineLevel="0" collapsed="false">
      <c r="A114" s="0"/>
      <c r="B114" s="84"/>
      <c r="C114" s="90" t="s">
        <v>345</v>
      </c>
      <c r="D114" s="91" t="s">
        <v>18</v>
      </c>
      <c r="E114" s="91" t="s">
        <v>18</v>
      </c>
      <c r="F114" s="91" t="s">
        <v>18</v>
      </c>
      <c r="G114" s="91" t="n">
        <v>7.7</v>
      </c>
      <c r="H114" s="91" t="n">
        <f aca="false">PRODUCT(D114,E114,F114)</f>
        <v>0</v>
      </c>
      <c r="I114" s="91" t="n">
        <v>1</v>
      </c>
      <c r="J114" s="100" t="n">
        <f aca="false">IF(G114&gt;0,G114*I114,H114*I114)</f>
        <v>7.7</v>
      </c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5" hidden="false" customHeight="false" outlineLevel="0" collapsed="false">
      <c r="A115" s="0"/>
      <c r="B115" s="93"/>
      <c r="C115" s="97"/>
      <c r="D115" s="97"/>
      <c r="E115" s="97"/>
      <c r="F115" s="97"/>
      <c r="G115" s="97"/>
      <c r="H115" s="97"/>
      <c r="I115" s="97"/>
      <c r="J115" s="98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15" hidden="false" customHeight="false" outlineLevel="0" collapsed="false">
      <c r="A116" s="0"/>
      <c r="B116" s="87" t="str">
        <f aca="false">ORÇAMENTO!B40</f>
        <v>4.5</v>
      </c>
      <c r="C116" s="88" t="str">
        <f aca="false">VLOOKUP(B116,ORÇAMENTO!$B$17:$L$122,2,0)</f>
        <v>CONCRETO ARMADO DOSADO 15 MPA PARA VERGAS E CONTRAVERGAS MOLDADO IN LOCO</v>
      </c>
      <c r="D116" s="88"/>
      <c r="E116" s="88"/>
      <c r="F116" s="88"/>
      <c r="G116" s="88"/>
      <c r="H116" s="88"/>
      <c r="I116" s="88"/>
      <c r="J116" s="89" t="n">
        <f aca="false">SUM(J117:J120)</f>
        <v>0.101</v>
      </c>
      <c r="K116" s="0"/>
      <c r="L116" s="101" t="n">
        <v>0.6</v>
      </c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15" hidden="false" customHeight="false" outlineLevel="0" collapsed="false">
      <c r="A117" s="0"/>
      <c r="B117" s="102"/>
      <c r="C117" s="90" t="s">
        <v>351</v>
      </c>
      <c r="D117" s="91" t="n">
        <v>0.9</v>
      </c>
      <c r="E117" s="91" t="n">
        <v>0.1</v>
      </c>
      <c r="F117" s="91" t="n">
        <v>0.1</v>
      </c>
      <c r="G117" s="92" t="n">
        <v>0</v>
      </c>
      <c r="H117" s="92" t="n">
        <f aca="false">PRODUCT((D117+$L$116),E117,F117)</f>
        <v>0.015</v>
      </c>
      <c r="I117" s="91" t="n">
        <v>1</v>
      </c>
      <c r="J117" s="100" t="n">
        <f aca="false">IF(G117&gt;0,G117*I117,H117*I117)</f>
        <v>0.015</v>
      </c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5" hidden="false" customHeight="false" outlineLevel="0" collapsed="false">
      <c r="A118" s="0"/>
      <c r="B118" s="102"/>
      <c r="C118" s="90" t="s">
        <v>352</v>
      </c>
      <c r="D118" s="91" t="n">
        <v>1.2</v>
      </c>
      <c r="E118" s="91" t="n">
        <v>0.1</v>
      </c>
      <c r="F118" s="91" t="n">
        <v>0.1</v>
      </c>
      <c r="G118" s="92" t="n">
        <v>0</v>
      </c>
      <c r="H118" s="92" t="n">
        <f aca="false">PRODUCT((D118+$L$116),E118,F118)</f>
        <v>0.018</v>
      </c>
      <c r="I118" s="91" t="n">
        <v>3</v>
      </c>
      <c r="J118" s="100" t="n">
        <f aca="false">IF(G118&gt;0,G118*I118,H118*I118)</f>
        <v>0.054</v>
      </c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15" hidden="false" customHeight="false" outlineLevel="0" collapsed="false">
      <c r="A119" s="0"/>
      <c r="B119" s="102"/>
      <c r="C119" s="90" t="s">
        <v>353</v>
      </c>
      <c r="D119" s="91" t="n">
        <v>0.8</v>
      </c>
      <c r="E119" s="91" t="n">
        <v>0.1</v>
      </c>
      <c r="F119" s="91" t="n">
        <v>0.1</v>
      </c>
      <c r="G119" s="92" t="n">
        <v>0</v>
      </c>
      <c r="H119" s="92" t="n">
        <f aca="false">PRODUCT((D119+$L$116),E119,F119)</f>
        <v>0.014</v>
      </c>
      <c r="I119" s="91" t="n">
        <v>1</v>
      </c>
      <c r="J119" s="100" t="n">
        <f aca="false">IF(G119&gt;0,G119*I119,H119*I119)</f>
        <v>0.014</v>
      </c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5" hidden="false" customHeight="false" outlineLevel="0" collapsed="false">
      <c r="A120" s="0"/>
      <c r="B120" s="102"/>
      <c r="C120" s="90" t="s">
        <v>354</v>
      </c>
      <c r="D120" s="91" t="n">
        <v>1.2</v>
      </c>
      <c r="E120" s="91" t="n">
        <v>0.1</v>
      </c>
      <c r="F120" s="91" t="n">
        <v>0.1</v>
      </c>
      <c r="G120" s="92" t="n">
        <v>0</v>
      </c>
      <c r="H120" s="92" t="n">
        <f aca="false">PRODUCT((D120+$L$116),E120,F120)</f>
        <v>0.018</v>
      </c>
      <c r="I120" s="91" t="n">
        <v>1</v>
      </c>
      <c r="J120" s="100" t="n">
        <f aca="false">IF(G120&gt;0,G120*I120,H120*I120)</f>
        <v>0.018</v>
      </c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5" hidden="false" customHeight="false" outlineLevel="0" collapsed="false">
      <c r="A121" s="0"/>
      <c r="B121" s="93"/>
      <c r="C121" s="97"/>
      <c r="D121" s="97"/>
      <c r="E121" s="97"/>
      <c r="F121" s="97"/>
      <c r="G121" s="97"/>
      <c r="H121" s="97"/>
      <c r="I121" s="97"/>
      <c r="J121" s="98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15" hidden="false" customHeight="false" outlineLevel="0" collapsed="false">
      <c r="A122" s="0"/>
      <c r="B122" s="31" t="str">
        <f aca="false">ORÇAMENTO!C42</f>
        <v>PAREDES E PAINÉIS (URBANIZAÇÃO)</v>
      </c>
      <c r="C122" s="31" t="str">
        <f aca="false">[1]'ORÇAMENTO CONSTRUÇÃO'!C69</f>
        <v>OUTRAS INSTALAÇÕES</v>
      </c>
      <c r="D122" s="31"/>
      <c r="E122" s="31"/>
      <c r="F122" s="31"/>
      <c r="G122" s="31"/>
      <c r="H122" s="31"/>
      <c r="I122" s="31"/>
      <c r="J122" s="31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15" hidden="false" customHeight="false" outlineLevel="0" collapsed="false">
      <c r="A123" s="0"/>
      <c r="B123" s="99"/>
      <c r="C123" s="99"/>
      <c r="D123" s="93"/>
      <c r="E123" s="93"/>
      <c r="F123" s="93"/>
      <c r="G123" s="93"/>
      <c r="H123" s="93"/>
      <c r="I123" s="93"/>
      <c r="J123" s="93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15" hidden="false" customHeight="false" outlineLevel="0" collapsed="false">
      <c r="A124" s="0"/>
      <c r="B124" s="87" t="str">
        <f aca="false">ORÇAMENTO!B43</f>
        <v>5.1</v>
      </c>
      <c r="C124" s="88" t="str">
        <f aca="false">VLOOKUP(B124,ORÇAMENTO!$B$17:$L$122,2,0)</f>
        <v>ALVENARIA DE VEDAÇÃO DE BLOCOS CERÂMICOS FURADOS NA HORIZONTAL DE 9X14X19CM, ESP. 9CM</v>
      </c>
      <c r="D124" s="88"/>
      <c r="E124" s="88"/>
      <c r="F124" s="88"/>
      <c r="G124" s="88"/>
      <c r="H124" s="88"/>
      <c r="I124" s="88"/>
      <c r="J124" s="89" t="n">
        <f aca="false">SUM(J125:J135)</f>
        <v>86.26</v>
      </c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customFormat="false" ht="15" hidden="false" customHeight="false" outlineLevel="0" collapsed="false">
      <c r="A125" s="0"/>
      <c r="B125" s="84"/>
      <c r="C125" s="90" t="s">
        <v>334</v>
      </c>
      <c r="D125" s="91" t="n">
        <v>3.25</v>
      </c>
      <c r="E125" s="91" t="s">
        <v>18</v>
      </c>
      <c r="F125" s="91" t="n">
        <v>2.8</v>
      </c>
      <c r="G125" s="92" t="n">
        <f aca="false">PRODUCT(D125,E125,F125)</f>
        <v>9.1</v>
      </c>
      <c r="H125" s="92" t="n">
        <v>0</v>
      </c>
      <c r="I125" s="91" t="n">
        <v>1</v>
      </c>
      <c r="J125" s="92" t="n">
        <f aca="false">IF(G125&gt;0,G125*I125,H125*I125)</f>
        <v>9.1</v>
      </c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75" customFormat="true" ht="15" hidden="false" customHeight="false" outlineLevel="0" collapsed="false">
      <c r="B126" s="84"/>
      <c r="C126" s="90" t="s">
        <v>335</v>
      </c>
      <c r="D126" s="91" t="n">
        <v>2.9</v>
      </c>
      <c r="E126" s="91" t="s">
        <v>18</v>
      </c>
      <c r="F126" s="91" t="n">
        <v>2.8</v>
      </c>
      <c r="G126" s="92" t="n">
        <f aca="false">PRODUCT(D126,E126,F126)</f>
        <v>8.12</v>
      </c>
      <c r="H126" s="92" t="n">
        <v>0</v>
      </c>
      <c r="I126" s="91" t="n">
        <v>1</v>
      </c>
      <c r="J126" s="100" t="n">
        <f aca="false">IF(G126&gt;0,G126*I126,H126*I126)</f>
        <v>8.12</v>
      </c>
    </row>
    <row r="127" s="75" customFormat="true" ht="15" hidden="false" customHeight="false" outlineLevel="0" collapsed="false">
      <c r="B127" s="84"/>
      <c r="C127" s="90" t="s">
        <v>336</v>
      </c>
      <c r="D127" s="91" t="n">
        <v>2.65</v>
      </c>
      <c r="E127" s="91"/>
      <c r="F127" s="91" t="n">
        <v>2.8</v>
      </c>
      <c r="G127" s="92" t="n">
        <f aca="false">PRODUCT(D127,E127,F127)</f>
        <v>7.42</v>
      </c>
      <c r="H127" s="92" t="n">
        <v>0</v>
      </c>
      <c r="I127" s="91" t="n">
        <v>1</v>
      </c>
      <c r="J127" s="92" t="n">
        <f aca="false">IF(G127&gt;0,G127*I127,H127*I127)</f>
        <v>7.42</v>
      </c>
    </row>
    <row r="128" s="75" customFormat="true" ht="15" hidden="false" customHeight="false" outlineLevel="0" collapsed="false">
      <c r="B128" s="84"/>
      <c r="C128" s="90" t="s">
        <v>337</v>
      </c>
      <c r="D128" s="91" t="n">
        <v>1.6</v>
      </c>
      <c r="E128" s="91" t="s">
        <v>18</v>
      </c>
      <c r="F128" s="91" t="n">
        <v>2.8</v>
      </c>
      <c r="G128" s="92" t="n">
        <f aca="false">PRODUCT(D128,E128,F128)</f>
        <v>4.48</v>
      </c>
      <c r="H128" s="92" t="n">
        <v>0</v>
      </c>
      <c r="I128" s="91" t="n">
        <v>1</v>
      </c>
      <c r="J128" s="92" t="n">
        <f aca="false">IF(G128&gt;0,G128*I128,H128*I128)</f>
        <v>4.48</v>
      </c>
    </row>
    <row r="129" s="75" customFormat="true" ht="15" hidden="false" customHeight="false" outlineLevel="0" collapsed="false">
      <c r="B129" s="84"/>
      <c r="C129" s="90" t="s">
        <v>338</v>
      </c>
      <c r="D129" s="91" t="n">
        <v>2.9</v>
      </c>
      <c r="E129" s="91" t="s">
        <v>18</v>
      </c>
      <c r="F129" s="91" t="n">
        <v>2.8</v>
      </c>
      <c r="G129" s="92" t="n">
        <f aca="false">PRODUCT(D129,E129,F129)</f>
        <v>8.12</v>
      </c>
      <c r="H129" s="92" t="n">
        <v>0</v>
      </c>
      <c r="I129" s="91" t="n">
        <v>1</v>
      </c>
      <c r="J129" s="100" t="n">
        <f aca="false">IF(G129&gt;0,G129*I129,H129*I129)</f>
        <v>8.12</v>
      </c>
    </row>
    <row r="130" s="75" customFormat="true" ht="15" hidden="false" customHeight="false" outlineLevel="0" collapsed="false">
      <c r="B130" s="84"/>
      <c r="C130" s="90" t="s">
        <v>339</v>
      </c>
      <c r="D130" s="91" t="n">
        <v>2.65</v>
      </c>
      <c r="E130" s="91"/>
      <c r="F130" s="91" t="n">
        <v>2.8</v>
      </c>
      <c r="G130" s="92" t="n">
        <f aca="false">PRODUCT(D130,E130,F130)</f>
        <v>7.42</v>
      </c>
      <c r="H130" s="92" t="n">
        <v>0</v>
      </c>
      <c r="I130" s="91" t="n">
        <v>1</v>
      </c>
      <c r="J130" s="92" t="n">
        <f aca="false">IF(G130&gt;0,G130*I130,H130*I130)</f>
        <v>7.42</v>
      </c>
    </row>
    <row r="131" s="75" customFormat="true" ht="15" hidden="false" customHeight="false" outlineLevel="0" collapsed="false">
      <c r="B131" s="84"/>
      <c r="C131" s="90" t="s">
        <v>340</v>
      </c>
      <c r="D131" s="91" t="n">
        <v>1.6</v>
      </c>
      <c r="E131" s="91" t="s">
        <v>18</v>
      </c>
      <c r="F131" s="91" t="n">
        <v>5</v>
      </c>
      <c r="G131" s="92" t="n">
        <f aca="false">PRODUCT(D131,E131,F131)</f>
        <v>8</v>
      </c>
      <c r="H131" s="92" t="n">
        <v>0</v>
      </c>
      <c r="I131" s="91" t="n">
        <v>1</v>
      </c>
      <c r="J131" s="92" t="n">
        <f aca="false">IF(G131&gt;0,G131*I131,H131*I131)</f>
        <v>8</v>
      </c>
    </row>
    <row r="132" s="75" customFormat="true" ht="15" hidden="false" customHeight="false" outlineLevel="0" collapsed="false">
      <c r="B132" s="84"/>
      <c r="C132" s="90" t="s">
        <v>341</v>
      </c>
      <c r="D132" s="91" t="n">
        <v>2.9</v>
      </c>
      <c r="E132" s="91" t="s">
        <v>18</v>
      </c>
      <c r="F132" s="91" t="n">
        <v>2</v>
      </c>
      <c r="G132" s="92" t="n">
        <f aca="false">PRODUCT(D132,E132,F132)</f>
        <v>5.8</v>
      </c>
      <c r="H132" s="92" t="n">
        <v>0</v>
      </c>
      <c r="I132" s="91" t="n">
        <v>1</v>
      </c>
      <c r="J132" s="100" t="n">
        <f aca="false">IF(G132&gt;0,G132*I132,H132*I132)</f>
        <v>5.8</v>
      </c>
    </row>
    <row r="133" s="75" customFormat="true" ht="15" hidden="false" customHeight="false" outlineLevel="0" collapsed="false">
      <c r="B133" s="84"/>
      <c r="C133" s="90" t="s">
        <v>342</v>
      </c>
      <c r="D133" s="91" t="n">
        <v>2.65</v>
      </c>
      <c r="E133" s="91"/>
      <c r="F133" s="91" t="n">
        <v>2</v>
      </c>
      <c r="G133" s="92" t="n">
        <f aca="false">PRODUCT(D133,E133,F133)</f>
        <v>5.3</v>
      </c>
      <c r="H133" s="92" t="n">
        <v>0</v>
      </c>
      <c r="I133" s="91" t="n">
        <v>1</v>
      </c>
      <c r="J133" s="92" t="n">
        <f aca="false">IF(G133&gt;0,G133*I133,H133*I133)</f>
        <v>5.3</v>
      </c>
    </row>
    <row r="134" s="75" customFormat="true" ht="15" hidden="false" customHeight="false" outlineLevel="0" collapsed="false">
      <c r="B134" s="84"/>
      <c r="C134" s="90" t="s">
        <v>343</v>
      </c>
      <c r="D134" s="91" t="n">
        <v>1.6</v>
      </c>
      <c r="E134" s="91" t="s">
        <v>18</v>
      </c>
      <c r="F134" s="91" t="n">
        <v>5</v>
      </c>
      <c r="G134" s="92" t="n">
        <f aca="false">PRODUCT(D134,E134,F134)</f>
        <v>8</v>
      </c>
      <c r="H134" s="92" t="n">
        <v>0</v>
      </c>
      <c r="I134" s="91" t="n">
        <v>1</v>
      </c>
      <c r="J134" s="92" t="n">
        <f aca="false">IF(G134&gt;0,G134*I134,H134*I134)</f>
        <v>8</v>
      </c>
    </row>
    <row r="135" s="75" customFormat="true" ht="15" hidden="false" customHeight="false" outlineLevel="0" collapsed="false">
      <c r="B135" s="84"/>
      <c r="C135" s="90" t="s">
        <v>344</v>
      </c>
      <c r="D135" s="91" t="n">
        <v>2.9</v>
      </c>
      <c r="E135" s="91" t="s">
        <v>18</v>
      </c>
      <c r="F135" s="91" t="n">
        <v>5</v>
      </c>
      <c r="G135" s="92" t="n">
        <f aca="false">PRODUCT(D135,E135,F135)</f>
        <v>14.5</v>
      </c>
      <c r="H135" s="92" t="n">
        <v>0</v>
      </c>
      <c r="I135" s="91" t="n">
        <v>1</v>
      </c>
      <c r="J135" s="100" t="n">
        <f aca="false">IF(G135&gt;0,G135*I135,H135*I135)</f>
        <v>14.5</v>
      </c>
    </row>
    <row r="136" s="75" customFormat="true" ht="15" hidden="false" customHeight="false" outlineLevel="0" collapsed="false">
      <c r="B136" s="93"/>
      <c r="C136" s="94"/>
      <c r="D136" s="86"/>
      <c r="E136" s="86"/>
      <c r="F136" s="86"/>
      <c r="G136" s="86"/>
      <c r="H136" s="86"/>
      <c r="I136" s="86"/>
      <c r="J136" s="86"/>
    </row>
    <row r="137" s="75" customFormat="true" ht="15" hidden="false" customHeight="false" outlineLevel="0" collapsed="false">
      <c r="B137" s="31" t="str">
        <f aca="false">ORÇAMENTO!C45</f>
        <v>COBERTURA (URBANIZAÇÃO)</v>
      </c>
      <c r="C137" s="31" t="n">
        <f aca="false">[1]'ORÇAMENTO CONSTRUÇÃO'!C85</f>
        <v>0</v>
      </c>
      <c r="D137" s="31"/>
      <c r="E137" s="31"/>
      <c r="F137" s="31"/>
      <c r="G137" s="31"/>
      <c r="H137" s="31"/>
      <c r="I137" s="31"/>
      <c r="J137" s="31"/>
    </row>
    <row r="138" s="75" customFormat="true" ht="15" hidden="false" customHeight="false" outlineLevel="0" collapsed="false">
      <c r="B138" s="99"/>
      <c r="C138" s="99"/>
      <c r="D138" s="93"/>
      <c r="E138" s="93"/>
      <c r="F138" s="93"/>
      <c r="G138" s="93"/>
      <c r="H138" s="93"/>
      <c r="I138" s="93"/>
      <c r="J138" s="93"/>
    </row>
    <row r="139" s="75" customFormat="true" ht="15" hidden="false" customHeight="false" outlineLevel="0" collapsed="false">
      <c r="B139" s="87" t="str">
        <f aca="false">ORÇAMENTO!B46</f>
        <v>6.1</v>
      </c>
      <c r="C139" s="88" t="str">
        <f aca="false">VLOOKUP(B139,ORÇAMENTO!$B$17:$L$122,2,0)</f>
        <v>ESTRUTURA METALICA EM TESOURAS OU TRELICAS, VAO LIVRE DE 12M, FORNECIMENTO E MONTAGEM, NAO SENDO CONSIDERADOS OS FECHAMENTOS METALICOS, AS COLUNAS, OS SERVICOS GERAIS EM ALVENARIA E CONCRETO, AS TELHAS DE COBERTURA E A PINTURA DE ACABAMENTO</v>
      </c>
      <c r="D139" s="88"/>
      <c r="E139" s="88"/>
      <c r="F139" s="88"/>
      <c r="G139" s="88"/>
      <c r="H139" s="88"/>
      <c r="I139" s="88"/>
      <c r="J139" s="89" t="n">
        <f aca="false">SUM(J140:J140)</f>
        <v>34.44</v>
      </c>
    </row>
    <row r="140" s="75" customFormat="true" ht="15" hidden="false" customHeight="false" outlineLevel="0" collapsed="false">
      <c r="B140" s="84"/>
      <c r="C140" s="90" t="s">
        <v>355</v>
      </c>
      <c r="D140" s="91" t="n">
        <v>12.3</v>
      </c>
      <c r="E140" s="91" t="n">
        <v>2.8</v>
      </c>
      <c r="F140" s="91" t="s">
        <v>18</v>
      </c>
      <c r="G140" s="92" t="n">
        <f aca="false">PRODUCT(D140,E140,F140)</f>
        <v>34.44</v>
      </c>
      <c r="H140" s="92" t="n">
        <v>0</v>
      </c>
      <c r="I140" s="91" t="n">
        <v>1</v>
      </c>
      <c r="J140" s="92" t="n">
        <f aca="false">IF(G140&gt;0,G140*I140,H140*I140)</f>
        <v>34.44</v>
      </c>
    </row>
    <row r="141" s="75" customFormat="true" ht="15" hidden="false" customHeight="false" outlineLevel="0" collapsed="false">
      <c r="B141" s="93"/>
      <c r="C141" s="94"/>
      <c r="D141" s="86"/>
      <c r="E141" s="86"/>
      <c r="F141" s="86"/>
      <c r="G141" s="86"/>
      <c r="H141" s="86"/>
      <c r="I141" s="86"/>
      <c r="J141" s="86"/>
    </row>
    <row r="142" s="75" customFormat="true" ht="15" hidden="false" customHeight="false" outlineLevel="0" collapsed="false">
      <c r="B142" s="87" t="str">
        <f aca="false">ORÇAMENTO!B47</f>
        <v>6.2</v>
      </c>
      <c r="C142" s="88" t="str">
        <f aca="false">VLOOKUP(B142,ORÇAMENTO!$B$17:$L$122,2,0)</f>
        <v>ESTRUTURA EM MADEIRA APARELHADA, PARA TELHA ONDULADA DE FIBROCIMENTO, ALUMINIO OU PLASTICA, APOIADA EM LAJE OU PAREDE</v>
      </c>
      <c r="D142" s="88"/>
      <c r="E142" s="88"/>
      <c r="F142" s="88"/>
      <c r="G142" s="88"/>
      <c r="H142" s="88"/>
      <c r="I142" s="88"/>
      <c r="J142" s="89" t="n">
        <f aca="false">SUM(J143:J143)</f>
        <v>6.3</v>
      </c>
    </row>
    <row r="143" s="75" customFormat="true" ht="15" hidden="false" customHeight="false" outlineLevel="0" collapsed="false">
      <c r="B143" s="84"/>
      <c r="C143" s="90" t="s">
        <v>345</v>
      </c>
      <c r="D143" s="91" t="n">
        <v>3.5</v>
      </c>
      <c r="E143" s="91" t="n">
        <v>1.8</v>
      </c>
      <c r="F143" s="91" t="s">
        <v>18</v>
      </c>
      <c r="G143" s="92" t="n">
        <f aca="false">PRODUCT(D143,E143,F143)</f>
        <v>6.3</v>
      </c>
      <c r="H143" s="92" t="n">
        <v>0</v>
      </c>
      <c r="I143" s="91" t="n">
        <v>1</v>
      </c>
      <c r="J143" s="92" t="n">
        <f aca="false">IF(G143&gt;0,G143*I143,H143*I143)</f>
        <v>6.3</v>
      </c>
    </row>
    <row r="144" s="75" customFormat="true" ht="15" hidden="false" customHeight="false" outlineLevel="0" collapsed="false">
      <c r="B144" s="93"/>
      <c r="C144" s="94"/>
      <c r="D144" s="86"/>
      <c r="E144" s="86"/>
      <c r="F144" s="86"/>
      <c r="G144" s="86"/>
      <c r="H144" s="86"/>
      <c r="I144" s="86"/>
      <c r="J144" s="86"/>
    </row>
    <row r="145" s="75" customFormat="true" ht="15" hidden="false" customHeight="false" outlineLevel="0" collapsed="false">
      <c r="B145" s="87" t="str">
        <f aca="false">ORÇAMENTO!B48</f>
        <v>6.3</v>
      </c>
      <c r="C145" s="88" t="str">
        <f aca="false">VLOOKUP(B145,ORÇAMENTO!$B$17:$L$122,2,0)</f>
        <v>TELHA TERMOACÚSTICA TRAPEZOIDAL </v>
      </c>
      <c r="D145" s="88"/>
      <c r="E145" s="88"/>
      <c r="F145" s="88"/>
      <c r="G145" s="88"/>
      <c r="H145" s="88"/>
      <c r="I145" s="88"/>
      <c r="J145" s="89" t="n">
        <f aca="false">SUM(J146:J147)</f>
        <v>40.74</v>
      </c>
    </row>
    <row r="146" s="75" customFormat="true" ht="15" hidden="false" customHeight="false" outlineLevel="0" collapsed="false">
      <c r="B146" s="84"/>
      <c r="C146" s="90" t="s">
        <v>355</v>
      </c>
      <c r="D146" s="91" t="n">
        <v>12.3</v>
      </c>
      <c r="E146" s="91" t="n">
        <v>2.8</v>
      </c>
      <c r="F146" s="91" t="s">
        <v>18</v>
      </c>
      <c r="G146" s="92" t="n">
        <f aca="false">PRODUCT(D146,E146,F146)</f>
        <v>34.44</v>
      </c>
      <c r="H146" s="92" t="n">
        <v>0</v>
      </c>
      <c r="I146" s="91" t="n">
        <v>1</v>
      </c>
      <c r="J146" s="92" t="n">
        <f aca="false">IF(G146&gt;0,G146*I146,H146*I146)</f>
        <v>34.44</v>
      </c>
    </row>
    <row r="147" s="75" customFormat="true" ht="15" hidden="false" customHeight="false" outlineLevel="0" collapsed="false">
      <c r="B147" s="84"/>
      <c r="C147" s="90" t="s">
        <v>345</v>
      </c>
      <c r="D147" s="91" t="n">
        <v>3.5</v>
      </c>
      <c r="E147" s="91" t="n">
        <v>1.8</v>
      </c>
      <c r="F147" s="91" t="s">
        <v>18</v>
      </c>
      <c r="G147" s="92" t="n">
        <f aca="false">PRODUCT(D147,E147,F147)</f>
        <v>6.3</v>
      </c>
      <c r="H147" s="92" t="n">
        <v>0</v>
      </c>
      <c r="I147" s="91" t="n">
        <v>1</v>
      </c>
      <c r="J147" s="92" t="n">
        <f aca="false">IF(G147&gt;0,G147*I147,H147*I147)</f>
        <v>6.3</v>
      </c>
    </row>
    <row r="148" s="75" customFormat="true" ht="15" hidden="false" customHeight="false" outlineLevel="0" collapsed="false">
      <c r="B148" s="93"/>
      <c r="C148" s="94"/>
      <c r="D148" s="86"/>
      <c r="E148" s="86"/>
      <c r="F148" s="86"/>
      <c r="G148" s="86"/>
      <c r="H148" s="86"/>
      <c r="I148" s="86"/>
      <c r="J148" s="86"/>
    </row>
    <row r="149" customFormat="false" ht="15" hidden="false" customHeight="false" outlineLevel="0" collapsed="false">
      <c r="A149" s="75"/>
      <c r="B149" s="87" t="str">
        <f aca="false">ORÇAMENTO!B49</f>
        <v>6.4</v>
      </c>
      <c r="C149" s="88" t="str">
        <f aca="false">VLOOKUP(B149,ORÇAMENTO!$B$17:$L$122,2,0)</f>
        <v>CALHA EM CHAPA DE ACO GALVANIZADO NUMERO 24, DESENVOLVIMENTO DE 33CM</v>
      </c>
      <c r="D149" s="88"/>
      <c r="E149" s="88"/>
      <c r="F149" s="88"/>
      <c r="G149" s="88"/>
      <c r="H149" s="88"/>
      <c r="I149" s="88"/>
      <c r="J149" s="89" t="n">
        <f aca="false">SUM(J150:J150)</f>
        <v>3.5</v>
      </c>
    </row>
    <row r="150" customFormat="false" ht="15" hidden="false" customHeight="false" outlineLevel="0" collapsed="false">
      <c r="A150" s="75"/>
      <c r="B150" s="84"/>
      <c r="C150" s="90" t="s">
        <v>345</v>
      </c>
      <c r="D150" s="91" t="n">
        <v>3.5</v>
      </c>
      <c r="E150" s="91" t="s">
        <v>18</v>
      </c>
      <c r="F150" s="91" t="s">
        <v>18</v>
      </c>
      <c r="G150" s="92" t="s">
        <v>18</v>
      </c>
      <c r="H150" s="92" t="s">
        <v>18</v>
      </c>
      <c r="I150" s="91" t="n">
        <v>1</v>
      </c>
      <c r="J150" s="92" t="n">
        <f aca="false">D150*I150</f>
        <v>3.5</v>
      </c>
    </row>
    <row r="151" customFormat="false" ht="15" hidden="false" customHeight="false" outlineLevel="0" collapsed="false">
      <c r="A151" s="75"/>
      <c r="B151" s="93"/>
      <c r="C151" s="94"/>
      <c r="D151" s="86"/>
      <c r="E151" s="86"/>
      <c r="F151" s="86"/>
      <c r="G151" s="86"/>
      <c r="H151" s="86"/>
      <c r="I151" s="86"/>
      <c r="J151" s="86"/>
    </row>
    <row r="152" customFormat="false" ht="15" hidden="false" customHeight="false" outlineLevel="0" collapsed="false">
      <c r="A152" s="75"/>
      <c r="B152" s="87" t="str">
        <f aca="false">ORÇAMENTO!B50</f>
        <v>6.5</v>
      </c>
      <c r="C152" s="88" t="str">
        <f aca="false">VLOOKUP(B152,ORÇAMENTO!$B$17:$L$122,2,0)</f>
        <v>RUFO EM CONCRETO ARMADO, LARGURA 40CM, ESPESSURA 3CM</v>
      </c>
      <c r="D152" s="88"/>
      <c r="E152" s="88"/>
      <c r="F152" s="88"/>
      <c r="G152" s="88"/>
      <c r="H152" s="88"/>
      <c r="I152" s="88"/>
      <c r="J152" s="89" t="n">
        <f aca="false">SUM(J153:J153)</f>
        <v>7.1</v>
      </c>
    </row>
    <row r="153" customFormat="false" ht="15" hidden="false" customHeight="false" outlineLevel="0" collapsed="false">
      <c r="A153" s="75"/>
      <c r="B153" s="84"/>
      <c r="C153" s="90" t="s">
        <v>345</v>
      </c>
      <c r="D153" s="91" t="n">
        <f aca="false">1.9+3.3+1.9</f>
        <v>7.1</v>
      </c>
      <c r="E153" s="91" t="s">
        <v>18</v>
      </c>
      <c r="F153" s="91" t="s">
        <v>18</v>
      </c>
      <c r="G153" s="92" t="s">
        <v>18</v>
      </c>
      <c r="H153" s="92" t="s">
        <v>18</v>
      </c>
      <c r="I153" s="91" t="n">
        <v>1</v>
      </c>
      <c r="J153" s="92" t="n">
        <f aca="false">D153*I153</f>
        <v>7.1</v>
      </c>
    </row>
    <row r="154" customFormat="false" ht="15" hidden="false" customHeight="false" outlineLevel="0" collapsed="false">
      <c r="A154" s="75"/>
      <c r="B154" s="93"/>
      <c r="C154" s="94"/>
      <c r="D154" s="86"/>
      <c r="E154" s="86"/>
      <c r="F154" s="86"/>
      <c r="G154" s="86"/>
      <c r="H154" s="86"/>
      <c r="I154" s="86"/>
      <c r="J154" s="86"/>
    </row>
    <row r="155" customFormat="false" ht="15" hidden="false" customHeight="false" outlineLevel="0" collapsed="false">
      <c r="A155" s="75"/>
      <c r="B155" s="87" t="str">
        <f aca="false">ORÇAMENTO!B51</f>
        <v>6.6</v>
      </c>
      <c r="C155" s="88" t="str">
        <f aca="false">VLOOKUP(B155,ORÇAMENTO!$B$17:$L$122,2,0)</f>
        <v>CHAPIM DE CONCRETO APARENTE COM ACABAMENTO DESEMPENADO, FORMA DE COMPENSADO PLASTIFICADO (MADEIRIT) DE 14 X 10 CM, FUNDIDO NO LOCAL</v>
      </c>
      <c r="D155" s="88"/>
      <c r="E155" s="88"/>
      <c r="F155" s="88"/>
      <c r="G155" s="88"/>
      <c r="H155" s="88"/>
      <c r="I155" s="88"/>
      <c r="J155" s="89" t="n">
        <f aca="false">SUM(J156:J156)</f>
        <v>11.6</v>
      </c>
    </row>
    <row r="156" customFormat="false" ht="15" hidden="false" customHeight="false" outlineLevel="0" collapsed="false">
      <c r="A156" s="75"/>
      <c r="B156" s="84"/>
      <c r="C156" s="90" t="s">
        <v>345</v>
      </c>
      <c r="D156" s="91" t="n">
        <f aca="false">3.65+2.15</f>
        <v>5.8</v>
      </c>
      <c r="E156" s="91" t="s">
        <v>18</v>
      </c>
      <c r="F156" s="91" t="s">
        <v>18</v>
      </c>
      <c r="G156" s="92" t="s">
        <v>18</v>
      </c>
      <c r="H156" s="92" t="s">
        <v>18</v>
      </c>
      <c r="I156" s="91" t="n">
        <v>2</v>
      </c>
      <c r="J156" s="92" t="n">
        <f aca="false">D156*I156</f>
        <v>11.6</v>
      </c>
    </row>
    <row r="157" customFormat="false" ht="15" hidden="false" customHeight="false" outlineLevel="0" collapsed="false">
      <c r="A157" s="75"/>
      <c r="B157" s="103"/>
      <c r="C157" s="94"/>
      <c r="D157" s="86"/>
      <c r="E157" s="86"/>
      <c r="F157" s="86"/>
      <c r="G157" s="86"/>
      <c r="H157" s="86"/>
      <c r="I157" s="86"/>
      <c r="J157" s="86"/>
    </row>
    <row r="158" customFormat="false" ht="15" hidden="false" customHeight="false" outlineLevel="0" collapsed="false">
      <c r="A158" s="0"/>
      <c r="B158" s="31" t="str">
        <f aca="false">ORÇAMENTO!C53</f>
        <v>ESQUADRIAS (URBANIZAÇÃO)</v>
      </c>
      <c r="C158" s="31" t="n">
        <f aca="false">[1]'ORÇAMENTO CONSTRUÇÃO'!C130</f>
        <v>0</v>
      </c>
      <c r="D158" s="31"/>
      <c r="E158" s="31"/>
      <c r="F158" s="31"/>
      <c r="G158" s="31"/>
      <c r="H158" s="31"/>
      <c r="I158" s="31"/>
      <c r="J158" s="31"/>
    </row>
    <row r="159" customFormat="false" ht="15" hidden="false" customHeight="false" outlineLevel="0" collapsed="false">
      <c r="A159" s="0"/>
      <c r="B159" s="99"/>
      <c r="C159" s="99"/>
      <c r="D159" s="93"/>
      <c r="E159" s="93"/>
      <c r="F159" s="93"/>
      <c r="G159" s="93"/>
      <c r="H159" s="93"/>
      <c r="I159" s="93"/>
      <c r="J159" s="93"/>
    </row>
    <row r="160" customFormat="false" ht="15" hidden="false" customHeight="false" outlineLevel="0" collapsed="false">
      <c r="A160" s="0"/>
      <c r="B160" s="87" t="str">
        <f aca="false">ORÇAMENTO!B54</f>
        <v>7.1</v>
      </c>
      <c r="C160" s="88" t="str">
        <f aca="false">VLOOKUP(B160,ORÇAMENTO!$B$17:$L$122,2,0)</f>
        <v>PORTA DE FERRO, DE ABRIR, TIPO GRADE COM CHAPA, 87X210CM, COM GUARNICOES</v>
      </c>
      <c r="D160" s="100"/>
      <c r="E160" s="100"/>
      <c r="F160" s="100"/>
      <c r="G160" s="100"/>
      <c r="H160" s="100"/>
      <c r="I160" s="100"/>
      <c r="J160" s="89" t="n">
        <f aca="false">SUM(J161:J161)</f>
        <v>4.2</v>
      </c>
    </row>
    <row r="161" customFormat="false" ht="15" hidden="false" customHeight="false" outlineLevel="0" collapsed="false">
      <c r="A161" s="0"/>
      <c r="B161" s="95"/>
      <c r="C161" s="90" t="s">
        <v>345</v>
      </c>
      <c r="D161" s="91" t="n">
        <v>1</v>
      </c>
      <c r="E161" s="91" t="s">
        <v>18</v>
      </c>
      <c r="F161" s="91" t="n">
        <v>2.1</v>
      </c>
      <c r="G161" s="92" t="n">
        <f aca="false">PRODUCT(D161,E161,F161)</f>
        <v>2.1</v>
      </c>
      <c r="H161" s="92" t="n">
        <v>0</v>
      </c>
      <c r="I161" s="91" t="n">
        <v>2</v>
      </c>
      <c r="J161" s="92" t="n">
        <f aca="false">IF(G161&gt;0,G161*I161,H161*I161)</f>
        <v>4.2</v>
      </c>
    </row>
    <row r="162" customFormat="false" ht="15" hidden="false" customHeight="false" outlineLevel="0" collapsed="false">
      <c r="A162" s="0"/>
      <c r="B162" s="0"/>
      <c r="C162" s="0"/>
      <c r="D162" s="0"/>
      <c r="E162" s="0"/>
      <c r="F162" s="0"/>
      <c r="G162" s="0"/>
      <c r="H162" s="0"/>
      <c r="I162" s="0"/>
      <c r="J162" s="0"/>
    </row>
    <row r="163" customFormat="false" ht="15" hidden="false" customHeight="false" outlineLevel="0" collapsed="false">
      <c r="A163" s="0"/>
      <c r="B163" s="87" t="str">
        <f aca="false">ORÇAMENTO!B55</f>
        <v>7.2</v>
      </c>
      <c r="C163" s="88" t="str">
        <f aca="false">VLOOKUP(B163,ORÇAMENTO!$B$17:$L$122,2,0)</f>
        <v>GRADE DE FERRO EM BARRA CHATA 3/16"</v>
      </c>
      <c r="D163" s="100"/>
      <c r="E163" s="100"/>
      <c r="F163" s="100"/>
      <c r="G163" s="100"/>
      <c r="H163" s="100"/>
      <c r="I163" s="100"/>
      <c r="J163" s="89" t="n">
        <f aca="false">SUM(J164:J164)</f>
        <v>38.415</v>
      </c>
    </row>
    <row r="164" customFormat="false" ht="15" hidden="false" customHeight="false" outlineLevel="0" collapsed="false">
      <c r="A164" s="0"/>
      <c r="B164" s="95"/>
      <c r="C164" s="90" t="s">
        <v>333</v>
      </c>
      <c r="D164" s="91" t="n">
        <f aca="false">7.3+6.9+0.9+14.45</f>
        <v>29.55</v>
      </c>
      <c r="E164" s="91" t="s">
        <v>18</v>
      </c>
      <c r="F164" s="91" t="n">
        <v>1.3</v>
      </c>
      <c r="G164" s="92" t="n">
        <f aca="false">PRODUCT(D164,E164,F164)</f>
        <v>38.415</v>
      </c>
      <c r="H164" s="92" t="n">
        <v>0</v>
      </c>
      <c r="I164" s="91" t="n">
        <v>1</v>
      </c>
      <c r="J164" s="92" t="n">
        <f aca="false">IF(G164&gt;0,G164*I164,H164*I164)</f>
        <v>38.415</v>
      </c>
    </row>
    <row r="165" customFormat="false" ht="15" hidden="false" customHeight="false" outlineLevel="0" collapsed="false">
      <c r="A165" s="0"/>
      <c r="B165" s="0"/>
      <c r="C165" s="0"/>
      <c r="D165" s="0"/>
      <c r="E165" s="0"/>
      <c r="F165" s="0"/>
      <c r="G165" s="0"/>
      <c r="H165" s="0"/>
      <c r="I165" s="0"/>
      <c r="J165" s="0"/>
    </row>
    <row r="166" customFormat="false" ht="15" hidden="false" customHeight="false" outlineLevel="0" collapsed="false">
      <c r="A166" s="0"/>
      <c r="B166" s="87" t="str">
        <f aca="false">ORÇAMENTO!B56</f>
        <v>7.3</v>
      </c>
      <c r="C166" s="88" t="str">
        <f aca="false">VLOOKUP(B166,ORÇAMENTO!$B$17:$L$122,2,0)</f>
        <v>JANELA DE CORRER EM ALUMINIO, FOLHAS PARA VIDRO, COM BANDEIRA, INCLUSO GUARNICAO E VIDRO LISO INCOLOR</v>
      </c>
      <c r="D166" s="88"/>
      <c r="E166" s="88"/>
      <c r="F166" s="88" t="s">
        <v>18</v>
      </c>
      <c r="G166" s="88" t="s">
        <v>18</v>
      </c>
      <c r="H166" s="88"/>
      <c r="I166" s="88" t="s">
        <v>18</v>
      </c>
      <c r="J166" s="89" t="n">
        <f aca="false">SUM(J167:J167)</f>
        <v>3</v>
      </c>
    </row>
    <row r="167" customFormat="false" ht="15" hidden="false" customHeight="false" outlineLevel="0" collapsed="false">
      <c r="A167" s="0"/>
      <c r="B167" s="95"/>
      <c r="C167" s="90" t="s">
        <v>345</v>
      </c>
      <c r="D167" s="91" t="n">
        <v>1</v>
      </c>
      <c r="E167" s="91" t="s">
        <v>18</v>
      </c>
      <c r="F167" s="91" t="n">
        <v>1</v>
      </c>
      <c r="G167" s="92" t="n">
        <f aca="false">PRODUCT(D167,E167,F167)</f>
        <v>1</v>
      </c>
      <c r="H167" s="92" t="n">
        <v>0</v>
      </c>
      <c r="I167" s="91" t="n">
        <v>3</v>
      </c>
      <c r="J167" s="92" t="n">
        <f aca="false">IF(G167&gt;0,G167*I167,H167*I167)</f>
        <v>3</v>
      </c>
    </row>
    <row r="168" customFormat="false" ht="15" hidden="false" customHeight="false" outlineLevel="0" collapsed="false">
      <c r="A168" s="0"/>
      <c r="B168" s="0"/>
      <c r="C168" s="0"/>
      <c r="D168" s="0"/>
      <c r="E168" s="0"/>
      <c r="F168" s="0"/>
      <c r="G168" s="0"/>
      <c r="H168" s="0"/>
      <c r="I168" s="0"/>
      <c r="J168" s="0"/>
    </row>
    <row r="169" customFormat="false" ht="15" hidden="false" customHeight="false" outlineLevel="0" collapsed="false">
      <c r="A169" s="0"/>
      <c r="B169" s="87" t="str">
        <f aca="false">ORÇAMENTO!B57</f>
        <v>7.4</v>
      </c>
      <c r="C169" s="88" t="str">
        <f aca="false">VLOOKUP(B169,ORÇAMENTO!$B$17:$L$122,2,0)</f>
        <v>JANELA DE ALUMINIO TIPO MAXIM AR, INCLUSO GUARNICOES E VIDRO FANTASIA</v>
      </c>
      <c r="D169" s="100"/>
      <c r="E169" s="100"/>
      <c r="F169" s="100"/>
      <c r="G169" s="100"/>
      <c r="H169" s="100"/>
      <c r="I169" s="100"/>
      <c r="J169" s="89" t="n">
        <f aca="false">SUM(J170:J170)</f>
        <v>0.5</v>
      </c>
    </row>
    <row r="170" customFormat="false" ht="15" hidden="false" customHeight="false" outlineLevel="0" collapsed="false">
      <c r="A170" s="0"/>
      <c r="B170" s="95"/>
      <c r="C170" s="90" t="s">
        <v>345</v>
      </c>
      <c r="D170" s="91" t="n">
        <v>1</v>
      </c>
      <c r="E170" s="91" t="s">
        <v>18</v>
      </c>
      <c r="F170" s="91" t="n">
        <v>0.5</v>
      </c>
      <c r="G170" s="92" t="n">
        <f aca="false">PRODUCT(D170,E170,F170)</f>
        <v>0.5</v>
      </c>
      <c r="H170" s="92" t="n">
        <v>0</v>
      </c>
      <c r="I170" s="91" t="n">
        <v>1</v>
      </c>
      <c r="J170" s="92" t="n">
        <f aca="false">IF(G170&gt;0,G170*I170,H170*I170)</f>
        <v>0.5</v>
      </c>
    </row>
    <row r="171" customFormat="false" ht="15" hidden="false" customHeight="false" outlineLevel="0" collapsed="false">
      <c r="A171" s="0"/>
      <c r="B171" s="0"/>
      <c r="C171" s="0"/>
      <c r="D171" s="0"/>
      <c r="E171" s="0"/>
      <c r="F171" s="0"/>
      <c r="G171" s="0"/>
      <c r="H171" s="0"/>
      <c r="I171" s="0"/>
      <c r="J171" s="0"/>
    </row>
    <row r="172" customFormat="false" ht="15" hidden="false" customHeight="false" outlineLevel="0" collapsed="false">
      <c r="A172" s="0"/>
      <c r="B172" s="31" t="str">
        <f aca="false">ORÇAMENTO!C59</f>
        <v>REVESTIMENTO (URBANIZAÇÃO)</v>
      </c>
      <c r="C172" s="31" t="n">
        <f aca="false">[1]'ORÇAMENTO CONSTRUÇÃO'!C142</f>
        <v>0</v>
      </c>
      <c r="D172" s="31"/>
      <c r="E172" s="31"/>
      <c r="F172" s="31"/>
      <c r="G172" s="31"/>
      <c r="H172" s="31"/>
      <c r="I172" s="31"/>
      <c r="J172" s="31"/>
    </row>
    <row r="173" customFormat="false" ht="15" hidden="false" customHeight="false" outlineLevel="0" collapsed="false">
      <c r="A173" s="0"/>
      <c r="B173" s="99"/>
      <c r="C173" s="99"/>
      <c r="D173" s="93"/>
      <c r="E173" s="93"/>
      <c r="F173" s="93"/>
      <c r="G173" s="93"/>
      <c r="H173" s="93"/>
      <c r="I173" s="93"/>
      <c r="J173" s="93"/>
    </row>
    <row r="174" customFormat="false" ht="15" hidden="false" customHeight="false" outlineLevel="0" collapsed="false">
      <c r="A174" s="0"/>
      <c r="B174" s="87" t="str">
        <f aca="false">ORÇAMENTO!B60</f>
        <v>8.1</v>
      </c>
      <c r="C174" s="88" t="str">
        <f aca="false">VLOOKUP(B174,ORÇAMENTO!$B$17:$L$122,2,0)</f>
        <v>CHAPISCO, TRAÇO 1:3 </v>
      </c>
      <c r="D174" s="88"/>
      <c r="E174" s="88"/>
      <c r="F174" s="88"/>
      <c r="G174" s="88"/>
      <c r="H174" s="88"/>
      <c r="I174" s="88"/>
      <c r="J174" s="89" t="n">
        <f aca="false">SUM(J175:J187)</f>
        <v>207.75</v>
      </c>
    </row>
    <row r="175" customFormat="false" ht="15" hidden="false" customHeight="false" outlineLevel="0" collapsed="false">
      <c r="A175" s="0"/>
      <c r="B175" s="84"/>
      <c r="C175" s="90" t="s">
        <v>334</v>
      </c>
      <c r="D175" s="91" t="n">
        <v>3.25</v>
      </c>
      <c r="E175" s="91" t="s">
        <v>18</v>
      </c>
      <c r="F175" s="91" t="n">
        <v>2.8</v>
      </c>
      <c r="G175" s="92" t="n">
        <f aca="false">PRODUCT(D175,E175,F175)</f>
        <v>9.1</v>
      </c>
      <c r="H175" s="92" t="n">
        <v>0</v>
      </c>
      <c r="I175" s="91" t="n">
        <v>2</v>
      </c>
      <c r="J175" s="92" t="n">
        <f aca="false">IF(G175&gt;0,G175*I175,H175*I175)</f>
        <v>18.2</v>
      </c>
    </row>
    <row r="176" customFormat="false" ht="15" hidden="false" customHeight="false" outlineLevel="0" collapsed="false">
      <c r="A176" s="0"/>
      <c r="B176" s="84"/>
      <c r="C176" s="90" t="s">
        <v>335</v>
      </c>
      <c r="D176" s="91" t="n">
        <v>2.9</v>
      </c>
      <c r="E176" s="91" t="s">
        <v>18</v>
      </c>
      <c r="F176" s="91" t="n">
        <v>2.8</v>
      </c>
      <c r="G176" s="92" t="n">
        <f aca="false">PRODUCT(D176,E176,F176)</f>
        <v>8.12</v>
      </c>
      <c r="H176" s="92" t="n">
        <v>0</v>
      </c>
      <c r="I176" s="91" t="n">
        <v>2</v>
      </c>
      <c r="J176" s="100" t="n">
        <f aca="false">IF(G176&gt;0,G176*I176,H176*I176)</f>
        <v>16.24</v>
      </c>
    </row>
    <row r="177" customFormat="false" ht="15" hidden="false" customHeight="false" outlineLevel="0" collapsed="false">
      <c r="A177" s="0"/>
      <c r="B177" s="84"/>
      <c r="C177" s="90" t="s">
        <v>336</v>
      </c>
      <c r="D177" s="91" t="n">
        <v>2.65</v>
      </c>
      <c r="E177" s="91"/>
      <c r="F177" s="91" t="n">
        <v>2.8</v>
      </c>
      <c r="G177" s="92" t="n">
        <f aca="false">PRODUCT(D177,E177,F177)</f>
        <v>7.42</v>
      </c>
      <c r="H177" s="92" t="n">
        <v>0</v>
      </c>
      <c r="I177" s="91" t="n">
        <v>2</v>
      </c>
      <c r="J177" s="92" t="n">
        <f aca="false">IF(G177&gt;0,G177*I177,H177*I177)</f>
        <v>14.84</v>
      </c>
    </row>
    <row r="178" customFormat="false" ht="15" hidden="false" customHeight="false" outlineLevel="0" collapsed="false">
      <c r="A178" s="0"/>
      <c r="B178" s="84"/>
      <c r="C178" s="90" t="s">
        <v>337</v>
      </c>
      <c r="D178" s="91" t="n">
        <v>1.6</v>
      </c>
      <c r="E178" s="91" t="s">
        <v>18</v>
      </c>
      <c r="F178" s="91" t="n">
        <v>2.8</v>
      </c>
      <c r="G178" s="92" t="n">
        <f aca="false">PRODUCT(D178,E178,F178)</f>
        <v>4.48</v>
      </c>
      <c r="H178" s="92" t="n">
        <v>0</v>
      </c>
      <c r="I178" s="91" t="n">
        <v>2</v>
      </c>
      <c r="J178" s="92" t="n">
        <f aca="false">IF(G178&gt;0,G178*I178,H178*I178)</f>
        <v>8.96</v>
      </c>
    </row>
    <row r="179" customFormat="false" ht="15" hidden="false" customHeight="false" outlineLevel="0" collapsed="false">
      <c r="A179" s="0"/>
      <c r="B179" s="84"/>
      <c r="C179" s="90" t="s">
        <v>338</v>
      </c>
      <c r="D179" s="91" t="n">
        <v>2.9</v>
      </c>
      <c r="E179" s="91" t="s">
        <v>18</v>
      </c>
      <c r="F179" s="91" t="n">
        <v>2.8</v>
      </c>
      <c r="G179" s="92" t="n">
        <f aca="false">PRODUCT(D179,E179,F179)</f>
        <v>8.12</v>
      </c>
      <c r="H179" s="92" t="n">
        <v>0</v>
      </c>
      <c r="I179" s="91" t="n">
        <v>2</v>
      </c>
      <c r="J179" s="100" t="n">
        <f aca="false">IF(G179&gt;0,G179*I179,H179*I179)</f>
        <v>16.24</v>
      </c>
    </row>
    <row r="180" customFormat="false" ht="15" hidden="false" customHeight="false" outlineLevel="0" collapsed="false">
      <c r="A180" s="0"/>
      <c r="B180" s="84"/>
      <c r="C180" s="90" t="s">
        <v>339</v>
      </c>
      <c r="D180" s="91" t="n">
        <v>2.65</v>
      </c>
      <c r="E180" s="91"/>
      <c r="F180" s="91" t="n">
        <v>2.8</v>
      </c>
      <c r="G180" s="92" t="n">
        <f aca="false">PRODUCT(D180,E180,F180)</f>
        <v>7.42</v>
      </c>
      <c r="H180" s="92" t="n">
        <v>0</v>
      </c>
      <c r="I180" s="91" t="n">
        <v>2</v>
      </c>
      <c r="J180" s="92" t="n">
        <f aca="false">IF(G180&gt;0,G180*I180,H180*I180)</f>
        <v>14.84</v>
      </c>
    </row>
    <row r="181" customFormat="false" ht="15" hidden="false" customHeight="false" outlineLevel="0" collapsed="false">
      <c r="A181" s="0"/>
      <c r="B181" s="84"/>
      <c r="C181" s="90" t="s">
        <v>340</v>
      </c>
      <c r="D181" s="91" t="n">
        <v>1.6</v>
      </c>
      <c r="E181" s="91" t="s">
        <v>18</v>
      </c>
      <c r="F181" s="91" t="n">
        <v>5</v>
      </c>
      <c r="G181" s="92" t="n">
        <f aca="false">PRODUCT(D181,E181,F181)</f>
        <v>8</v>
      </c>
      <c r="H181" s="92" t="n">
        <v>0</v>
      </c>
      <c r="I181" s="91" t="n">
        <v>2</v>
      </c>
      <c r="J181" s="92" t="n">
        <f aca="false">IF(G181&gt;0,G181*I181,H181*I181)</f>
        <v>16</v>
      </c>
    </row>
    <row r="182" customFormat="false" ht="15" hidden="false" customHeight="false" outlineLevel="0" collapsed="false">
      <c r="A182" s="0"/>
      <c r="B182" s="84"/>
      <c r="C182" s="90" t="s">
        <v>341</v>
      </c>
      <c r="D182" s="91" t="n">
        <v>2.9</v>
      </c>
      <c r="E182" s="91" t="s">
        <v>18</v>
      </c>
      <c r="F182" s="91" t="n">
        <v>2</v>
      </c>
      <c r="G182" s="92" t="n">
        <f aca="false">PRODUCT(D182,E182,F182)</f>
        <v>5.8</v>
      </c>
      <c r="H182" s="92" t="n">
        <v>0</v>
      </c>
      <c r="I182" s="91" t="n">
        <v>2</v>
      </c>
      <c r="J182" s="100" t="n">
        <f aca="false">IF(G182&gt;0,G182*I182,H182*I182)</f>
        <v>11.6</v>
      </c>
    </row>
    <row r="183" customFormat="false" ht="15" hidden="false" customHeight="false" outlineLevel="0" collapsed="false">
      <c r="A183" s="0"/>
      <c r="B183" s="84"/>
      <c r="C183" s="90" t="s">
        <v>342</v>
      </c>
      <c r="D183" s="91" t="n">
        <v>2.65</v>
      </c>
      <c r="E183" s="91"/>
      <c r="F183" s="91" t="n">
        <v>2</v>
      </c>
      <c r="G183" s="92" t="n">
        <f aca="false">PRODUCT(D183,E183,F183)</f>
        <v>5.3</v>
      </c>
      <c r="H183" s="92" t="n">
        <v>0</v>
      </c>
      <c r="I183" s="91" t="n">
        <v>2</v>
      </c>
      <c r="J183" s="92" t="n">
        <f aca="false">IF(G183&gt;0,G183*I183,H183*I183)</f>
        <v>10.6</v>
      </c>
    </row>
    <row r="184" customFormat="false" ht="15" hidden="false" customHeight="false" outlineLevel="0" collapsed="false">
      <c r="A184" s="0"/>
      <c r="B184" s="84"/>
      <c r="C184" s="90" t="s">
        <v>343</v>
      </c>
      <c r="D184" s="91" t="n">
        <v>1.6</v>
      </c>
      <c r="E184" s="91" t="s">
        <v>18</v>
      </c>
      <c r="F184" s="91" t="n">
        <v>5</v>
      </c>
      <c r="G184" s="92" t="n">
        <f aca="false">PRODUCT(D184,E184,F184)</f>
        <v>8</v>
      </c>
      <c r="H184" s="92" t="n">
        <v>0</v>
      </c>
      <c r="I184" s="91" t="n">
        <v>2</v>
      </c>
      <c r="J184" s="92" t="n">
        <f aca="false">IF(G184&gt;0,G184*I184,H184*I184)</f>
        <v>16</v>
      </c>
    </row>
    <row r="185" customFormat="false" ht="15" hidden="false" customHeight="false" outlineLevel="0" collapsed="false">
      <c r="A185" s="0"/>
      <c r="B185" s="84"/>
      <c r="C185" s="90" t="s">
        <v>344</v>
      </c>
      <c r="D185" s="91" t="n">
        <v>2.9</v>
      </c>
      <c r="E185" s="91" t="s">
        <v>18</v>
      </c>
      <c r="F185" s="91" t="n">
        <v>5</v>
      </c>
      <c r="G185" s="92" t="n">
        <f aca="false">PRODUCT(D185,E185,F185)</f>
        <v>14.5</v>
      </c>
      <c r="H185" s="92" t="n">
        <v>0</v>
      </c>
      <c r="I185" s="91" t="n">
        <v>2</v>
      </c>
      <c r="J185" s="100" t="n">
        <f aca="false">IF(G185&gt;0,G185*I185,H185*I185)</f>
        <v>29</v>
      </c>
    </row>
    <row r="186" customFormat="false" ht="15" hidden="false" customHeight="false" outlineLevel="0" collapsed="false">
      <c r="A186" s="0"/>
      <c r="B186" s="84"/>
      <c r="C186" s="90" t="s">
        <v>333</v>
      </c>
      <c r="D186" s="91" t="n">
        <f aca="false">7.3+6.9+0.9+14.45</f>
        <v>29.55</v>
      </c>
      <c r="E186" s="91" t="s">
        <v>18</v>
      </c>
      <c r="F186" s="91" t="n">
        <v>0.5</v>
      </c>
      <c r="G186" s="92" t="n">
        <f aca="false">PRODUCT(D186,E186,F186)</f>
        <v>14.775</v>
      </c>
      <c r="H186" s="92" t="n">
        <v>0</v>
      </c>
      <c r="I186" s="91" t="n">
        <v>2</v>
      </c>
      <c r="J186" s="92" t="n">
        <f aca="false">IF(G186&gt;0,G186*I186,H186*I186)</f>
        <v>29.55</v>
      </c>
    </row>
    <row r="187" customFormat="false" ht="15" hidden="false" customHeight="false" outlineLevel="0" collapsed="false">
      <c r="A187" s="0"/>
      <c r="B187" s="84"/>
      <c r="C187" s="90" t="s">
        <v>356</v>
      </c>
      <c r="D187" s="91" t="s">
        <v>18</v>
      </c>
      <c r="E187" s="91" t="s">
        <v>18</v>
      </c>
      <c r="F187" s="91" t="s">
        <v>18</v>
      </c>
      <c r="G187" s="91" t="n">
        <f aca="false">1.23+3.45+1</f>
        <v>5.68</v>
      </c>
      <c r="H187" s="91" t="n">
        <v>0</v>
      </c>
      <c r="I187" s="91" t="n">
        <v>1</v>
      </c>
      <c r="J187" s="92" t="n">
        <f aca="false">IF(G187&gt;0,G187*I187,H187*I187)</f>
        <v>5.68</v>
      </c>
    </row>
    <row r="188" customFormat="false" ht="15" hidden="false" customHeight="false" outlineLevel="0" collapsed="false">
      <c r="A188" s="0"/>
      <c r="B188" s="0"/>
      <c r="C188" s="0"/>
      <c r="D188" s="0"/>
      <c r="E188" s="0"/>
      <c r="F188" s="0"/>
      <c r="G188" s="0"/>
      <c r="H188" s="0"/>
      <c r="I188" s="0"/>
      <c r="J188" s="0"/>
    </row>
    <row r="189" customFormat="false" ht="15" hidden="false" customHeight="false" outlineLevel="0" collapsed="false">
      <c r="A189" s="0"/>
      <c r="B189" s="87" t="str">
        <f aca="false">ORÇAMENTO!B61</f>
        <v>8.2</v>
      </c>
      <c r="C189" s="88" t="str">
        <f aca="false">VLOOKUP(B189,ORÇAMENTO!$B$17:$L$122,2,0)</f>
        <v>EMBOÇO, PARA RECEBIMENTO DE CERÂMICA, EM ARGAMASSA TRAÇO 1:2:8, ESPESSURA DE 20MM</v>
      </c>
      <c r="D189" s="100"/>
      <c r="E189" s="100"/>
      <c r="F189" s="100"/>
      <c r="G189" s="100"/>
      <c r="H189" s="100"/>
      <c r="I189" s="100"/>
      <c r="J189" s="89" t="n">
        <f aca="false">SUM(J190:J190)</f>
        <v>24.3</v>
      </c>
    </row>
    <row r="190" customFormat="false" ht="15" hidden="false" customHeight="false" outlineLevel="0" collapsed="false">
      <c r="A190" s="0"/>
      <c r="B190" s="87"/>
      <c r="C190" s="104" t="s">
        <v>357</v>
      </c>
      <c r="D190" s="91" t="n">
        <v>4.5</v>
      </c>
      <c r="E190" s="91" t="s">
        <v>18</v>
      </c>
      <c r="F190" s="91" t="n">
        <v>2.7</v>
      </c>
      <c r="G190" s="92" t="n">
        <f aca="false">PRODUCT(D190,E190,F190)</f>
        <v>12.15</v>
      </c>
      <c r="H190" s="92" t="n">
        <v>0</v>
      </c>
      <c r="I190" s="91" t="n">
        <v>2</v>
      </c>
      <c r="J190" s="92" t="n">
        <f aca="false">IF(G190&gt;0,G190*I190,H190*I190)</f>
        <v>24.3</v>
      </c>
    </row>
    <row r="191" customFormat="false" ht="15" hidden="false" customHeight="false" outlineLevel="0" collapsed="false">
      <c r="A191" s="0"/>
      <c r="B191" s="0"/>
      <c r="C191" s="0"/>
      <c r="D191" s="0"/>
      <c r="E191" s="0"/>
      <c r="F191" s="0"/>
      <c r="G191" s="0"/>
      <c r="H191" s="0"/>
      <c r="I191" s="0"/>
      <c r="J191" s="0"/>
    </row>
    <row r="192" customFormat="false" ht="15" hidden="false" customHeight="false" outlineLevel="0" collapsed="false">
      <c r="A192" s="0"/>
      <c r="B192" s="87" t="str">
        <f aca="false">ORÇAMENTO!B62</f>
        <v>8.3</v>
      </c>
      <c r="C192" s="88" t="str">
        <f aca="false">VLOOKUP(B192,ORÇAMENTO!$B$17:$L$122,2,0)</f>
        <v>MASSA ÚNICA EM ARGAMASSA TRAÇO 1:2:8, APL MANUALMENTE EM FACES INTERNAS, ESPES DE 20MM</v>
      </c>
      <c r="D192" s="100"/>
      <c r="E192" s="100"/>
      <c r="F192" s="100"/>
      <c r="G192" s="100"/>
      <c r="H192" s="100"/>
      <c r="I192" s="100"/>
      <c r="J192" s="98" t="n">
        <f aca="false">SUM(J193:J205)</f>
        <v>179.61</v>
      </c>
    </row>
    <row r="193" customFormat="false" ht="15" hidden="false" customHeight="false" outlineLevel="0" collapsed="false">
      <c r="A193" s="0"/>
      <c r="B193" s="84"/>
      <c r="C193" s="90" t="s">
        <v>334</v>
      </c>
      <c r="D193" s="91" t="n">
        <v>3.25</v>
      </c>
      <c r="E193" s="91" t="s">
        <v>18</v>
      </c>
      <c r="F193" s="91" t="n">
        <v>2.8</v>
      </c>
      <c r="G193" s="92" t="n">
        <f aca="false">PRODUCT(D193,E193,F193)</f>
        <v>9.1</v>
      </c>
      <c r="H193" s="92" t="n">
        <v>0</v>
      </c>
      <c r="I193" s="91" t="n">
        <v>2</v>
      </c>
      <c r="J193" s="92" t="n">
        <f aca="false">IF(G193&gt;0,G193*I193,H193*I193)</f>
        <v>18.2</v>
      </c>
    </row>
    <row r="194" customFormat="false" ht="15" hidden="false" customHeight="false" outlineLevel="0" collapsed="false">
      <c r="A194" s="0"/>
      <c r="B194" s="84"/>
      <c r="C194" s="90" t="s">
        <v>335</v>
      </c>
      <c r="D194" s="91" t="n">
        <v>2.9</v>
      </c>
      <c r="E194" s="91" t="s">
        <v>18</v>
      </c>
      <c r="F194" s="91" t="n">
        <v>2.8</v>
      </c>
      <c r="G194" s="92" t="n">
        <f aca="false">PRODUCT(D194,E194,F194)</f>
        <v>8.12</v>
      </c>
      <c r="H194" s="92" t="n">
        <v>0</v>
      </c>
      <c r="I194" s="91" t="n">
        <v>1</v>
      </c>
      <c r="J194" s="100" t="n">
        <f aca="false">IF(G194&gt;0,G194*I194,H194*I194)</f>
        <v>8.12</v>
      </c>
    </row>
    <row r="195" customFormat="false" ht="15" hidden="false" customHeight="false" outlineLevel="0" collapsed="false">
      <c r="A195" s="0"/>
      <c r="B195" s="84"/>
      <c r="C195" s="90" t="s">
        <v>336</v>
      </c>
      <c r="D195" s="91" t="n">
        <v>2.65</v>
      </c>
      <c r="E195" s="91"/>
      <c r="F195" s="91" t="n">
        <v>2.8</v>
      </c>
      <c r="G195" s="92" t="n">
        <f aca="false">PRODUCT(D195,E195,F195)</f>
        <v>7.42</v>
      </c>
      <c r="H195" s="92" t="n">
        <v>0</v>
      </c>
      <c r="I195" s="91" t="n">
        <v>1</v>
      </c>
      <c r="J195" s="92" t="n">
        <f aca="false">IF(G195&gt;0,G195*I195,H195*I195)</f>
        <v>7.42</v>
      </c>
    </row>
    <row r="196" customFormat="false" ht="15" hidden="false" customHeight="false" outlineLevel="0" collapsed="false">
      <c r="A196" s="0"/>
      <c r="B196" s="84"/>
      <c r="C196" s="90" t="s">
        <v>337</v>
      </c>
      <c r="D196" s="91" t="n">
        <v>1.6</v>
      </c>
      <c r="E196" s="91" t="s">
        <v>18</v>
      </c>
      <c r="F196" s="91" t="n">
        <v>2.8</v>
      </c>
      <c r="G196" s="92" t="n">
        <f aca="false">PRODUCT(D196,E196,F196)</f>
        <v>4.48</v>
      </c>
      <c r="H196" s="92" t="n">
        <v>0</v>
      </c>
      <c r="I196" s="91" t="n">
        <v>1</v>
      </c>
      <c r="J196" s="92" t="n">
        <f aca="false">IF(G196&gt;0,G196*I196,H196*I196)</f>
        <v>4.48</v>
      </c>
    </row>
    <row r="197" customFormat="false" ht="15" hidden="false" customHeight="false" outlineLevel="0" collapsed="false">
      <c r="A197" s="0"/>
      <c r="B197" s="84"/>
      <c r="C197" s="90" t="s">
        <v>338</v>
      </c>
      <c r="D197" s="91" t="n">
        <v>2.9</v>
      </c>
      <c r="E197" s="91" t="s">
        <v>18</v>
      </c>
      <c r="F197" s="91" t="n">
        <v>2.8</v>
      </c>
      <c r="G197" s="92" t="n">
        <f aca="false">PRODUCT(D197,E197,F197)</f>
        <v>8.12</v>
      </c>
      <c r="H197" s="92" t="n">
        <v>0</v>
      </c>
      <c r="I197" s="91" t="n">
        <v>1</v>
      </c>
      <c r="J197" s="100" t="n">
        <f aca="false">IF(G197&gt;0,G197*I197,H197*I197)</f>
        <v>8.12</v>
      </c>
    </row>
    <row r="198" customFormat="false" ht="15" hidden="false" customHeight="false" outlineLevel="0" collapsed="false">
      <c r="A198" s="0"/>
      <c r="B198" s="84"/>
      <c r="C198" s="90" t="s">
        <v>339</v>
      </c>
      <c r="D198" s="91" t="n">
        <v>2.65</v>
      </c>
      <c r="E198" s="91"/>
      <c r="F198" s="91" t="n">
        <v>2.8</v>
      </c>
      <c r="G198" s="92" t="n">
        <f aca="false">PRODUCT(D198,E198,F198)</f>
        <v>7.42</v>
      </c>
      <c r="H198" s="92" t="n">
        <v>0</v>
      </c>
      <c r="I198" s="91" t="n">
        <v>2</v>
      </c>
      <c r="J198" s="92" t="n">
        <f aca="false">IF(G198&gt;0,G198*I198,H198*I198)</f>
        <v>14.84</v>
      </c>
    </row>
    <row r="199" customFormat="false" ht="15" hidden="false" customHeight="false" outlineLevel="0" collapsed="false">
      <c r="A199" s="0"/>
      <c r="B199" s="84"/>
      <c r="C199" s="90" t="s">
        <v>340</v>
      </c>
      <c r="D199" s="91" t="n">
        <v>1.6</v>
      </c>
      <c r="E199" s="91" t="s">
        <v>18</v>
      </c>
      <c r="F199" s="91" t="n">
        <v>5</v>
      </c>
      <c r="G199" s="92" t="n">
        <f aca="false">PRODUCT(D199,E199,F199)</f>
        <v>8</v>
      </c>
      <c r="H199" s="92" t="n">
        <v>0</v>
      </c>
      <c r="I199" s="91" t="n">
        <v>2</v>
      </c>
      <c r="J199" s="92" t="n">
        <f aca="false">IF(G199&gt;0,G199*I199,H199*I199)</f>
        <v>16</v>
      </c>
    </row>
    <row r="200" customFormat="false" ht="15" hidden="false" customHeight="false" outlineLevel="0" collapsed="false">
      <c r="A200" s="0"/>
      <c r="B200" s="84"/>
      <c r="C200" s="90" t="s">
        <v>341</v>
      </c>
      <c r="D200" s="91" t="n">
        <v>2.9</v>
      </c>
      <c r="E200" s="91" t="s">
        <v>18</v>
      </c>
      <c r="F200" s="91" t="n">
        <v>2</v>
      </c>
      <c r="G200" s="92" t="n">
        <f aca="false">PRODUCT(D200,E200,F200)</f>
        <v>5.8</v>
      </c>
      <c r="H200" s="92" t="n">
        <v>0</v>
      </c>
      <c r="I200" s="91" t="n">
        <v>2</v>
      </c>
      <c r="J200" s="100" t="n">
        <f aca="false">IF(G200&gt;0,G200*I200,H200*I200)</f>
        <v>11.6</v>
      </c>
    </row>
    <row r="201" customFormat="false" ht="15" hidden="false" customHeight="false" outlineLevel="0" collapsed="false">
      <c r="A201" s="0"/>
      <c r="B201" s="84"/>
      <c r="C201" s="90" t="s">
        <v>342</v>
      </c>
      <c r="D201" s="91" t="n">
        <v>2.65</v>
      </c>
      <c r="E201" s="91"/>
      <c r="F201" s="91" t="n">
        <v>2</v>
      </c>
      <c r="G201" s="92" t="n">
        <f aca="false">PRODUCT(D201,E201,F201)</f>
        <v>5.3</v>
      </c>
      <c r="H201" s="92" t="n">
        <v>0</v>
      </c>
      <c r="I201" s="91" t="n">
        <v>2</v>
      </c>
      <c r="J201" s="92" t="n">
        <f aca="false">IF(G201&gt;0,G201*I201,H201*I201)</f>
        <v>10.6</v>
      </c>
    </row>
    <row r="202" customFormat="false" ht="15" hidden="false" customHeight="false" outlineLevel="0" collapsed="false">
      <c r="A202" s="0"/>
      <c r="B202" s="84"/>
      <c r="C202" s="90" t="s">
        <v>343</v>
      </c>
      <c r="D202" s="91" t="n">
        <v>1.6</v>
      </c>
      <c r="E202" s="91" t="s">
        <v>18</v>
      </c>
      <c r="F202" s="91" t="n">
        <v>5</v>
      </c>
      <c r="G202" s="92" t="n">
        <f aca="false">PRODUCT(D202,E202,F202)</f>
        <v>8</v>
      </c>
      <c r="H202" s="92" t="n">
        <v>0</v>
      </c>
      <c r="I202" s="91" t="n">
        <v>2</v>
      </c>
      <c r="J202" s="92" t="n">
        <f aca="false">IF(G202&gt;0,G202*I202,H202*I202)</f>
        <v>16</v>
      </c>
    </row>
    <row r="203" customFormat="false" ht="15" hidden="false" customHeight="false" outlineLevel="0" collapsed="false">
      <c r="A203" s="0"/>
      <c r="B203" s="84"/>
      <c r="C203" s="90" t="s">
        <v>344</v>
      </c>
      <c r="D203" s="91" t="n">
        <v>2.9</v>
      </c>
      <c r="E203" s="91" t="s">
        <v>18</v>
      </c>
      <c r="F203" s="91" t="n">
        <v>5</v>
      </c>
      <c r="G203" s="92" t="n">
        <f aca="false">PRODUCT(D203,E203,F203)</f>
        <v>14.5</v>
      </c>
      <c r="H203" s="92" t="n">
        <v>0</v>
      </c>
      <c r="I203" s="91" t="n">
        <v>2</v>
      </c>
      <c r="J203" s="100" t="n">
        <f aca="false">IF(G203&gt;0,G203*I203,H203*I203)</f>
        <v>29</v>
      </c>
    </row>
    <row r="204" customFormat="false" ht="15" hidden="false" customHeight="false" outlineLevel="0" collapsed="false">
      <c r="A204" s="0"/>
      <c r="B204" s="84"/>
      <c r="C204" s="90" t="s">
        <v>333</v>
      </c>
      <c r="D204" s="91" t="n">
        <f aca="false">7.3+6.9+0.9+14.45</f>
        <v>29.55</v>
      </c>
      <c r="E204" s="91" t="s">
        <v>18</v>
      </c>
      <c r="F204" s="91" t="n">
        <v>0.5</v>
      </c>
      <c r="G204" s="92" t="n">
        <f aca="false">PRODUCT(D204,E204,F204)</f>
        <v>14.775</v>
      </c>
      <c r="H204" s="92" t="n">
        <v>0</v>
      </c>
      <c r="I204" s="91" t="n">
        <v>2</v>
      </c>
      <c r="J204" s="92" t="n">
        <f aca="false">IF(G204&gt;0,G204*I204,H204*I204)</f>
        <v>29.55</v>
      </c>
    </row>
    <row r="205" customFormat="false" ht="15" hidden="false" customHeight="false" outlineLevel="0" collapsed="false">
      <c r="A205" s="0"/>
      <c r="B205" s="84"/>
      <c r="C205" s="90" t="s">
        <v>356</v>
      </c>
      <c r="D205" s="91" t="s">
        <v>18</v>
      </c>
      <c r="E205" s="91" t="s">
        <v>18</v>
      </c>
      <c r="F205" s="91" t="s">
        <v>18</v>
      </c>
      <c r="G205" s="91" t="n">
        <f aca="false">1.23+3.45+1</f>
        <v>5.68</v>
      </c>
      <c r="H205" s="91" t="n">
        <v>0</v>
      </c>
      <c r="I205" s="91" t="n">
        <v>1</v>
      </c>
      <c r="J205" s="92" t="n">
        <f aca="false">IF(G205&gt;0,G205*I205,H205*I205)</f>
        <v>5.68</v>
      </c>
    </row>
    <row r="206" customFormat="false" ht="15" hidden="false" customHeight="false" outlineLevel="0" collapsed="false">
      <c r="A206" s="0"/>
      <c r="B206" s="93"/>
      <c r="C206" s="97"/>
      <c r="D206" s="97"/>
      <c r="E206" s="97"/>
      <c r="F206" s="97"/>
      <c r="G206" s="97"/>
      <c r="H206" s="97"/>
      <c r="I206" s="97"/>
      <c r="J206" s="97"/>
    </row>
    <row r="207" customFormat="false" ht="15" hidden="false" customHeight="false" outlineLevel="0" collapsed="false">
      <c r="A207" s="0"/>
      <c r="B207" s="87" t="str">
        <f aca="false">ORÇAMENTO!B63</f>
        <v>8.4</v>
      </c>
      <c r="C207" s="88" t="str">
        <f aca="false">VLOOKUP(B207,ORÇAMENTO!$B$17:$L$122,2,0)</f>
        <v>REVESTIMENTO CERÂMICO PARA PISO COM PLACAS TIPO GRÊS DE DIMENSÕES 35X35 CM APLICADA EM AMBIENTES DE ÁREA MENOR QUE 5 M2</v>
      </c>
      <c r="D207" s="100"/>
      <c r="E207" s="100"/>
      <c r="F207" s="100"/>
      <c r="G207" s="100"/>
      <c r="H207" s="100"/>
      <c r="I207" s="100"/>
      <c r="J207" s="89" t="n">
        <f aca="false">(SUM(J208:J208)*1.1)</f>
        <v>6.248</v>
      </c>
    </row>
    <row r="208" customFormat="false" ht="15" hidden="false" customHeight="false" outlineLevel="0" collapsed="false">
      <c r="A208" s="0"/>
      <c r="B208" s="87"/>
      <c r="C208" s="90" t="s">
        <v>358</v>
      </c>
      <c r="D208" s="91" t="s">
        <v>18</v>
      </c>
      <c r="E208" s="91" t="s">
        <v>18</v>
      </c>
      <c r="F208" s="91" t="s">
        <v>18</v>
      </c>
      <c r="G208" s="91" t="n">
        <f aca="false">1.23+3.45+1</f>
        <v>5.68</v>
      </c>
      <c r="H208" s="91" t="n">
        <v>0</v>
      </c>
      <c r="I208" s="91" t="n">
        <v>1</v>
      </c>
      <c r="J208" s="92" t="n">
        <f aca="false">IF(G208&gt;0,G208*I208,H208*I208)</f>
        <v>5.68</v>
      </c>
    </row>
    <row r="209" customFormat="false" ht="15" hidden="false" customHeight="false" outlineLevel="0" collapsed="false">
      <c r="A209" s="0"/>
      <c r="B209" s="0"/>
      <c r="C209" s="0"/>
      <c r="D209" s="0"/>
      <c r="E209" s="0"/>
      <c r="F209" s="0"/>
      <c r="G209" s="0"/>
      <c r="H209" s="0"/>
      <c r="I209" s="0"/>
      <c r="J209" s="0"/>
    </row>
    <row r="210" customFormat="false" ht="15" hidden="false" customHeight="false" outlineLevel="0" collapsed="false">
      <c r="A210" s="0"/>
      <c r="B210" s="87" t="str">
        <f aca="false">ORÇAMENTO!B64</f>
        <v>8.5</v>
      </c>
      <c r="C210" s="88" t="str">
        <f aca="false">VLOOKUP(B210,ORÇAMENTO!$B$17:$L$122,2,0)</f>
        <v>REVESTIMENTO METÁLICO, TIPO "REYNOBOND" DUAS CHAPAS</v>
      </c>
      <c r="D210" s="100"/>
      <c r="E210" s="100"/>
      <c r="F210" s="100"/>
      <c r="G210" s="100"/>
      <c r="H210" s="100"/>
      <c r="I210" s="100"/>
      <c r="J210" s="98" t="n">
        <f aca="false">SUM(J211:J211)</f>
        <v>19.68</v>
      </c>
    </row>
    <row r="211" customFormat="false" ht="15" hidden="false" customHeight="false" outlineLevel="0" collapsed="false">
      <c r="A211" s="0"/>
      <c r="B211" s="95"/>
      <c r="C211" s="104" t="s">
        <v>18</v>
      </c>
      <c r="D211" s="91" t="n">
        <v>12.3</v>
      </c>
      <c r="E211" s="91" t="s">
        <v>18</v>
      </c>
      <c r="F211" s="91" t="n">
        <v>0.8</v>
      </c>
      <c r="G211" s="92" t="n">
        <f aca="false">PRODUCT(D211,E211,F211)</f>
        <v>9.84</v>
      </c>
      <c r="H211" s="92" t="n">
        <v>0</v>
      </c>
      <c r="I211" s="91" t="n">
        <v>2</v>
      </c>
      <c r="J211" s="92" t="n">
        <f aca="false">IF(G211&gt;0,G211*I211,H211*I211)</f>
        <v>19.68</v>
      </c>
    </row>
    <row r="212" customFormat="false" ht="15" hidden="false" customHeight="false" outlineLevel="0" collapsed="false">
      <c r="A212" s="0"/>
      <c r="B212" s="0"/>
      <c r="C212" s="94"/>
      <c r="D212" s="86"/>
      <c r="E212" s="86"/>
      <c r="F212" s="86"/>
      <c r="G212" s="86"/>
      <c r="H212" s="86"/>
      <c r="I212" s="86"/>
      <c r="J212" s="86"/>
    </row>
    <row r="213" customFormat="false" ht="15" hidden="false" customHeight="false" outlineLevel="0" collapsed="false">
      <c r="A213" s="0"/>
      <c r="B213" s="87" t="str">
        <f aca="false">ORÇAMENTO!B65</f>
        <v>8.6</v>
      </c>
      <c r="C213" s="88" t="str">
        <f aca="false">VLOOKUP(B213,ORÇAMENTO!$B$17:$L$122,2,0)</f>
        <v>CERÂMICA ESMALTADA C/ ARG. PRÉ-FABRICADA ATÉ 10x10cm (100cm²) - DECORATIVA - P/ PAREDE</v>
      </c>
      <c r="D213" s="100"/>
      <c r="E213" s="100"/>
      <c r="F213" s="100"/>
      <c r="G213" s="100"/>
      <c r="H213" s="100"/>
      <c r="I213" s="100"/>
      <c r="J213" s="98" t="n">
        <f aca="false">SUM(J214:J214)</f>
        <v>1.15</v>
      </c>
    </row>
    <row r="214" customFormat="false" ht="15" hidden="false" customHeight="false" outlineLevel="0" collapsed="false">
      <c r="A214" s="0"/>
      <c r="B214" s="95"/>
      <c r="C214" s="104" t="s">
        <v>18</v>
      </c>
      <c r="D214" s="91" t="n">
        <v>2.3</v>
      </c>
      <c r="E214" s="91" t="s">
        <v>18</v>
      </c>
      <c r="F214" s="91" t="n">
        <v>0.5</v>
      </c>
      <c r="G214" s="92" t="n">
        <f aca="false">PRODUCT(D214,E214,F214)</f>
        <v>1.15</v>
      </c>
      <c r="H214" s="92" t="n">
        <v>0</v>
      </c>
      <c r="I214" s="91" t="n">
        <v>1</v>
      </c>
      <c r="J214" s="92" t="n">
        <f aca="false">IF(G214&gt;0,G214*I214,H214*I214)</f>
        <v>1.15</v>
      </c>
    </row>
    <row r="215" customFormat="false" ht="15" hidden="false" customHeight="false" outlineLevel="0" collapsed="false">
      <c r="A215" s="0"/>
      <c r="B215" s="0"/>
      <c r="C215" s="94"/>
      <c r="D215" s="86"/>
      <c r="E215" s="86"/>
      <c r="F215" s="86"/>
      <c r="G215" s="86"/>
      <c r="H215" s="86"/>
      <c r="I215" s="86"/>
      <c r="J215" s="86"/>
    </row>
    <row r="216" customFormat="false" ht="15" hidden="false" customHeight="false" outlineLevel="0" collapsed="false">
      <c r="A216" s="0"/>
      <c r="B216" s="87" t="str">
        <f aca="false">ORÇAMENTO!B66</f>
        <v>8.7</v>
      </c>
      <c r="C216" s="88" t="str">
        <f aca="false">VLOOKUP(B216,ORÇAMENTO!$B$17:$L$122,2,0)</f>
        <v>FORRO PVC - LAMBRI (100x6000 OU 200x6000)mm - FORNECIMENTO E MONTAGEM</v>
      </c>
      <c r="D216" s="100"/>
      <c r="E216" s="100"/>
      <c r="F216" s="100"/>
      <c r="G216" s="100"/>
      <c r="H216" s="100"/>
      <c r="I216" s="100"/>
      <c r="J216" s="89" t="n">
        <f aca="false">(SUM(J217:J217)*1.1)</f>
        <v>37.884</v>
      </c>
    </row>
    <row r="217" customFormat="false" ht="15" hidden="false" customHeight="false" outlineLevel="0" collapsed="false">
      <c r="A217" s="0"/>
      <c r="B217" s="87"/>
      <c r="C217" s="90" t="s">
        <v>359</v>
      </c>
      <c r="D217" s="91" t="n">
        <v>12.3</v>
      </c>
      <c r="E217" s="91" t="n">
        <v>2.8</v>
      </c>
      <c r="F217" s="91" t="s">
        <v>18</v>
      </c>
      <c r="G217" s="92" t="n">
        <f aca="false">PRODUCT(D217,E217,F217)</f>
        <v>34.44</v>
      </c>
      <c r="H217" s="92" t="n">
        <v>0</v>
      </c>
      <c r="I217" s="91" t="n">
        <v>1</v>
      </c>
      <c r="J217" s="92" t="n">
        <f aca="false">IF(G217&gt;0,G217*I217,H217*I217)</f>
        <v>34.44</v>
      </c>
    </row>
    <row r="218" customFormat="false" ht="15" hidden="false" customHeight="false" outlineLevel="0" collapsed="false">
      <c r="A218" s="0"/>
      <c r="B218" s="0"/>
      <c r="C218" s="94"/>
      <c r="D218" s="86"/>
      <c r="E218" s="86"/>
      <c r="F218" s="86"/>
      <c r="G218" s="86"/>
      <c r="H218" s="86"/>
      <c r="I218" s="86"/>
      <c r="J218" s="86"/>
    </row>
    <row r="219" customFormat="false" ht="15" hidden="false" customHeight="false" outlineLevel="0" collapsed="false">
      <c r="A219" s="0"/>
      <c r="B219" s="31" t="str">
        <f aca="false">ORÇAMENTO!C68</f>
        <v>PINTURA (URBANIZAÇÃO)</v>
      </c>
      <c r="C219" s="31" t="n">
        <f aca="false">[1]'ORÇAMENTO CONSTRUÇÃO'!C249</f>
        <v>0</v>
      </c>
      <c r="D219" s="31"/>
      <c r="E219" s="31"/>
      <c r="F219" s="31"/>
      <c r="G219" s="31"/>
      <c r="H219" s="31"/>
      <c r="I219" s="31"/>
      <c r="J219" s="31"/>
    </row>
    <row r="220" customFormat="false" ht="15" hidden="false" customHeight="false" outlineLevel="0" collapsed="false">
      <c r="A220" s="0"/>
      <c r="B220" s="87" t="str">
        <f aca="false">ORÇAMENTO!B69</f>
        <v>9.1</v>
      </c>
      <c r="C220" s="88" t="str">
        <f aca="false">VLOOKUP(B220,ORÇAMENTO!$B$17:$L$122,2,0)</f>
        <v>APLICAÇÃO E LIXAMENTO DE MASSA LÁTEX EM TETO, DUAS DEMÃOS</v>
      </c>
      <c r="D220" s="88"/>
      <c r="E220" s="88"/>
      <c r="F220" s="88"/>
      <c r="G220" s="88"/>
      <c r="H220" s="88"/>
      <c r="I220" s="88"/>
      <c r="J220" s="89" t="n">
        <f aca="false">SUM(J221:J221)</f>
        <v>5.68</v>
      </c>
    </row>
    <row r="221" customFormat="false" ht="15" hidden="false" customHeight="false" outlineLevel="0" collapsed="false">
      <c r="A221" s="0"/>
      <c r="B221" s="84"/>
      <c r="C221" s="90" t="s">
        <v>356</v>
      </c>
      <c r="D221" s="91" t="s">
        <v>18</v>
      </c>
      <c r="E221" s="91" t="s">
        <v>18</v>
      </c>
      <c r="F221" s="91" t="s">
        <v>18</v>
      </c>
      <c r="G221" s="91" t="n">
        <f aca="false">1.23+3.45+1</f>
        <v>5.68</v>
      </c>
      <c r="H221" s="91" t="n">
        <v>0</v>
      </c>
      <c r="I221" s="91" t="n">
        <v>1</v>
      </c>
      <c r="J221" s="92" t="n">
        <f aca="false">IF(G221&gt;0,G221*I221,H221*I221)</f>
        <v>5.68</v>
      </c>
    </row>
    <row r="222" customFormat="false" ht="15" hidden="false" customHeight="false" outlineLevel="0" collapsed="false">
      <c r="A222" s="0"/>
      <c r="B222" s="0"/>
      <c r="C222" s="0"/>
      <c r="D222" s="0"/>
      <c r="E222" s="0"/>
      <c r="F222" s="0"/>
      <c r="G222" s="0"/>
      <c r="H222" s="0"/>
      <c r="I222" s="0"/>
      <c r="J222" s="0"/>
    </row>
    <row r="223" customFormat="false" ht="15" hidden="false" customHeight="false" outlineLevel="0" collapsed="false">
      <c r="A223" s="0"/>
      <c r="B223" s="87" t="str">
        <f aca="false">ORÇAMENTO!B70</f>
        <v>9.2</v>
      </c>
      <c r="C223" s="88" t="str">
        <f aca="false">VLOOKUP(B223,ORÇAMENTO!$B$17:$L$122,2,0)</f>
        <v>APLICAÇÃO MANUAL DE PINTURA COM TINTA LÁTEX PVA EM TETO, DUAS DEMÃOS</v>
      </c>
      <c r="D223" s="100"/>
      <c r="E223" s="100"/>
      <c r="F223" s="100"/>
      <c r="G223" s="100"/>
      <c r="H223" s="100"/>
      <c r="I223" s="100"/>
      <c r="J223" s="98" t="n">
        <f aca="false">SUM(J224:J224)</f>
        <v>5.68</v>
      </c>
    </row>
    <row r="224" customFormat="false" ht="15" hidden="false" customHeight="false" outlineLevel="0" collapsed="false">
      <c r="A224" s="0"/>
      <c r="B224" s="84"/>
      <c r="C224" s="90" t="s">
        <v>356</v>
      </c>
      <c r="D224" s="91" t="s">
        <v>18</v>
      </c>
      <c r="E224" s="91" t="s">
        <v>18</v>
      </c>
      <c r="F224" s="91" t="s">
        <v>18</v>
      </c>
      <c r="G224" s="91" t="n">
        <f aca="false">1.23+3.45+1</f>
        <v>5.68</v>
      </c>
      <c r="H224" s="91" t="n">
        <v>0</v>
      </c>
      <c r="I224" s="91" t="n">
        <v>1</v>
      </c>
      <c r="J224" s="92" t="n">
        <f aca="false">IF(G224&gt;0,G224*I224,H224*I224)</f>
        <v>5.68</v>
      </c>
    </row>
    <row r="225" customFormat="false" ht="15" hidden="false" customHeight="false" outlineLevel="0" collapsed="false">
      <c r="A225" s="0"/>
      <c r="B225" s="0"/>
      <c r="C225" s="0"/>
      <c r="D225" s="0"/>
      <c r="E225" s="0"/>
      <c r="F225" s="0"/>
      <c r="G225" s="0"/>
      <c r="H225" s="0"/>
      <c r="I225" s="0"/>
      <c r="J225" s="0"/>
    </row>
    <row r="226" customFormat="false" ht="15" hidden="false" customHeight="false" outlineLevel="0" collapsed="false">
      <c r="A226" s="0"/>
      <c r="B226" s="87" t="str">
        <f aca="false">ORÇAMENTO!B71</f>
        <v>9.3</v>
      </c>
      <c r="C226" s="88" t="str">
        <f aca="false">VLOOKUP(B226,ORÇAMENTO!$B$17:$L$122,2,0)</f>
        <v>APLICAÇÃO DE FUNDO SELADOR LÁTEX PVA EM PAREDES, UMA DEMÃO</v>
      </c>
      <c r="D226" s="100"/>
      <c r="E226" s="100"/>
      <c r="F226" s="100"/>
      <c r="G226" s="100"/>
      <c r="H226" s="100"/>
      <c r="I226" s="100"/>
      <c r="J226" s="98" t="n">
        <f aca="false">SUM(J227:J238)</f>
        <v>173.93</v>
      </c>
    </row>
    <row r="227" customFormat="false" ht="15" hidden="false" customHeight="false" outlineLevel="0" collapsed="false">
      <c r="A227" s="0"/>
      <c r="B227" s="84"/>
      <c r="C227" s="90" t="s">
        <v>334</v>
      </c>
      <c r="D227" s="91" t="n">
        <v>3.25</v>
      </c>
      <c r="E227" s="91" t="s">
        <v>18</v>
      </c>
      <c r="F227" s="91" t="n">
        <v>2.8</v>
      </c>
      <c r="G227" s="92" t="n">
        <f aca="false">PRODUCT(D227,E227,F227)</f>
        <v>9.1</v>
      </c>
      <c r="H227" s="92" t="n">
        <v>0</v>
      </c>
      <c r="I227" s="91" t="n">
        <v>2</v>
      </c>
      <c r="J227" s="92" t="n">
        <f aca="false">IF(G227&gt;0,G227*I227,H227*I227)</f>
        <v>18.2</v>
      </c>
    </row>
    <row r="228" customFormat="false" ht="15" hidden="false" customHeight="false" outlineLevel="0" collapsed="false">
      <c r="A228" s="0"/>
      <c r="B228" s="84"/>
      <c r="C228" s="90" t="s">
        <v>335</v>
      </c>
      <c r="D228" s="91" t="n">
        <v>2.9</v>
      </c>
      <c r="E228" s="91" t="s">
        <v>18</v>
      </c>
      <c r="F228" s="91" t="n">
        <v>2.8</v>
      </c>
      <c r="G228" s="92" t="n">
        <f aca="false">PRODUCT(D228,E228,F228)</f>
        <v>8.12</v>
      </c>
      <c r="H228" s="92" t="n">
        <v>0</v>
      </c>
      <c r="I228" s="91" t="n">
        <v>1</v>
      </c>
      <c r="J228" s="100" t="n">
        <f aca="false">IF(G228&gt;0,G228*I228,H228*I228)</f>
        <v>8.12</v>
      </c>
    </row>
    <row r="229" customFormat="false" ht="15" hidden="false" customHeight="false" outlineLevel="0" collapsed="false">
      <c r="A229" s="0"/>
      <c r="B229" s="84"/>
      <c r="C229" s="90" t="s">
        <v>336</v>
      </c>
      <c r="D229" s="91" t="n">
        <v>2.65</v>
      </c>
      <c r="E229" s="91"/>
      <c r="F229" s="91" t="n">
        <v>2.8</v>
      </c>
      <c r="G229" s="92" t="n">
        <f aca="false">PRODUCT(D229,E229,F229)</f>
        <v>7.42</v>
      </c>
      <c r="H229" s="92" t="n">
        <v>0</v>
      </c>
      <c r="I229" s="91" t="n">
        <v>1</v>
      </c>
      <c r="J229" s="92" t="n">
        <f aca="false">IF(G229&gt;0,G229*I229,H229*I229)</f>
        <v>7.42</v>
      </c>
    </row>
    <row r="230" customFormat="false" ht="15" hidden="false" customHeight="false" outlineLevel="0" collapsed="false">
      <c r="A230" s="0"/>
      <c r="B230" s="84"/>
      <c r="C230" s="90" t="s">
        <v>337</v>
      </c>
      <c r="D230" s="91" t="n">
        <v>1.6</v>
      </c>
      <c r="E230" s="91" t="s">
        <v>18</v>
      </c>
      <c r="F230" s="91" t="n">
        <v>2.8</v>
      </c>
      <c r="G230" s="92" t="n">
        <f aca="false">PRODUCT(D230,E230,F230)</f>
        <v>4.48</v>
      </c>
      <c r="H230" s="92" t="n">
        <v>0</v>
      </c>
      <c r="I230" s="91" t="n">
        <v>1</v>
      </c>
      <c r="J230" s="92" t="n">
        <f aca="false">IF(G230&gt;0,G230*I230,H230*I230)</f>
        <v>4.48</v>
      </c>
    </row>
    <row r="231" customFormat="false" ht="15" hidden="false" customHeight="false" outlineLevel="0" collapsed="false">
      <c r="A231" s="0"/>
      <c r="B231" s="84"/>
      <c r="C231" s="90" t="s">
        <v>338</v>
      </c>
      <c r="D231" s="91" t="n">
        <v>2.9</v>
      </c>
      <c r="E231" s="91" t="s">
        <v>18</v>
      </c>
      <c r="F231" s="91" t="n">
        <v>2.8</v>
      </c>
      <c r="G231" s="92" t="n">
        <f aca="false">PRODUCT(D231,E231,F231)</f>
        <v>8.12</v>
      </c>
      <c r="H231" s="92" t="n">
        <v>0</v>
      </c>
      <c r="I231" s="91" t="n">
        <v>1</v>
      </c>
      <c r="J231" s="100" t="n">
        <f aca="false">IF(G231&gt;0,G231*I231,H231*I231)</f>
        <v>8.12</v>
      </c>
    </row>
    <row r="232" customFormat="false" ht="15" hidden="false" customHeight="false" outlineLevel="0" collapsed="false">
      <c r="A232" s="0"/>
      <c r="B232" s="84"/>
      <c r="C232" s="90" t="s">
        <v>339</v>
      </c>
      <c r="D232" s="91" t="n">
        <v>2.65</v>
      </c>
      <c r="E232" s="91"/>
      <c r="F232" s="91" t="n">
        <v>2.8</v>
      </c>
      <c r="G232" s="92" t="n">
        <f aca="false">PRODUCT(D232,E232,F232)</f>
        <v>7.42</v>
      </c>
      <c r="H232" s="92" t="n">
        <v>0</v>
      </c>
      <c r="I232" s="91" t="n">
        <v>2</v>
      </c>
      <c r="J232" s="92" t="n">
        <f aca="false">IF(G232&gt;0,G232*I232,H232*I232)</f>
        <v>14.84</v>
      </c>
    </row>
    <row r="233" customFormat="false" ht="15" hidden="false" customHeight="false" outlineLevel="0" collapsed="false">
      <c r="A233" s="0"/>
      <c r="B233" s="84"/>
      <c r="C233" s="90" t="s">
        <v>340</v>
      </c>
      <c r="D233" s="91" t="n">
        <v>1.6</v>
      </c>
      <c r="E233" s="91" t="s">
        <v>18</v>
      </c>
      <c r="F233" s="91" t="n">
        <v>5</v>
      </c>
      <c r="G233" s="92" t="n">
        <f aca="false">PRODUCT(D233,E233,F233)</f>
        <v>8</v>
      </c>
      <c r="H233" s="92" t="n">
        <v>0</v>
      </c>
      <c r="I233" s="91" t="n">
        <v>2</v>
      </c>
      <c r="J233" s="92" t="n">
        <f aca="false">IF(G233&gt;0,G233*I233,H233*I233)</f>
        <v>16</v>
      </c>
    </row>
    <row r="234" customFormat="false" ht="15" hidden="false" customHeight="false" outlineLevel="0" collapsed="false">
      <c r="A234" s="0"/>
      <c r="B234" s="84"/>
      <c r="C234" s="90" t="s">
        <v>341</v>
      </c>
      <c r="D234" s="91" t="n">
        <v>2.9</v>
      </c>
      <c r="E234" s="91" t="s">
        <v>18</v>
      </c>
      <c r="F234" s="91" t="n">
        <v>2</v>
      </c>
      <c r="G234" s="92" t="n">
        <f aca="false">PRODUCT(D234,E234,F234)</f>
        <v>5.8</v>
      </c>
      <c r="H234" s="92" t="n">
        <v>0</v>
      </c>
      <c r="I234" s="91" t="n">
        <v>2</v>
      </c>
      <c r="J234" s="100" t="n">
        <f aca="false">IF(G234&gt;0,G234*I234,H234*I234)</f>
        <v>11.6</v>
      </c>
    </row>
    <row r="235" customFormat="false" ht="15" hidden="false" customHeight="false" outlineLevel="0" collapsed="false">
      <c r="A235" s="0"/>
      <c r="B235" s="84"/>
      <c r="C235" s="90" t="s">
        <v>342</v>
      </c>
      <c r="D235" s="91" t="n">
        <v>2.65</v>
      </c>
      <c r="E235" s="91"/>
      <c r="F235" s="91" t="n">
        <v>2</v>
      </c>
      <c r="G235" s="92" t="n">
        <f aca="false">PRODUCT(D235,E235,F235)</f>
        <v>5.3</v>
      </c>
      <c r="H235" s="92" t="n">
        <v>0</v>
      </c>
      <c r="I235" s="91" t="n">
        <v>2</v>
      </c>
      <c r="J235" s="92" t="n">
        <f aca="false">IF(G235&gt;0,G235*I235,H235*I235)</f>
        <v>10.6</v>
      </c>
    </row>
    <row r="236" customFormat="false" ht="15" hidden="false" customHeight="false" outlineLevel="0" collapsed="false">
      <c r="A236" s="0"/>
      <c r="B236" s="84"/>
      <c r="C236" s="90" t="s">
        <v>343</v>
      </c>
      <c r="D236" s="91" t="n">
        <v>1.6</v>
      </c>
      <c r="E236" s="91" t="s">
        <v>18</v>
      </c>
      <c r="F236" s="91" t="n">
        <v>5</v>
      </c>
      <c r="G236" s="92" t="n">
        <f aca="false">PRODUCT(D236,E236,F236)</f>
        <v>8</v>
      </c>
      <c r="H236" s="92" t="n">
        <v>0</v>
      </c>
      <c r="I236" s="91" t="n">
        <v>2</v>
      </c>
      <c r="J236" s="92" t="n">
        <f aca="false">IF(G236&gt;0,G236*I236,H236*I236)</f>
        <v>16</v>
      </c>
    </row>
    <row r="237" customFormat="false" ht="15" hidden="false" customHeight="false" outlineLevel="0" collapsed="false">
      <c r="A237" s="0"/>
      <c r="B237" s="84"/>
      <c r="C237" s="90" t="s">
        <v>344</v>
      </c>
      <c r="D237" s="91" t="n">
        <v>2.9</v>
      </c>
      <c r="E237" s="91" t="s">
        <v>18</v>
      </c>
      <c r="F237" s="91" t="n">
        <v>5</v>
      </c>
      <c r="G237" s="92" t="n">
        <f aca="false">PRODUCT(D237,E237,F237)</f>
        <v>14.5</v>
      </c>
      <c r="H237" s="92" t="n">
        <v>0</v>
      </c>
      <c r="I237" s="91" t="n">
        <v>2</v>
      </c>
      <c r="J237" s="100" t="n">
        <f aca="false">IF(G237&gt;0,G237*I237,H237*I237)</f>
        <v>29</v>
      </c>
    </row>
    <row r="238" customFormat="false" ht="15" hidden="false" customHeight="false" outlineLevel="0" collapsed="false">
      <c r="A238" s="0"/>
      <c r="B238" s="84"/>
      <c r="C238" s="90" t="s">
        <v>333</v>
      </c>
      <c r="D238" s="91" t="n">
        <f aca="false">7.3+6.9+0.9+14.45</f>
        <v>29.55</v>
      </c>
      <c r="E238" s="91" t="s">
        <v>18</v>
      </c>
      <c r="F238" s="91" t="n">
        <v>0.5</v>
      </c>
      <c r="G238" s="92" t="n">
        <f aca="false">PRODUCT(D238,E238,F238)</f>
        <v>14.775</v>
      </c>
      <c r="H238" s="92" t="n">
        <v>0</v>
      </c>
      <c r="I238" s="91" t="n">
        <v>2</v>
      </c>
      <c r="J238" s="92" t="n">
        <f aca="false">IF(G238&gt;0,G238*I238,H238*I238)</f>
        <v>29.55</v>
      </c>
    </row>
    <row r="239" customFormat="false" ht="15" hidden="false" customHeight="false" outlineLevel="0" collapsed="false">
      <c r="A239" s="0"/>
      <c r="B239" s="0"/>
      <c r="C239" s="0"/>
      <c r="D239" s="0"/>
      <c r="E239" s="0"/>
      <c r="F239" s="0"/>
      <c r="G239" s="0"/>
      <c r="H239" s="0"/>
      <c r="I239" s="0"/>
      <c r="J239" s="0"/>
    </row>
    <row r="240" customFormat="false" ht="15" hidden="false" customHeight="false" outlineLevel="0" collapsed="false">
      <c r="A240" s="0"/>
      <c r="B240" s="87" t="str">
        <f aca="false">ORÇAMENTO!B72</f>
        <v>9.4</v>
      </c>
      <c r="C240" s="88" t="str">
        <f aca="false">VLOOKUP(B240,ORÇAMENTO!$B$17:$L$122,2,0)</f>
        <v>APLICAÇÃO E LIXAMENTO DE MASSA LÁTEX EM PAREDES, DUAS DEMÃOS</v>
      </c>
      <c r="D240" s="100"/>
      <c r="E240" s="100"/>
      <c r="F240" s="100"/>
      <c r="G240" s="100"/>
      <c r="H240" s="100"/>
      <c r="I240" s="100"/>
      <c r="J240" s="98" t="n">
        <f aca="false">SUM(J241:J247)</f>
        <v>74.21</v>
      </c>
    </row>
    <row r="241" customFormat="false" ht="15" hidden="false" customHeight="false" outlineLevel="0" collapsed="false">
      <c r="A241" s="0"/>
      <c r="B241" s="84"/>
      <c r="C241" s="90" t="s">
        <v>334</v>
      </c>
      <c r="D241" s="91" t="n">
        <v>3.25</v>
      </c>
      <c r="E241" s="91" t="s">
        <v>18</v>
      </c>
      <c r="F241" s="91" t="n">
        <v>2.8</v>
      </c>
      <c r="G241" s="92" t="n">
        <f aca="false">PRODUCT(D241,E241,F241)</f>
        <v>9.1</v>
      </c>
      <c r="H241" s="92" t="n">
        <v>0</v>
      </c>
      <c r="I241" s="91" t="n">
        <v>1</v>
      </c>
      <c r="J241" s="92" t="n">
        <f aca="false">IF(G241&gt;0,G241*I241,H241*I241)</f>
        <v>9.1</v>
      </c>
    </row>
    <row r="242" customFormat="false" ht="15" hidden="false" customHeight="false" outlineLevel="0" collapsed="false">
      <c r="A242" s="0"/>
      <c r="B242" s="84"/>
      <c r="C242" s="90" t="s">
        <v>335</v>
      </c>
      <c r="D242" s="91" t="n">
        <v>2.9</v>
      </c>
      <c r="E242" s="91" t="s">
        <v>18</v>
      </c>
      <c r="F242" s="91" t="n">
        <v>2.8</v>
      </c>
      <c r="G242" s="92" t="n">
        <f aca="false">PRODUCT(D242,E242,F242)</f>
        <v>8.12</v>
      </c>
      <c r="H242" s="92" t="n">
        <v>0</v>
      </c>
      <c r="I242" s="91" t="n">
        <v>1</v>
      </c>
      <c r="J242" s="100" t="n">
        <f aca="false">IF(G242&gt;0,G242*I242,H242*I242)</f>
        <v>8.12</v>
      </c>
    </row>
    <row r="243" customFormat="false" ht="15" hidden="false" customHeight="false" outlineLevel="0" collapsed="false">
      <c r="A243" s="0"/>
      <c r="B243" s="84"/>
      <c r="C243" s="90" t="s">
        <v>336</v>
      </c>
      <c r="D243" s="91" t="n">
        <v>2.65</v>
      </c>
      <c r="E243" s="91"/>
      <c r="F243" s="91" t="n">
        <v>2.8</v>
      </c>
      <c r="G243" s="92" t="n">
        <f aca="false">PRODUCT(D243,E243,F243)</f>
        <v>7.42</v>
      </c>
      <c r="H243" s="92" t="n">
        <v>0</v>
      </c>
      <c r="I243" s="91" t="n">
        <v>1</v>
      </c>
      <c r="J243" s="92" t="n">
        <f aca="false">IF(G243&gt;0,G243*I243,H243*I243)</f>
        <v>7.42</v>
      </c>
    </row>
    <row r="244" customFormat="false" ht="15" hidden="false" customHeight="false" outlineLevel="0" collapsed="false">
      <c r="A244" s="0"/>
      <c r="B244" s="84"/>
      <c r="C244" s="90" t="s">
        <v>337</v>
      </c>
      <c r="D244" s="91" t="n">
        <v>1.6</v>
      </c>
      <c r="E244" s="91" t="s">
        <v>18</v>
      </c>
      <c r="F244" s="91" t="n">
        <v>2.8</v>
      </c>
      <c r="G244" s="92" t="n">
        <f aca="false">PRODUCT(D244,E244,F244)</f>
        <v>4.48</v>
      </c>
      <c r="H244" s="92" t="n">
        <v>0</v>
      </c>
      <c r="I244" s="91" t="n">
        <v>1</v>
      </c>
      <c r="J244" s="92" t="n">
        <f aca="false">IF(G244&gt;0,G244*I244,H244*I244)</f>
        <v>4.48</v>
      </c>
    </row>
    <row r="245" customFormat="false" ht="15" hidden="false" customHeight="false" outlineLevel="0" collapsed="false">
      <c r="A245" s="0"/>
      <c r="B245" s="84"/>
      <c r="C245" s="90" t="s">
        <v>338</v>
      </c>
      <c r="D245" s="91" t="n">
        <v>2.9</v>
      </c>
      <c r="E245" s="91" t="s">
        <v>18</v>
      </c>
      <c r="F245" s="91" t="n">
        <v>2.8</v>
      </c>
      <c r="G245" s="92" t="n">
        <f aca="false">PRODUCT(D245,E245,F245)</f>
        <v>8.12</v>
      </c>
      <c r="H245" s="92" t="n">
        <v>0</v>
      </c>
      <c r="I245" s="91" t="n">
        <v>1</v>
      </c>
      <c r="J245" s="100" t="n">
        <f aca="false">IF(G245&gt;0,G245*I245,H245*I245)</f>
        <v>8.12</v>
      </c>
    </row>
    <row r="246" customFormat="false" ht="15" hidden="false" customHeight="false" outlineLevel="0" collapsed="false">
      <c r="A246" s="0"/>
      <c r="B246" s="84"/>
      <c r="C246" s="90" t="s">
        <v>339</v>
      </c>
      <c r="D246" s="91" t="n">
        <v>2.65</v>
      </c>
      <c r="E246" s="91"/>
      <c r="F246" s="91" t="n">
        <v>2.8</v>
      </c>
      <c r="G246" s="92" t="n">
        <f aca="false">PRODUCT(D246,E246,F246)</f>
        <v>7.42</v>
      </c>
      <c r="H246" s="92" t="n">
        <v>0</v>
      </c>
      <c r="I246" s="91" t="n">
        <v>1</v>
      </c>
      <c r="J246" s="92" t="n">
        <f aca="false">IF(G246&gt;0,G246*I246,H246*I246)</f>
        <v>7.42</v>
      </c>
    </row>
    <row r="247" customFormat="false" ht="15" hidden="false" customHeight="false" outlineLevel="0" collapsed="false">
      <c r="A247" s="0"/>
      <c r="B247" s="84"/>
      <c r="C247" s="90" t="s">
        <v>333</v>
      </c>
      <c r="D247" s="91" t="n">
        <f aca="false">7.3+6.9+0.9+14.45</f>
        <v>29.55</v>
      </c>
      <c r="E247" s="91" t="s">
        <v>18</v>
      </c>
      <c r="F247" s="91" t="n">
        <v>0.5</v>
      </c>
      <c r="G247" s="92" t="n">
        <f aca="false">PRODUCT(D247,E247,F247)</f>
        <v>14.775</v>
      </c>
      <c r="H247" s="92" t="n">
        <v>0</v>
      </c>
      <c r="I247" s="91" t="n">
        <v>2</v>
      </c>
      <c r="J247" s="92" t="n">
        <f aca="false">IF(G247&gt;0,G247*I247,H247*I247)</f>
        <v>29.55</v>
      </c>
    </row>
    <row r="248" customFormat="false" ht="15" hidden="false" customHeight="false" outlineLevel="0" collapsed="false">
      <c r="A248" s="0"/>
      <c r="B248" s="0"/>
      <c r="C248" s="0"/>
      <c r="D248" s="0"/>
      <c r="E248" s="0"/>
      <c r="F248" s="0"/>
      <c r="G248" s="0"/>
      <c r="H248" s="0"/>
      <c r="I248" s="0"/>
      <c r="J248" s="0"/>
    </row>
    <row r="249" customFormat="false" ht="15" hidden="false" customHeight="false" outlineLevel="0" collapsed="false">
      <c r="A249" s="0"/>
      <c r="B249" s="87" t="str">
        <f aca="false">ORÇAMENTO!B73</f>
        <v>9.5</v>
      </c>
      <c r="C249" s="88" t="str">
        <f aca="false">VLOOKUP(B249,ORÇAMENTO!$B$17:$L$122,2,0)</f>
        <v>APLICAÇÃO MANUAL DE PINTURA COM TINTA LÁTEX ACRÍLICA EM PAREDES, DUAS DEMÃOS</v>
      </c>
      <c r="D249" s="100"/>
      <c r="E249" s="100"/>
      <c r="F249" s="100"/>
      <c r="G249" s="100"/>
      <c r="H249" s="100"/>
      <c r="I249" s="100"/>
      <c r="J249" s="98" t="n">
        <f aca="false">SUM(J250:J256)</f>
        <v>74.21</v>
      </c>
    </row>
    <row r="250" customFormat="false" ht="15" hidden="false" customHeight="false" outlineLevel="0" collapsed="false">
      <c r="A250" s="0"/>
      <c r="B250" s="84"/>
      <c r="C250" s="90" t="s">
        <v>334</v>
      </c>
      <c r="D250" s="91" t="n">
        <v>3.25</v>
      </c>
      <c r="E250" s="91" t="s">
        <v>18</v>
      </c>
      <c r="F250" s="91" t="n">
        <v>2.8</v>
      </c>
      <c r="G250" s="92" t="n">
        <f aca="false">PRODUCT(D250,E250,F250)</f>
        <v>9.1</v>
      </c>
      <c r="H250" s="92" t="n">
        <v>0</v>
      </c>
      <c r="I250" s="91" t="n">
        <v>1</v>
      </c>
      <c r="J250" s="92" t="n">
        <f aca="false">IF(G250&gt;0,G250*I250,H250*I250)</f>
        <v>9.1</v>
      </c>
    </row>
    <row r="251" customFormat="false" ht="15" hidden="false" customHeight="false" outlineLevel="0" collapsed="false">
      <c r="A251" s="0"/>
      <c r="B251" s="84"/>
      <c r="C251" s="90" t="s">
        <v>335</v>
      </c>
      <c r="D251" s="91" t="n">
        <v>2.9</v>
      </c>
      <c r="E251" s="91" t="s">
        <v>18</v>
      </c>
      <c r="F251" s="91" t="n">
        <v>2.8</v>
      </c>
      <c r="G251" s="92" t="n">
        <f aca="false">PRODUCT(D251,E251,F251)</f>
        <v>8.12</v>
      </c>
      <c r="H251" s="92" t="n">
        <v>0</v>
      </c>
      <c r="I251" s="91" t="n">
        <v>1</v>
      </c>
      <c r="J251" s="100" t="n">
        <f aca="false">IF(G251&gt;0,G251*I251,H251*I251)</f>
        <v>8.12</v>
      </c>
    </row>
    <row r="252" customFormat="false" ht="15" hidden="false" customHeight="false" outlineLevel="0" collapsed="false">
      <c r="A252" s="0"/>
      <c r="B252" s="84"/>
      <c r="C252" s="90" t="s">
        <v>336</v>
      </c>
      <c r="D252" s="91" t="n">
        <v>2.65</v>
      </c>
      <c r="E252" s="91"/>
      <c r="F252" s="91" t="n">
        <v>2.8</v>
      </c>
      <c r="G252" s="92" t="n">
        <f aca="false">PRODUCT(D252,E252,F252)</f>
        <v>7.42</v>
      </c>
      <c r="H252" s="92" t="n">
        <v>0</v>
      </c>
      <c r="I252" s="91" t="n">
        <v>1</v>
      </c>
      <c r="J252" s="92" t="n">
        <f aca="false">IF(G252&gt;0,G252*I252,H252*I252)</f>
        <v>7.42</v>
      </c>
    </row>
    <row r="253" customFormat="false" ht="15" hidden="false" customHeight="false" outlineLevel="0" collapsed="false">
      <c r="A253" s="0"/>
      <c r="B253" s="84"/>
      <c r="C253" s="90" t="s">
        <v>337</v>
      </c>
      <c r="D253" s="91" t="n">
        <v>1.6</v>
      </c>
      <c r="E253" s="91" t="s">
        <v>18</v>
      </c>
      <c r="F253" s="91" t="n">
        <v>2.8</v>
      </c>
      <c r="G253" s="92" t="n">
        <f aca="false">PRODUCT(D253,E253,F253)</f>
        <v>4.48</v>
      </c>
      <c r="H253" s="92" t="n">
        <v>0</v>
      </c>
      <c r="I253" s="91" t="n">
        <v>1</v>
      </c>
      <c r="J253" s="92" t="n">
        <f aca="false">IF(G253&gt;0,G253*I253,H253*I253)</f>
        <v>4.48</v>
      </c>
    </row>
    <row r="254" customFormat="false" ht="15" hidden="false" customHeight="false" outlineLevel="0" collapsed="false">
      <c r="A254" s="0"/>
      <c r="B254" s="84"/>
      <c r="C254" s="90" t="s">
        <v>338</v>
      </c>
      <c r="D254" s="91" t="n">
        <v>2.9</v>
      </c>
      <c r="E254" s="91" t="s">
        <v>18</v>
      </c>
      <c r="F254" s="91" t="n">
        <v>2.8</v>
      </c>
      <c r="G254" s="92" t="n">
        <f aca="false">PRODUCT(D254,E254,F254)</f>
        <v>8.12</v>
      </c>
      <c r="H254" s="92" t="n">
        <v>0</v>
      </c>
      <c r="I254" s="91" t="n">
        <v>1</v>
      </c>
      <c r="J254" s="100" t="n">
        <f aca="false">IF(G254&gt;0,G254*I254,H254*I254)</f>
        <v>8.12</v>
      </c>
    </row>
    <row r="255" customFormat="false" ht="15" hidden="false" customHeight="false" outlineLevel="0" collapsed="false">
      <c r="A255" s="0"/>
      <c r="B255" s="84"/>
      <c r="C255" s="90" t="s">
        <v>339</v>
      </c>
      <c r="D255" s="91" t="n">
        <v>2.65</v>
      </c>
      <c r="E255" s="91"/>
      <c r="F255" s="91" t="n">
        <v>2.8</v>
      </c>
      <c r="G255" s="92" t="n">
        <f aca="false">PRODUCT(D255,E255,F255)</f>
        <v>7.42</v>
      </c>
      <c r="H255" s="92" t="n">
        <v>0</v>
      </c>
      <c r="I255" s="91" t="n">
        <v>1</v>
      </c>
      <c r="J255" s="92" t="n">
        <f aca="false">IF(G255&gt;0,G255*I255,H255*I255)</f>
        <v>7.42</v>
      </c>
    </row>
    <row r="256" customFormat="false" ht="15" hidden="false" customHeight="false" outlineLevel="0" collapsed="false">
      <c r="A256" s="0"/>
      <c r="B256" s="84"/>
      <c r="C256" s="90" t="s">
        <v>333</v>
      </c>
      <c r="D256" s="91" t="n">
        <f aca="false">7.3+6.9+0.9+14.45</f>
        <v>29.55</v>
      </c>
      <c r="E256" s="91" t="s">
        <v>18</v>
      </c>
      <c r="F256" s="91" t="n">
        <v>0.5</v>
      </c>
      <c r="G256" s="92" t="n">
        <f aca="false">PRODUCT(D256,E256,F256)</f>
        <v>14.775</v>
      </c>
      <c r="H256" s="92" t="n">
        <v>0</v>
      </c>
      <c r="I256" s="91" t="n">
        <v>2</v>
      </c>
      <c r="J256" s="92" t="n">
        <f aca="false">IF(G256&gt;0,G256*I256,H256*I256)</f>
        <v>29.55</v>
      </c>
    </row>
    <row r="257" customFormat="false" ht="15" hidden="false" customHeight="false" outlineLevel="0" collapsed="false">
      <c r="A257" s="0"/>
      <c r="B257" s="93"/>
      <c r="C257" s="94"/>
      <c r="D257" s="86"/>
      <c r="E257" s="86"/>
      <c r="F257" s="86"/>
      <c r="G257" s="86"/>
      <c r="H257" s="86"/>
      <c r="I257" s="86"/>
      <c r="J257" s="86"/>
    </row>
    <row r="258" customFormat="false" ht="15" hidden="false" customHeight="false" outlineLevel="0" collapsed="false">
      <c r="A258" s="0"/>
      <c r="B258" s="87" t="str">
        <f aca="false">ORÇAMENTO!B74</f>
        <v>9.6</v>
      </c>
      <c r="C258" s="88" t="str">
        <f aca="false">VLOOKUP(B258,ORÇAMENTO!$B$17:$L$122,2,0)</f>
        <v>APLICAÇÃO MANUAL DE PINTURA COM TINTA TEXTURIZADA ACRÍLICA EM PAREDES EXTERNAS, UMA COR</v>
      </c>
      <c r="D258" s="100"/>
      <c r="E258" s="100"/>
      <c r="F258" s="100"/>
      <c r="G258" s="100"/>
      <c r="H258" s="100"/>
      <c r="I258" s="100"/>
      <c r="J258" s="98" t="n">
        <f aca="false">SUM(J259:J269)</f>
        <v>119.74</v>
      </c>
    </row>
    <row r="259" customFormat="false" ht="15" hidden="false" customHeight="false" outlineLevel="0" collapsed="false">
      <c r="A259" s="0"/>
      <c r="B259" s="84"/>
      <c r="C259" s="90" t="s">
        <v>334</v>
      </c>
      <c r="D259" s="91" t="n">
        <v>3.25</v>
      </c>
      <c r="E259" s="91" t="s">
        <v>18</v>
      </c>
      <c r="F259" s="91" t="n">
        <v>2.8</v>
      </c>
      <c r="G259" s="92" t="n">
        <f aca="false">PRODUCT(D259,E259,F259)</f>
        <v>9.1</v>
      </c>
      <c r="H259" s="92" t="n">
        <v>0</v>
      </c>
      <c r="I259" s="91" t="n">
        <v>1</v>
      </c>
      <c r="J259" s="92" t="n">
        <f aca="false">IF(G259&gt;0,G259*I259,H259*I259)</f>
        <v>9.1</v>
      </c>
    </row>
    <row r="260" customFormat="false" ht="15" hidden="false" customHeight="false" outlineLevel="0" collapsed="false">
      <c r="A260" s="0"/>
      <c r="B260" s="84"/>
      <c r="C260" s="90" t="s">
        <v>335</v>
      </c>
      <c r="D260" s="91" t="n">
        <v>2.9</v>
      </c>
      <c r="E260" s="91" t="s">
        <v>18</v>
      </c>
      <c r="F260" s="91" t="n">
        <v>2.8</v>
      </c>
      <c r="G260" s="92" t="n">
        <f aca="false">PRODUCT(D260,E260,F260)</f>
        <v>8.12</v>
      </c>
      <c r="H260" s="92" t="n">
        <v>0</v>
      </c>
      <c r="I260" s="91" t="n">
        <v>1</v>
      </c>
      <c r="J260" s="100" t="n">
        <f aca="false">IF(G260&gt;0,G260*I260,H260*I260)</f>
        <v>8.12</v>
      </c>
    </row>
    <row r="261" customFormat="false" ht="15" hidden="false" customHeight="false" outlineLevel="0" collapsed="false">
      <c r="A261" s="0"/>
      <c r="B261" s="84"/>
      <c r="C261" s="90" t="s">
        <v>336</v>
      </c>
      <c r="D261" s="91" t="n">
        <v>2.65</v>
      </c>
      <c r="E261" s="91"/>
      <c r="F261" s="91" t="n">
        <v>2.8</v>
      </c>
      <c r="G261" s="92" t="n">
        <f aca="false">PRODUCT(D261,E261,F261)</f>
        <v>7.42</v>
      </c>
      <c r="H261" s="92" t="n">
        <v>0</v>
      </c>
      <c r="I261" s="91" t="n">
        <v>1</v>
      </c>
      <c r="J261" s="92" t="n">
        <f aca="false">IF(G261&gt;0,G261*I261,H261*I261)</f>
        <v>7.42</v>
      </c>
    </row>
    <row r="262" customFormat="false" ht="15" hidden="false" customHeight="false" outlineLevel="0" collapsed="false">
      <c r="A262" s="0"/>
      <c r="B262" s="84"/>
      <c r="C262" s="90" t="s">
        <v>337</v>
      </c>
      <c r="D262" s="91" t="n">
        <v>1.6</v>
      </c>
      <c r="E262" s="91" t="s">
        <v>18</v>
      </c>
      <c r="F262" s="91" t="n">
        <v>2.8</v>
      </c>
      <c r="G262" s="92" t="n">
        <f aca="false">PRODUCT(D262,E262,F262)</f>
        <v>4.48</v>
      </c>
      <c r="H262" s="92" t="n">
        <v>0</v>
      </c>
      <c r="I262" s="91" t="n">
        <v>1</v>
      </c>
      <c r="J262" s="92" t="n">
        <f aca="false">IF(G262&gt;0,G262*I262,H262*I262)</f>
        <v>4.48</v>
      </c>
    </row>
    <row r="263" customFormat="false" ht="15" hidden="false" customHeight="false" outlineLevel="0" collapsed="false">
      <c r="A263" s="0"/>
      <c r="B263" s="84"/>
      <c r="C263" s="90" t="s">
        <v>338</v>
      </c>
      <c r="D263" s="91" t="n">
        <v>2.9</v>
      </c>
      <c r="E263" s="91" t="s">
        <v>18</v>
      </c>
      <c r="F263" s="91" t="n">
        <v>2.8</v>
      </c>
      <c r="G263" s="92" t="n">
        <f aca="false">PRODUCT(D263,E263,F263)</f>
        <v>8.12</v>
      </c>
      <c r="H263" s="92" t="n">
        <v>0</v>
      </c>
      <c r="I263" s="91" t="n">
        <v>0</v>
      </c>
      <c r="J263" s="100" t="n">
        <f aca="false">IF(G263&gt;0,G263*I263,H263*I263)</f>
        <v>0</v>
      </c>
    </row>
    <row r="264" customFormat="false" ht="15" hidden="false" customHeight="false" outlineLevel="0" collapsed="false">
      <c r="A264" s="0"/>
      <c r="B264" s="84"/>
      <c r="C264" s="90" t="s">
        <v>339</v>
      </c>
      <c r="D264" s="91" t="n">
        <v>2.65</v>
      </c>
      <c r="E264" s="91"/>
      <c r="F264" s="91" t="n">
        <v>2.8</v>
      </c>
      <c r="G264" s="92" t="n">
        <f aca="false">PRODUCT(D264,E264,F264)</f>
        <v>7.42</v>
      </c>
      <c r="H264" s="92" t="n">
        <v>0</v>
      </c>
      <c r="I264" s="91" t="n">
        <v>1</v>
      </c>
      <c r="J264" s="92" t="n">
        <f aca="false">IF(G264&gt;0,G264*I264,H264*I264)</f>
        <v>7.42</v>
      </c>
    </row>
    <row r="265" customFormat="false" ht="15" hidden="false" customHeight="false" outlineLevel="0" collapsed="false">
      <c r="A265" s="0"/>
      <c r="B265" s="84"/>
      <c r="C265" s="90" t="s">
        <v>340</v>
      </c>
      <c r="D265" s="91" t="n">
        <v>1.6</v>
      </c>
      <c r="E265" s="91" t="s">
        <v>18</v>
      </c>
      <c r="F265" s="91" t="n">
        <v>5</v>
      </c>
      <c r="G265" s="92" t="n">
        <f aca="false">PRODUCT(D265,E265,F265)</f>
        <v>8</v>
      </c>
      <c r="H265" s="92" t="n">
        <v>0</v>
      </c>
      <c r="I265" s="91" t="n">
        <v>2</v>
      </c>
      <c r="J265" s="92" t="n">
        <f aca="false">IF(G265&gt;0,G265*I265,H265*I265)</f>
        <v>16</v>
      </c>
    </row>
    <row r="266" customFormat="false" ht="15" hidden="false" customHeight="false" outlineLevel="0" collapsed="false">
      <c r="A266" s="0"/>
      <c r="B266" s="84"/>
      <c r="C266" s="90" t="s">
        <v>341</v>
      </c>
      <c r="D266" s="91" t="n">
        <v>2.9</v>
      </c>
      <c r="E266" s="91" t="s">
        <v>18</v>
      </c>
      <c r="F266" s="91" t="n">
        <v>2</v>
      </c>
      <c r="G266" s="92" t="n">
        <f aca="false">PRODUCT(D266,E266,F266)</f>
        <v>5.8</v>
      </c>
      <c r="H266" s="92" t="n">
        <v>0</v>
      </c>
      <c r="I266" s="91" t="n">
        <v>2</v>
      </c>
      <c r="J266" s="100" t="n">
        <f aca="false">IF(G266&gt;0,G266*I266,H266*I266)</f>
        <v>11.6</v>
      </c>
    </row>
    <row r="267" customFormat="false" ht="15" hidden="false" customHeight="false" outlineLevel="0" collapsed="false">
      <c r="A267" s="0"/>
      <c r="B267" s="84"/>
      <c r="C267" s="90" t="s">
        <v>342</v>
      </c>
      <c r="D267" s="91" t="n">
        <v>2.65</v>
      </c>
      <c r="E267" s="91"/>
      <c r="F267" s="91" t="n">
        <v>2</v>
      </c>
      <c r="G267" s="92" t="n">
        <f aca="false">PRODUCT(D267,E267,F267)</f>
        <v>5.3</v>
      </c>
      <c r="H267" s="92" t="n">
        <v>0</v>
      </c>
      <c r="I267" s="91" t="n">
        <v>2</v>
      </c>
      <c r="J267" s="92" t="n">
        <f aca="false">IF(G267&gt;0,G267*I267,H267*I267)</f>
        <v>10.6</v>
      </c>
    </row>
    <row r="268" customFormat="false" ht="15" hidden="false" customHeight="false" outlineLevel="0" collapsed="false">
      <c r="A268" s="0"/>
      <c r="B268" s="84"/>
      <c r="C268" s="90" t="s">
        <v>343</v>
      </c>
      <c r="D268" s="91" t="n">
        <v>1.6</v>
      </c>
      <c r="E268" s="91" t="s">
        <v>18</v>
      </c>
      <c r="F268" s="91" t="n">
        <v>5</v>
      </c>
      <c r="G268" s="92" t="n">
        <f aca="false">PRODUCT(D268,E268,F268)</f>
        <v>8</v>
      </c>
      <c r="H268" s="92" t="n">
        <v>0</v>
      </c>
      <c r="I268" s="91" t="n">
        <v>2</v>
      </c>
      <c r="J268" s="92" t="n">
        <f aca="false">IF(G268&gt;0,G268*I268,H268*I268)</f>
        <v>16</v>
      </c>
    </row>
    <row r="269" customFormat="false" ht="15" hidden="false" customHeight="false" outlineLevel="0" collapsed="false">
      <c r="A269" s="0"/>
      <c r="B269" s="84"/>
      <c r="C269" s="90" t="s">
        <v>344</v>
      </c>
      <c r="D269" s="91" t="n">
        <v>2.9</v>
      </c>
      <c r="E269" s="91" t="s">
        <v>18</v>
      </c>
      <c r="F269" s="91" t="n">
        <v>5</v>
      </c>
      <c r="G269" s="92" t="n">
        <f aca="false">PRODUCT(D269,E269,F269)</f>
        <v>14.5</v>
      </c>
      <c r="H269" s="92" t="n">
        <v>0</v>
      </c>
      <c r="I269" s="91" t="n">
        <v>2</v>
      </c>
      <c r="J269" s="100" t="n">
        <f aca="false">IF(G269&gt;0,G269*I269,H269*I269)</f>
        <v>29</v>
      </c>
    </row>
    <row r="270" customFormat="false" ht="15" hidden="false" customHeight="false" outlineLevel="0" collapsed="false">
      <c r="A270" s="0"/>
      <c r="B270" s="93"/>
      <c r="C270" s="94"/>
      <c r="D270" s="86"/>
      <c r="E270" s="86"/>
      <c r="F270" s="86"/>
      <c r="G270" s="86"/>
      <c r="H270" s="86"/>
      <c r="I270" s="86"/>
      <c r="J270" s="86"/>
    </row>
    <row r="271" customFormat="false" ht="15" hidden="false" customHeight="false" outlineLevel="0" collapsed="false">
      <c r="A271" s="0"/>
      <c r="B271" s="87" t="str">
        <f aca="false">ORÇAMENTO!B75</f>
        <v>9.7</v>
      </c>
      <c r="C271" s="88" t="str">
        <f aca="false">VLOOKUP(B271,ORÇAMENTO!$B$17:$L$122,2,0)</f>
        <v>PINTURA ESMALTE ACETINADO, DUAS DEMAOS, SOBRE SUPERFICIE METALICA</v>
      </c>
      <c r="D271" s="100"/>
      <c r="E271" s="100"/>
      <c r="F271" s="100"/>
      <c r="G271" s="100"/>
      <c r="H271" s="100"/>
      <c r="I271" s="100"/>
      <c r="J271" s="89" t="n">
        <f aca="false">SUM(J272:J273)</f>
        <v>85.23</v>
      </c>
    </row>
    <row r="272" customFormat="false" ht="15" hidden="false" customHeight="false" outlineLevel="0" collapsed="false">
      <c r="A272" s="0"/>
      <c r="B272" s="95"/>
      <c r="C272" s="90" t="s">
        <v>345</v>
      </c>
      <c r="D272" s="91" t="n">
        <v>1</v>
      </c>
      <c r="E272" s="91" t="s">
        <v>18</v>
      </c>
      <c r="F272" s="91" t="n">
        <v>2.1</v>
      </c>
      <c r="G272" s="92" t="n">
        <f aca="false">PRODUCT(D272,E272,F272)</f>
        <v>2.1</v>
      </c>
      <c r="H272" s="92" t="n">
        <v>0</v>
      </c>
      <c r="I272" s="91" t="n">
        <v>4</v>
      </c>
      <c r="J272" s="92" t="n">
        <f aca="false">IF(G272&gt;0,G272*I272,H272*I272)</f>
        <v>8.4</v>
      </c>
    </row>
    <row r="273" customFormat="false" ht="15" hidden="false" customHeight="false" outlineLevel="0" collapsed="false">
      <c r="A273" s="0"/>
      <c r="B273" s="95"/>
      <c r="C273" s="90" t="s">
        <v>333</v>
      </c>
      <c r="D273" s="91" t="n">
        <f aca="false">7.3+6.9+0.9+14.45</f>
        <v>29.55</v>
      </c>
      <c r="E273" s="91" t="s">
        <v>18</v>
      </c>
      <c r="F273" s="91" t="n">
        <v>1.3</v>
      </c>
      <c r="G273" s="92" t="n">
        <f aca="false">PRODUCT(D273,E273,F273)</f>
        <v>38.415</v>
      </c>
      <c r="H273" s="92" t="n">
        <v>0</v>
      </c>
      <c r="I273" s="91" t="n">
        <v>2</v>
      </c>
      <c r="J273" s="92" t="n">
        <f aca="false">IF(G273&gt;0,G273*I273,H273*I273)</f>
        <v>76.83</v>
      </c>
    </row>
    <row r="274" customFormat="false" ht="15" hidden="false" customHeight="false" outlineLevel="0" collapsed="false">
      <c r="A274" s="0"/>
      <c r="B274" s="93"/>
      <c r="C274" s="94"/>
      <c r="D274" s="86"/>
      <c r="E274" s="86"/>
      <c r="F274" s="86"/>
      <c r="G274" s="86"/>
      <c r="H274" s="86"/>
      <c r="I274" s="86"/>
      <c r="J274" s="86"/>
    </row>
    <row r="275" customFormat="false" ht="15" hidden="false" customHeight="false" outlineLevel="0" collapsed="false">
      <c r="A275" s="0"/>
      <c r="B275" s="87" t="str">
        <f aca="false">ORÇAMENTO!B76</f>
        <v>9.8</v>
      </c>
      <c r="C275" s="88" t="str">
        <f aca="false">VLOOKUP(B275,ORÇAMENTO!$B$17:$L$122,2,0)</f>
        <v>PINTURA POSTE RETO DE ACO 3,5 A 6M C/1 DEMAO D/TINTA GRAFITE C/PROPRIEDADES DE PRIMER E ACABAMENTO - OBS: C/ALTO TEOR DE ZARCAO</v>
      </c>
      <c r="D275" s="88"/>
      <c r="E275" s="88"/>
      <c r="F275" s="88"/>
      <c r="G275" s="88"/>
      <c r="H275" s="88"/>
      <c r="I275" s="88"/>
      <c r="J275" s="89" t="n">
        <f aca="false">SUM(J276:J277)</f>
        <v>2</v>
      </c>
    </row>
    <row r="276" customFormat="false" ht="15" hidden="false" customHeight="false" outlineLevel="0" collapsed="false">
      <c r="A276" s="0"/>
      <c r="B276" s="95"/>
      <c r="C276" s="90" t="s">
        <v>360</v>
      </c>
      <c r="D276" s="91" t="s">
        <v>18</v>
      </c>
      <c r="E276" s="91" t="s">
        <v>18</v>
      </c>
      <c r="F276" s="91" t="s">
        <v>18</v>
      </c>
      <c r="G276" s="92" t="s">
        <v>18</v>
      </c>
      <c r="H276" s="92" t="s">
        <v>18</v>
      </c>
      <c r="I276" s="91" t="n">
        <v>2</v>
      </c>
      <c r="J276" s="92" t="n">
        <f aca="false">I276</f>
        <v>2</v>
      </c>
    </row>
    <row r="277" customFormat="false" ht="15" hidden="false" customHeight="false" outlineLevel="0" collapsed="false">
      <c r="A277" s="0"/>
      <c r="B277" s="93"/>
      <c r="C277" s="94"/>
      <c r="D277" s="86"/>
      <c r="E277" s="86"/>
      <c r="F277" s="86"/>
      <c r="G277" s="86"/>
      <c r="H277" s="86"/>
      <c r="I277" s="86"/>
      <c r="J277" s="86"/>
    </row>
    <row r="278" customFormat="false" ht="15" hidden="false" customHeight="false" outlineLevel="0" collapsed="false">
      <c r="A278" s="0"/>
      <c r="B278" s="31" t="str">
        <f aca="false">ORÇAMENTO!C78</f>
        <v>PISO E PAVIMENTAÇÃO (URBANIZAÇÃO)</v>
      </c>
      <c r="C278" s="31" t="n">
        <f aca="false">[1]'ORÇAMENTO CONSTRUÇÃO'!C326</f>
        <v>0</v>
      </c>
      <c r="D278" s="31"/>
      <c r="E278" s="31"/>
      <c r="F278" s="31"/>
      <c r="G278" s="31"/>
      <c r="H278" s="31"/>
      <c r="I278" s="31"/>
      <c r="J278" s="31"/>
    </row>
    <row r="279" customFormat="false" ht="15" hidden="false" customHeight="false" outlineLevel="0" collapsed="false">
      <c r="A279" s="0"/>
      <c r="B279" s="99"/>
      <c r="C279" s="99"/>
      <c r="D279" s="93"/>
      <c r="E279" s="93"/>
      <c r="F279" s="93"/>
      <c r="G279" s="93"/>
      <c r="H279" s="93"/>
      <c r="I279" s="93"/>
      <c r="J279" s="93"/>
    </row>
    <row r="280" customFormat="false" ht="15" hidden="false" customHeight="false" outlineLevel="0" collapsed="false">
      <c r="A280" s="0"/>
      <c r="B280" s="87" t="str">
        <f aca="false">ORÇAMENTO!B79</f>
        <v>10.1</v>
      </c>
      <c r="C280" s="88" t="str">
        <f aca="false">VLOOKUP(B280,ORÇAMENTO!$B$17:$L$122,2,0)</f>
        <v>CONTRAPISO/LASTRO DE CONCRETO NAO-ESTRUTURAL, E=5CM</v>
      </c>
      <c r="D280" s="88"/>
      <c r="E280" s="88"/>
      <c r="F280" s="88"/>
      <c r="G280" s="88"/>
      <c r="H280" s="88"/>
      <c r="I280" s="88"/>
      <c r="J280" s="89" t="n">
        <f aca="false">SUM(J281:J282)</f>
        <v>4.68</v>
      </c>
    </row>
    <row r="281" customFormat="false" ht="15" hidden="false" customHeight="false" outlineLevel="0" collapsed="false">
      <c r="A281" s="0"/>
      <c r="B281" s="95"/>
      <c r="C281" s="90" t="s">
        <v>345</v>
      </c>
      <c r="D281" s="91" t="s">
        <v>18</v>
      </c>
      <c r="E281" s="91" t="s">
        <v>18</v>
      </c>
      <c r="F281" s="91" t="s">
        <v>18</v>
      </c>
      <c r="G281" s="91" t="n">
        <v>3.45</v>
      </c>
      <c r="H281" s="91" t="n">
        <v>0</v>
      </c>
      <c r="I281" s="91" t="n">
        <v>1</v>
      </c>
      <c r="J281" s="92" t="n">
        <f aca="false">IF(G281&gt;0,G281*I281,H281*I281)</f>
        <v>3.45</v>
      </c>
    </row>
    <row r="282" customFormat="false" ht="15" hidden="false" customHeight="false" outlineLevel="0" collapsed="false">
      <c r="A282" s="0"/>
      <c r="B282" s="95"/>
      <c r="C282" s="90" t="s">
        <v>346</v>
      </c>
      <c r="D282" s="91"/>
      <c r="E282" s="91"/>
      <c r="F282" s="91"/>
      <c r="G282" s="91" t="n">
        <v>1.23</v>
      </c>
      <c r="H282" s="91" t="n">
        <v>0</v>
      </c>
      <c r="I282" s="91" t="n">
        <v>1</v>
      </c>
      <c r="J282" s="92" t="n">
        <f aca="false">IF(G282&gt;0,G282*I282,H282*I282)</f>
        <v>1.23</v>
      </c>
    </row>
    <row r="283" customFormat="false" ht="15" hidden="false" customHeight="false" outlineLevel="0" collapsed="false">
      <c r="A283" s="0"/>
      <c r="B283" s="99"/>
      <c r="C283" s="99"/>
      <c r="D283" s="99"/>
      <c r="E283" s="93"/>
      <c r="F283" s="93"/>
      <c r="G283" s="93"/>
      <c r="H283" s="93"/>
      <c r="I283" s="93"/>
      <c r="J283" s="93"/>
    </row>
    <row r="284" customFormat="false" ht="15" hidden="false" customHeight="false" outlineLevel="0" collapsed="false">
      <c r="A284" s="0"/>
      <c r="B284" s="87" t="str">
        <f aca="false">ORÇAMENTO!B80</f>
        <v>10.2</v>
      </c>
      <c r="C284" s="88" t="str">
        <f aca="false">VLOOKUP(B284,ORÇAMENTO!$B$17:$L$122,2,0)</f>
        <v>ARGAMASSA TRAÇO 1:3 (CIMENTO E AREIA MÉDIA) PARA CONTRAPISO</v>
      </c>
      <c r="D284" s="88"/>
      <c r="E284" s="88"/>
      <c r="F284" s="88"/>
      <c r="G284" s="88"/>
      <c r="H284" s="88"/>
      <c r="I284" s="88"/>
      <c r="J284" s="89" t="n">
        <f aca="false">SUM(J285:J286)</f>
        <v>0.234</v>
      </c>
    </row>
    <row r="285" customFormat="false" ht="15" hidden="false" customHeight="false" outlineLevel="0" collapsed="false">
      <c r="A285" s="0"/>
      <c r="B285" s="95"/>
      <c r="C285" s="90" t="s">
        <v>345</v>
      </c>
      <c r="D285" s="91" t="s">
        <v>18</v>
      </c>
      <c r="E285" s="91" t="s">
        <v>18</v>
      </c>
      <c r="F285" s="91" t="n">
        <v>0.05</v>
      </c>
      <c r="G285" s="91" t="n">
        <v>3.45</v>
      </c>
      <c r="H285" s="91" t="n">
        <f aca="false">F285*G285</f>
        <v>0.1725</v>
      </c>
      <c r="I285" s="91" t="n">
        <v>1</v>
      </c>
      <c r="J285" s="92" t="n">
        <f aca="false">H285*I285</f>
        <v>0.1725</v>
      </c>
    </row>
    <row r="286" customFormat="false" ht="15" hidden="false" customHeight="false" outlineLevel="0" collapsed="false">
      <c r="A286" s="0"/>
      <c r="B286" s="95"/>
      <c r="C286" s="90" t="s">
        <v>346</v>
      </c>
      <c r="D286" s="91"/>
      <c r="E286" s="91"/>
      <c r="F286" s="91" t="n">
        <v>0.05</v>
      </c>
      <c r="G286" s="91" t="n">
        <v>1.23</v>
      </c>
      <c r="H286" s="91" t="n">
        <f aca="false">F286*G286</f>
        <v>0.0615</v>
      </c>
      <c r="I286" s="91" t="n">
        <v>1</v>
      </c>
      <c r="J286" s="92" t="n">
        <f aca="false">H286*I286</f>
        <v>0.0615</v>
      </c>
    </row>
    <row r="287" customFormat="false" ht="15" hidden="false" customHeight="false" outlineLevel="0" collapsed="false">
      <c r="A287" s="0"/>
      <c r="B287" s="0"/>
      <c r="C287" s="94"/>
      <c r="D287" s="86"/>
      <c r="E287" s="86"/>
      <c r="F287" s="86"/>
      <c r="G287" s="86"/>
      <c r="H287" s="86"/>
      <c r="I287" s="86"/>
      <c r="J287" s="86"/>
    </row>
    <row r="288" customFormat="false" ht="15" hidden="false" customHeight="false" outlineLevel="0" collapsed="false">
      <c r="A288" s="0"/>
      <c r="B288" s="87" t="str">
        <f aca="false">ORÇAMENTO!B81</f>
        <v>10.3</v>
      </c>
      <c r="C288" s="88" t="str">
        <f aca="false">VLOOKUP(B288,ORÇAMENTO!$B$17:$L$122,2,0)</f>
        <v>COLCHAO DE AREIA PARA PAVIMENTACAO EM PARALELEPIPEDO OU BLOCOS DE CONCRETO INTERTRAVADOS</v>
      </c>
      <c r="D288" s="88"/>
      <c r="E288" s="88"/>
      <c r="F288" s="88"/>
      <c r="G288" s="88"/>
      <c r="H288" s="88"/>
      <c r="I288" s="88"/>
      <c r="J288" s="89" t="n">
        <f aca="false">SUM(J289:J290)</f>
        <v>22.436</v>
      </c>
    </row>
    <row r="289" customFormat="false" ht="15" hidden="false" customHeight="false" outlineLevel="0" collapsed="false">
      <c r="A289" s="0"/>
      <c r="B289" s="95"/>
      <c r="C289" s="90" t="s">
        <v>361</v>
      </c>
      <c r="D289" s="91" t="s">
        <v>18</v>
      </c>
      <c r="E289" s="91" t="s">
        <v>18</v>
      </c>
      <c r="F289" s="91" t="n">
        <v>0</v>
      </c>
      <c r="G289" s="91" t="n">
        <v>824.91</v>
      </c>
      <c r="H289" s="91" t="n">
        <f aca="false">F289*G289</f>
        <v>0</v>
      </c>
      <c r="I289" s="91" t="n">
        <v>1</v>
      </c>
      <c r="J289" s="92" t="n">
        <f aca="false">H289*I289</f>
        <v>0</v>
      </c>
    </row>
    <row r="290" customFormat="false" ht="15" hidden="false" customHeight="false" outlineLevel="0" collapsed="false">
      <c r="A290" s="0"/>
      <c r="B290" s="95"/>
      <c r="C290" s="90" t="s">
        <v>362</v>
      </c>
      <c r="D290" s="91" t="s">
        <v>18</v>
      </c>
      <c r="E290" s="91" t="s">
        <v>18</v>
      </c>
      <c r="F290" s="91" t="n">
        <v>0.2</v>
      </c>
      <c r="G290" s="91" t="n">
        <v>112.18</v>
      </c>
      <c r="H290" s="91" t="n">
        <f aca="false">F290*G290</f>
        <v>22.436</v>
      </c>
      <c r="I290" s="91" t="n">
        <v>1</v>
      </c>
      <c r="J290" s="92" t="n">
        <f aca="false">H290*I290</f>
        <v>22.436</v>
      </c>
    </row>
    <row r="291" customFormat="false" ht="15" hidden="false" customHeight="false" outlineLevel="0" collapsed="false">
      <c r="A291" s="0"/>
      <c r="B291" s="0"/>
      <c r="C291" s="94"/>
      <c r="D291" s="86"/>
      <c r="E291" s="86"/>
      <c r="F291" s="86"/>
      <c r="G291" s="86"/>
      <c r="H291" s="86"/>
      <c r="I291" s="86"/>
      <c r="J291" s="86"/>
    </row>
    <row r="292" customFormat="false" ht="15" hidden="false" customHeight="false" outlineLevel="0" collapsed="false">
      <c r="A292" s="0"/>
      <c r="B292" s="87" t="str">
        <f aca="false">ORÇAMENTO!B82</f>
        <v>10.4</v>
      </c>
      <c r="C292" s="88" t="str">
        <f aca="false">VLOOKUP(B292,ORÇAMENTO!$B$17:$L$122,2,0)</f>
        <v>PISO INTERTRAVADO TIPO TIJOLINHO (19,9X10X4)CM CINZA</v>
      </c>
      <c r="D292" s="88"/>
      <c r="E292" s="88"/>
      <c r="F292" s="88"/>
      <c r="G292" s="88"/>
      <c r="H292" s="88"/>
      <c r="I292" s="88"/>
      <c r="J292" s="89" t="n">
        <f aca="false">SUM(J293:J293)</f>
        <v>112.18</v>
      </c>
    </row>
    <row r="293" customFormat="false" ht="15" hidden="false" customHeight="false" outlineLevel="0" collapsed="false">
      <c r="A293" s="0"/>
      <c r="B293" s="95"/>
      <c r="C293" s="90" t="s">
        <v>362</v>
      </c>
      <c r="D293" s="91" t="s">
        <v>18</v>
      </c>
      <c r="E293" s="91" t="s">
        <v>18</v>
      </c>
      <c r="F293" s="91" t="s">
        <v>18</v>
      </c>
      <c r="G293" s="91" t="n">
        <v>112.18</v>
      </c>
      <c r="H293" s="91" t="n">
        <v>0</v>
      </c>
      <c r="I293" s="91" t="n">
        <v>1</v>
      </c>
      <c r="J293" s="92" t="n">
        <f aca="false">IF(G293&gt;0,G293*I293,H293*I293)</f>
        <v>112.18</v>
      </c>
    </row>
    <row r="294" customFormat="false" ht="15" hidden="false" customHeight="false" outlineLevel="0" collapsed="false">
      <c r="A294" s="0"/>
      <c r="B294" s="0"/>
      <c r="C294" s="94"/>
      <c r="D294" s="86"/>
      <c r="E294" s="86"/>
      <c r="F294" s="86"/>
      <c r="G294" s="86"/>
      <c r="H294" s="86"/>
      <c r="I294" s="86"/>
      <c r="J294" s="86"/>
    </row>
    <row r="295" customFormat="false" ht="15" hidden="false" customHeight="false" outlineLevel="0" collapsed="false">
      <c r="A295" s="0"/>
      <c r="B295" s="87" t="str">
        <f aca="false">ORÇAMENTO!B83</f>
        <v>10.5</v>
      </c>
      <c r="C295" s="88" t="str">
        <f aca="false">VLOOKUP(B295,ORÇAMENTO!$B$17:$L$122,2,0)</f>
        <v>PAVIMENTACAO EM BLOCOS DE CONCRETO SEXTAVADO, ESPESSURA 8 CM, COM JUNTA RÍGIDA, EM ARGAMASSA NO TRACO 1:4 (CIMENTO E AREIA), COM APOIO DE CAMINHÃO TOCO</v>
      </c>
      <c r="D295" s="88"/>
      <c r="E295" s="88"/>
      <c r="F295" s="88"/>
      <c r="G295" s="88"/>
      <c r="H295" s="88"/>
      <c r="I295" s="88"/>
      <c r="J295" s="89" t="n">
        <f aca="false">SUM(J296:J296)</f>
        <v>824.91</v>
      </c>
    </row>
    <row r="296" customFormat="false" ht="15" hidden="false" customHeight="false" outlineLevel="0" collapsed="false">
      <c r="A296" s="0"/>
      <c r="B296" s="95"/>
      <c r="C296" s="90" t="s">
        <v>361</v>
      </c>
      <c r="D296" s="91" t="s">
        <v>18</v>
      </c>
      <c r="E296" s="91" t="s">
        <v>18</v>
      </c>
      <c r="F296" s="91" t="s">
        <v>18</v>
      </c>
      <c r="G296" s="91" t="n">
        <v>824.91</v>
      </c>
      <c r="H296" s="91" t="n">
        <v>0</v>
      </c>
      <c r="I296" s="91" t="n">
        <v>1</v>
      </c>
      <c r="J296" s="92" t="n">
        <f aca="false">IF(G296&gt;0,G296*I296,H296*I296)</f>
        <v>824.91</v>
      </c>
    </row>
    <row r="297" customFormat="false" ht="15" hidden="false" customHeight="false" outlineLevel="0" collapsed="false">
      <c r="A297" s="0"/>
      <c r="B297" s="0"/>
      <c r="C297" s="94"/>
      <c r="D297" s="86"/>
      <c r="E297" s="86"/>
      <c r="F297" s="86"/>
      <c r="G297" s="86"/>
      <c r="H297" s="86"/>
      <c r="I297" s="86"/>
      <c r="J297" s="86"/>
    </row>
    <row r="298" customFormat="false" ht="15" hidden="false" customHeight="false" outlineLevel="0" collapsed="false">
      <c r="A298" s="0"/>
      <c r="B298" s="87" t="str">
        <f aca="false">ORÇAMENTO!B84</f>
        <v>10.6</v>
      </c>
      <c r="C298" s="88" t="str">
        <f aca="false">VLOOKUP(B298,ORÇAMENTO!$B$17:$L$122,2,0)</f>
        <v>PISO CIMENTADO TRACO 1:3 (CIMENTO E AREIA) ACABAMENTO LISO ESPESSURA 3,5CM, PREPARO MANUAL DA ARGAMASSA</v>
      </c>
      <c r="D298" s="88"/>
      <c r="E298" s="88"/>
      <c r="F298" s="88"/>
      <c r="G298" s="88"/>
      <c r="H298" s="88"/>
      <c r="I298" s="88"/>
      <c r="J298" s="89" t="n">
        <f aca="false">SUM(J299:J300)</f>
        <v>336.55</v>
      </c>
    </row>
    <row r="299" customFormat="false" ht="15" hidden="false" customHeight="false" outlineLevel="0" collapsed="false">
      <c r="A299" s="0"/>
      <c r="B299" s="95"/>
      <c r="C299" s="90" t="s">
        <v>363</v>
      </c>
      <c r="D299" s="91" t="s">
        <v>18</v>
      </c>
      <c r="E299" s="91" t="s">
        <v>18</v>
      </c>
      <c r="F299" s="91" t="s">
        <v>18</v>
      </c>
      <c r="G299" s="91" t="n">
        <f aca="false">24.05+23+8+202.4</f>
        <v>257.45</v>
      </c>
      <c r="H299" s="91" t="n">
        <v>0</v>
      </c>
      <c r="I299" s="91" t="n">
        <v>1</v>
      </c>
      <c r="J299" s="92" t="n">
        <f aca="false">IF(G299&gt;0,G299*I299,H299*I299)</f>
        <v>257.45</v>
      </c>
    </row>
    <row r="300" customFormat="false" ht="15" hidden="false" customHeight="false" outlineLevel="0" collapsed="false">
      <c r="A300" s="0"/>
      <c r="B300" s="95"/>
      <c r="C300" s="90" t="s">
        <v>364</v>
      </c>
      <c r="D300" s="91" t="s">
        <v>18</v>
      </c>
      <c r="E300" s="91" t="s">
        <v>18</v>
      </c>
      <c r="F300" s="91" t="s">
        <v>18</v>
      </c>
      <c r="G300" s="91" t="n">
        <f aca="false">51+28.1</f>
        <v>79.1</v>
      </c>
      <c r="H300" s="91" t="n">
        <v>0</v>
      </c>
      <c r="I300" s="91" t="n">
        <v>1</v>
      </c>
      <c r="J300" s="92" t="n">
        <f aca="false">IF(G300&gt;0,G300*I300,H300*I300)</f>
        <v>79.1</v>
      </c>
    </row>
    <row r="301" customFormat="false" ht="15" hidden="false" customHeight="false" outlineLevel="0" collapsed="false">
      <c r="A301" s="0"/>
      <c r="B301" s="0"/>
      <c r="C301" s="94"/>
      <c r="D301" s="86"/>
      <c r="E301" s="86"/>
      <c r="F301" s="86"/>
      <c r="G301" s="86"/>
      <c r="H301" s="86"/>
      <c r="I301" s="86"/>
      <c r="J301" s="86"/>
    </row>
    <row r="302" customFormat="false" ht="15" hidden="false" customHeight="false" outlineLevel="0" collapsed="false">
      <c r="A302" s="0"/>
      <c r="B302" s="87" t="str">
        <f aca="false">ORÇAMENTO!B85</f>
        <v>10.7</v>
      </c>
      <c r="C302" s="88" t="str">
        <f aca="false">VLOOKUP(B302,ORÇAMENTO!$B$17:$L$122,2,0)</f>
        <v>EXECUÇÃO DE PASSEIO (CALÇADA) EM CONCRETO 12 MPA, TRAÇO 1:3:5 (CIMENTO/AREIA/BRITA), PREPARO MECÂNICO, ESPESSURA 7CM, COM JUNTA DE DILATAÇÃO</v>
      </c>
      <c r="D302" s="88"/>
      <c r="E302" s="88"/>
      <c r="F302" s="88"/>
      <c r="G302" s="88"/>
      <c r="H302" s="88"/>
      <c r="I302" s="88"/>
      <c r="J302" s="89" t="n">
        <f aca="false">SUM(J303:J303)</f>
        <v>57.9</v>
      </c>
    </row>
    <row r="303" customFormat="false" ht="15" hidden="false" customHeight="false" outlineLevel="0" collapsed="false">
      <c r="A303" s="0"/>
      <c r="B303" s="95"/>
      <c r="C303" s="90" t="s">
        <v>365</v>
      </c>
      <c r="D303" s="91" t="s">
        <v>18</v>
      </c>
      <c r="E303" s="91" t="s">
        <v>18</v>
      </c>
      <c r="F303" s="91" t="s">
        <v>18</v>
      </c>
      <c r="G303" s="91" t="n">
        <f aca="false">16.9+41</f>
        <v>57.9</v>
      </c>
      <c r="H303" s="91" t="n">
        <v>0</v>
      </c>
      <c r="I303" s="91" t="n">
        <v>1</v>
      </c>
      <c r="J303" s="92" t="n">
        <f aca="false">IF(G303&gt;0,G303*I303,H303*I303)</f>
        <v>57.9</v>
      </c>
    </row>
    <row r="304" customFormat="false" ht="15" hidden="false" customHeight="false" outlineLevel="0" collapsed="false">
      <c r="A304" s="0"/>
      <c r="B304" s="0"/>
      <c r="C304" s="94"/>
      <c r="D304" s="86"/>
      <c r="E304" s="86"/>
      <c r="F304" s="86"/>
      <c r="G304" s="86"/>
      <c r="H304" s="86"/>
      <c r="I304" s="86"/>
      <c r="J304" s="86"/>
    </row>
    <row r="305" customFormat="false" ht="15" hidden="false" customHeight="false" outlineLevel="0" collapsed="false">
      <c r="A305" s="0"/>
      <c r="B305" s="87" t="str">
        <f aca="false">ORÇAMENTO!B86</f>
        <v>10.8</v>
      </c>
      <c r="C305" s="88" t="str">
        <f aca="false">VLOOKUP(B305,ORÇAMENTO!$B$17:$L$122,2,0)</f>
        <v>MEIO FIO</v>
      </c>
      <c r="D305" s="88"/>
      <c r="E305" s="88"/>
      <c r="F305" s="88"/>
      <c r="G305" s="88"/>
      <c r="H305" s="88"/>
      <c r="I305" s="88"/>
      <c r="J305" s="89" t="n">
        <f aca="false">SUM(J306:J306)</f>
        <v>157.75</v>
      </c>
    </row>
    <row r="306" customFormat="false" ht="15" hidden="false" customHeight="false" outlineLevel="0" collapsed="false">
      <c r="A306" s="0"/>
      <c r="B306" s="95"/>
      <c r="C306" s="90" t="s">
        <v>366</v>
      </c>
      <c r="D306" s="91" t="n">
        <f aca="false">11.9+23.4+32.85+53.8+35.8</f>
        <v>157.75</v>
      </c>
      <c r="E306" s="91" t="s">
        <v>18</v>
      </c>
      <c r="F306" s="91" t="s">
        <v>18</v>
      </c>
      <c r="G306" s="92" t="s">
        <v>18</v>
      </c>
      <c r="H306" s="92" t="s">
        <v>18</v>
      </c>
      <c r="I306" s="91" t="n">
        <v>1</v>
      </c>
      <c r="J306" s="92" t="n">
        <f aca="false">D306*I306</f>
        <v>157.75</v>
      </c>
    </row>
    <row r="307" customFormat="false" ht="15" hidden="false" customHeight="false" outlineLevel="0" collapsed="false">
      <c r="A307" s="94"/>
      <c r="B307" s="94"/>
      <c r="C307" s="94"/>
      <c r="D307" s="94"/>
      <c r="E307" s="94"/>
      <c r="F307" s="94"/>
      <c r="G307" s="94"/>
      <c r="H307" s="94"/>
      <c r="I307" s="94"/>
      <c r="J307" s="94"/>
    </row>
    <row r="308" customFormat="false" ht="15" hidden="false" customHeight="false" outlineLevel="0" collapsed="false">
      <c r="A308" s="94"/>
      <c r="B308" s="31" t="str">
        <f aca="false">ORÇAMENTO!C88</f>
        <v>INSTALAÇÕES (URBANIZAÇÃO)</v>
      </c>
      <c r="C308" s="31" t="n">
        <f aca="false">[1]'ORÇAMENTO CONSTRUÇÃO'!C299</f>
        <v>0</v>
      </c>
      <c r="D308" s="31"/>
      <c r="E308" s="31"/>
      <c r="F308" s="31"/>
      <c r="G308" s="31"/>
      <c r="H308" s="31"/>
      <c r="I308" s="31"/>
      <c r="J308" s="31"/>
    </row>
    <row r="309" customFormat="false" ht="15" hidden="false" customHeight="false" outlineLevel="0" collapsed="false">
      <c r="A309" s="94"/>
      <c r="B309" s="94"/>
      <c r="C309" s="94"/>
      <c r="D309" s="94"/>
      <c r="E309" s="94"/>
      <c r="F309" s="94"/>
      <c r="G309" s="94"/>
      <c r="H309" s="94"/>
      <c r="I309" s="94"/>
      <c r="J309" s="94"/>
    </row>
    <row r="310" customFormat="false" ht="15" hidden="false" customHeight="false" outlineLevel="0" collapsed="false">
      <c r="A310" s="94"/>
      <c r="B310" s="87" t="str">
        <f aca="false">ORÇAMENTO!B90</f>
        <v>11.1.1</v>
      </c>
      <c r="C310" s="88" t="str">
        <f aca="false">VLOOKUP(B310,ORÇAMENTO!$B$17:$L$122,2,0)</f>
        <v>PONTO ELÉTRICO, MATERIAL E EXECUÇÃO</v>
      </c>
      <c r="D310" s="88"/>
      <c r="E310" s="88"/>
      <c r="F310" s="88"/>
      <c r="G310" s="88"/>
      <c r="H310" s="88"/>
      <c r="I310" s="88"/>
      <c r="J310" s="89" t="n">
        <f aca="false">SUM(J311:J312)</f>
        <v>4</v>
      </c>
    </row>
    <row r="311" customFormat="false" ht="15" hidden="false" customHeight="false" outlineLevel="0" collapsed="false">
      <c r="A311" s="94"/>
      <c r="B311" s="95"/>
      <c r="C311" s="90" t="s">
        <v>345</v>
      </c>
      <c r="D311" s="91"/>
      <c r="E311" s="91"/>
      <c r="F311" s="91"/>
      <c r="G311" s="92"/>
      <c r="H311" s="92"/>
      <c r="I311" s="91" t="n">
        <v>3</v>
      </c>
      <c r="J311" s="92" t="n">
        <f aca="false">I311</f>
        <v>3</v>
      </c>
    </row>
    <row r="312" customFormat="false" ht="15" hidden="false" customHeight="false" outlineLevel="0" collapsed="false">
      <c r="A312" s="94"/>
      <c r="B312" s="95"/>
      <c r="C312" s="90" t="s">
        <v>357</v>
      </c>
      <c r="D312" s="91"/>
      <c r="E312" s="91"/>
      <c r="F312" s="91"/>
      <c r="G312" s="92"/>
      <c r="H312" s="92"/>
      <c r="I312" s="91" t="n">
        <v>1</v>
      </c>
      <c r="J312" s="92" t="n">
        <f aca="false">I312</f>
        <v>1</v>
      </c>
    </row>
    <row r="313" customFormat="false" ht="15" hidden="false" customHeight="false" outlineLevel="0" collapsed="false">
      <c r="A313" s="94"/>
      <c r="B313" s="94"/>
      <c r="C313" s="94"/>
      <c r="D313" s="94"/>
      <c r="E313" s="94"/>
      <c r="F313" s="94"/>
      <c r="G313" s="94"/>
      <c r="H313" s="94"/>
      <c r="I313" s="94"/>
      <c r="J313" s="94"/>
    </row>
    <row r="314" customFormat="false" ht="15" hidden="false" customHeight="false" outlineLevel="0" collapsed="false">
      <c r="A314" s="94"/>
      <c r="B314" s="87" t="str">
        <f aca="false">ORÇAMENTO!B91</f>
        <v>11.1.2</v>
      </c>
      <c r="C314" s="88" t="str">
        <f aca="false">VLOOKUP(B314,ORÇAMENTO!$B$17:$L$122,2,0)</f>
        <v>TOMADA DE EMBUTIR 2P+T 10A/250V C/ PLACA - FORNECIMENTO E INSTALACAO</v>
      </c>
      <c r="D314" s="88"/>
      <c r="E314" s="88"/>
      <c r="F314" s="88"/>
      <c r="G314" s="88"/>
      <c r="H314" s="88"/>
      <c r="I314" s="88"/>
      <c r="J314" s="89" t="n">
        <f aca="false">SUM(J315:J315)</f>
        <v>2</v>
      </c>
    </row>
    <row r="315" customFormat="false" ht="15" hidden="false" customHeight="false" outlineLevel="0" collapsed="false">
      <c r="A315" s="94"/>
      <c r="B315" s="95"/>
      <c r="C315" s="90" t="s">
        <v>345</v>
      </c>
      <c r="D315" s="91"/>
      <c r="E315" s="91"/>
      <c r="F315" s="91"/>
      <c r="G315" s="92"/>
      <c r="H315" s="92"/>
      <c r="I315" s="91" t="n">
        <v>2</v>
      </c>
      <c r="J315" s="92" t="n">
        <f aca="false">I315</f>
        <v>2</v>
      </c>
    </row>
    <row r="316" customFormat="false" ht="15" hidden="false" customHeight="false" outlineLevel="0" collapsed="false">
      <c r="A316" s="94"/>
      <c r="B316" s="94"/>
      <c r="C316" s="94"/>
      <c r="D316" s="94"/>
      <c r="E316" s="94"/>
      <c r="F316" s="94"/>
      <c r="G316" s="94"/>
      <c r="H316" s="94"/>
      <c r="I316" s="94"/>
      <c r="J316" s="94"/>
    </row>
    <row r="317" customFormat="false" ht="15" hidden="false" customHeight="false" outlineLevel="0" collapsed="false">
      <c r="A317" s="94"/>
      <c r="B317" s="87" t="str">
        <f aca="false">ORÇAMENTO!B92</f>
        <v>11.1.3</v>
      </c>
      <c r="C317" s="88" t="str">
        <f aca="false">VLOOKUP(B317,ORÇAMENTO!$B$17:$L$122,2,0)</f>
        <v>PONTO DE LUZ NO TETO, COM ELETRODUTO DE PVC FLEXÍVEL SANFONADO EMBUTIDO 3/4''</v>
      </c>
      <c r="D317" s="88"/>
      <c r="E317" s="88"/>
      <c r="F317" s="88"/>
      <c r="G317" s="88"/>
      <c r="H317" s="88"/>
      <c r="I317" s="88"/>
      <c r="J317" s="89" t="n">
        <f aca="false">SUM(J318:J319)</f>
        <v>2</v>
      </c>
    </row>
    <row r="318" customFormat="false" ht="15" hidden="false" customHeight="false" outlineLevel="0" collapsed="false">
      <c r="A318" s="94"/>
      <c r="B318" s="95"/>
      <c r="C318" s="90" t="s">
        <v>345</v>
      </c>
      <c r="D318" s="91"/>
      <c r="E318" s="91"/>
      <c r="F318" s="91"/>
      <c r="G318" s="92"/>
      <c r="H318" s="92"/>
      <c r="I318" s="91" t="n">
        <v>1</v>
      </c>
      <c r="J318" s="92" t="n">
        <f aca="false">I318</f>
        <v>1</v>
      </c>
    </row>
    <row r="319" customFormat="false" ht="15" hidden="false" customHeight="false" outlineLevel="0" collapsed="false">
      <c r="A319" s="94"/>
      <c r="B319" s="95"/>
      <c r="C319" s="90" t="s">
        <v>357</v>
      </c>
      <c r="D319" s="91"/>
      <c r="E319" s="91"/>
      <c r="F319" s="91"/>
      <c r="G319" s="92"/>
      <c r="H319" s="92"/>
      <c r="I319" s="91" t="n">
        <v>1</v>
      </c>
      <c r="J319" s="92" t="n">
        <f aca="false">I319</f>
        <v>1</v>
      </c>
    </row>
    <row r="320" customFormat="false" ht="15" hidden="false" customHeight="false" outlineLevel="0" collapsed="false">
      <c r="A320" s="94"/>
      <c r="B320" s="94"/>
      <c r="C320" s="94"/>
      <c r="D320" s="94"/>
      <c r="E320" s="94"/>
      <c r="F320" s="94"/>
      <c r="G320" s="94"/>
      <c r="H320" s="94"/>
      <c r="I320" s="94"/>
      <c r="J320" s="94"/>
    </row>
    <row r="321" customFormat="false" ht="15" hidden="false" customHeight="false" outlineLevel="0" collapsed="false">
      <c r="A321" s="94"/>
      <c r="B321" s="87" t="str">
        <f aca="false">ORÇAMENTO!B93</f>
        <v>11.1.4</v>
      </c>
      <c r="C321" s="88" t="str">
        <f aca="false">VLOOKUP(B321,ORÇAMENTO!$B$17:$L$122,2,0)</f>
        <v>PONTO TELEFÔNICO, MATERIAL E EXECUÇÃO</v>
      </c>
      <c r="D321" s="88"/>
      <c r="E321" s="88"/>
      <c r="F321" s="88"/>
      <c r="G321" s="88"/>
      <c r="H321" s="88"/>
      <c r="I321" s="88"/>
      <c r="J321" s="89" t="n">
        <f aca="false">SUM(J322:J322)</f>
        <v>1</v>
      </c>
    </row>
    <row r="322" customFormat="false" ht="15" hidden="false" customHeight="false" outlineLevel="0" collapsed="false">
      <c r="A322" s="94"/>
      <c r="B322" s="95"/>
      <c r="C322" s="90" t="s">
        <v>345</v>
      </c>
      <c r="D322" s="91"/>
      <c r="E322" s="91"/>
      <c r="F322" s="91"/>
      <c r="G322" s="92"/>
      <c r="H322" s="92"/>
      <c r="I322" s="91" t="n">
        <v>1</v>
      </c>
      <c r="J322" s="92" t="n">
        <f aca="false">I322</f>
        <v>1</v>
      </c>
    </row>
    <row r="323" customFormat="false" ht="15" hidden="false" customHeight="false" outlineLevel="0" collapsed="false">
      <c r="A323" s="94"/>
      <c r="B323" s="94"/>
      <c r="C323" s="94"/>
      <c r="D323" s="94"/>
      <c r="E323" s="94"/>
      <c r="F323" s="94"/>
      <c r="G323" s="94"/>
      <c r="H323" s="94"/>
      <c r="I323" s="94"/>
      <c r="J323" s="94"/>
    </row>
    <row r="324" customFormat="false" ht="15" hidden="false" customHeight="false" outlineLevel="0" collapsed="false">
      <c r="A324" s="94"/>
      <c r="B324" s="87" t="str">
        <f aca="false">ORÇAMENTO!B94</f>
        <v>11.1.5</v>
      </c>
      <c r="C324" s="88" t="str">
        <f aca="false">VLOOKUP(B324,ORÇAMENTO!$B$17:$L$122,2,0)</f>
        <v>LUMINÁRIA FLUORESCENTE COMPLETA ( 4 X 32 )W - PLAFON</v>
      </c>
      <c r="D324" s="88"/>
      <c r="E324" s="88"/>
      <c r="F324" s="88"/>
      <c r="G324" s="88"/>
      <c r="H324" s="88"/>
      <c r="I324" s="88"/>
      <c r="J324" s="89" t="n">
        <f aca="false">SUM(J325:J325)</f>
        <v>1</v>
      </c>
    </row>
    <row r="325" customFormat="false" ht="15" hidden="false" customHeight="false" outlineLevel="0" collapsed="false">
      <c r="A325" s="94"/>
      <c r="B325" s="95"/>
      <c r="C325" s="90" t="s">
        <v>345</v>
      </c>
      <c r="D325" s="91"/>
      <c r="E325" s="91"/>
      <c r="F325" s="91"/>
      <c r="G325" s="92"/>
      <c r="H325" s="92"/>
      <c r="I325" s="91" t="n">
        <v>1</v>
      </c>
      <c r="J325" s="92" t="n">
        <f aca="false">I325</f>
        <v>1</v>
      </c>
    </row>
    <row r="326" customFormat="false" ht="15" hidden="false" customHeight="false" outlineLevel="0" collapsed="false">
      <c r="A326" s="94"/>
      <c r="B326" s="94"/>
      <c r="C326" s="94"/>
      <c r="D326" s="94"/>
      <c r="E326" s="94"/>
      <c r="F326" s="94"/>
      <c r="G326" s="94"/>
      <c r="H326" s="94"/>
      <c r="I326" s="94"/>
      <c r="J326" s="94"/>
    </row>
    <row r="327" customFormat="false" ht="15" hidden="false" customHeight="false" outlineLevel="0" collapsed="false">
      <c r="A327" s="94"/>
      <c r="B327" s="87" t="str">
        <f aca="false">ORÇAMENTO!B95</f>
        <v>11.1.6</v>
      </c>
      <c r="C327" s="88" t="str">
        <f aca="false">VLOOKUP(B327,ORÇAMENTO!$B$17:$L$122,2,0)</f>
        <v>LUMINARIA TIPO SPOT PARA 1 LAMPADA INCANDESCENTE/FLUORESCENTE COMPACTA</v>
      </c>
      <c r="D327" s="88"/>
      <c r="E327" s="88"/>
      <c r="F327" s="88"/>
      <c r="G327" s="88"/>
      <c r="H327" s="88"/>
      <c r="I327" s="88"/>
      <c r="J327" s="89" t="n">
        <f aca="false">SUM(J328:J329)</f>
        <v>3</v>
      </c>
    </row>
    <row r="328" customFormat="false" ht="15" hidden="false" customHeight="false" outlineLevel="0" collapsed="false">
      <c r="A328" s="94"/>
      <c r="B328" s="95"/>
      <c r="C328" s="90" t="s">
        <v>345</v>
      </c>
      <c r="D328" s="91"/>
      <c r="E328" s="91"/>
      <c r="F328" s="91"/>
      <c r="G328" s="92"/>
      <c r="H328" s="92"/>
      <c r="I328" s="91" t="n">
        <v>2</v>
      </c>
      <c r="J328" s="92" t="n">
        <f aca="false">I328</f>
        <v>2</v>
      </c>
    </row>
    <row r="329" customFormat="false" ht="15" hidden="false" customHeight="false" outlineLevel="0" collapsed="false">
      <c r="A329" s="94"/>
      <c r="B329" s="95"/>
      <c r="C329" s="90" t="s">
        <v>357</v>
      </c>
      <c r="D329" s="91"/>
      <c r="E329" s="91"/>
      <c r="F329" s="91"/>
      <c r="G329" s="92"/>
      <c r="H329" s="92"/>
      <c r="I329" s="91" t="n">
        <v>1</v>
      </c>
      <c r="J329" s="92" t="n">
        <f aca="false">I329</f>
        <v>1</v>
      </c>
    </row>
    <row r="330" customFormat="false" ht="15" hidden="false" customHeight="false" outlineLevel="0" collapsed="false">
      <c r="A330" s="94"/>
      <c r="B330" s="0"/>
      <c r="C330" s="94"/>
      <c r="D330" s="86"/>
      <c r="E330" s="86"/>
      <c r="F330" s="86"/>
      <c r="G330" s="86"/>
      <c r="H330" s="86"/>
      <c r="I330" s="86"/>
      <c r="J330" s="86"/>
    </row>
    <row r="331" customFormat="false" ht="15" hidden="false" customHeight="false" outlineLevel="0" collapsed="false">
      <c r="A331" s="94"/>
      <c r="B331" s="87" t="str">
        <f aca="false">ORÇAMENTO!B96</f>
        <v>11.1.7</v>
      </c>
      <c r="C331" s="88" t="str">
        <f aca="false">VLOOKUP(B331,ORÇAMENTO!$B$17:$L$122,2,0)</f>
        <v>LAMPADA FLUORESCENTE 20W - FORNECIMENTO E INSTALACAO</v>
      </c>
      <c r="D331" s="88"/>
      <c r="E331" s="88"/>
      <c r="F331" s="88"/>
      <c r="G331" s="88"/>
      <c r="H331" s="88"/>
      <c r="I331" s="88"/>
      <c r="J331" s="89" t="n">
        <f aca="false">SUM(J332:J333)</f>
        <v>3</v>
      </c>
    </row>
    <row r="332" customFormat="false" ht="15" hidden="false" customHeight="false" outlineLevel="0" collapsed="false">
      <c r="A332" s="94"/>
      <c r="B332" s="95"/>
      <c r="C332" s="90" t="s">
        <v>345</v>
      </c>
      <c r="D332" s="91"/>
      <c r="E332" s="91"/>
      <c r="F332" s="91"/>
      <c r="G332" s="92"/>
      <c r="H332" s="92"/>
      <c r="I332" s="91" t="n">
        <v>2</v>
      </c>
      <c r="J332" s="92" t="n">
        <f aca="false">I332</f>
        <v>2</v>
      </c>
    </row>
    <row r="333" customFormat="false" ht="15" hidden="false" customHeight="false" outlineLevel="0" collapsed="false">
      <c r="A333" s="94"/>
      <c r="B333" s="95"/>
      <c r="C333" s="90" t="s">
        <v>357</v>
      </c>
      <c r="D333" s="91"/>
      <c r="E333" s="91"/>
      <c r="F333" s="91"/>
      <c r="G333" s="92"/>
      <c r="H333" s="92"/>
      <c r="I333" s="91" t="n">
        <v>1</v>
      </c>
      <c r="J333" s="92" t="n">
        <f aca="false">I333</f>
        <v>1</v>
      </c>
    </row>
    <row r="334" customFormat="false" ht="15" hidden="false" customHeight="false" outlineLevel="0" collapsed="false">
      <c r="A334" s="94"/>
      <c r="B334" s="0"/>
      <c r="C334" s="94"/>
      <c r="D334" s="86"/>
      <c r="E334" s="86"/>
      <c r="F334" s="86"/>
      <c r="G334" s="86"/>
      <c r="H334" s="86"/>
      <c r="I334" s="86"/>
      <c r="J334" s="86"/>
    </row>
    <row r="335" customFormat="false" ht="15" hidden="false" customHeight="false" outlineLevel="0" collapsed="false">
      <c r="A335" s="94"/>
      <c r="B335" s="87" t="str">
        <f aca="false">ORÇAMENTO!B97</f>
        <v>11.1.8</v>
      </c>
      <c r="C335" s="88" t="str">
        <f aca="false">VLOOKUP(B335,ORÇAMENTO!$B$17:$L$122,2,0)</f>
        <v>POSTE DE ACO CONICO CONTINUO RETO, FLANGEADO, H=9M - FORNECIMENTO E INSTALACAO</v>
      </c>
      <c r="D335" s="88"/>
      <c r="E335" s="88"/>
      <c r="F335" s="88"/>
      <c r="G335" s="88"/>
      <c r="H335" s="88"/>
      <c r="I335" s="88"/>
      <c r="J335" s="89" t="n">
        <f aca="false">SUM(J336:J336)</f>
        <v>2</v>
      </c>
    </row>
    <row r="336" customFormat="false" ht="15" hidden="false" customHeight="false" outlineLevel="0" collapsed="false">
      <c r="A336" s="94"/>
      <c r="B336" s="95"/>
      <c r="C336" s="90" t="s">
        <v>367</v>
      </c>
      <c r="D336" s="91"/>
      <c r="E336" s="91"/>
      <c r="F336" s="91"/>
      <c r="G336" s="92"/>
      <c r="H336" s="92"/>
      <c r="I336" s="91" t="n">
        <v>2</v>
      </c>
      <c r="J336" s="92" t="n">
        <f aca="false">I336</f>
        <v>2</v>
      </c>
    </row>
    <row r="337" customFormat="false" ht="15" hidden="false" customHeight="false" outlineLevel="0" collapsed="false">
      <c r="A337" s="94"/>
      <c r="B337" s="0"/>
      <c r="C337" s="94"/>
      <c r="D337" s="86"/>
      <c r="E337" s="86"/>
      <c r="F337" s="86"/>
      <c r="G337" s="86"/>
      <c r="H337" s="86"/>
      <c r="I337" s="86"/>
      <c r="J337" s="86"/>
    </row>
    <row r="338" customFormat="false" ht="15" hidden="false" customHeight="false" outlineLevel="0" collapsed="false">
      <c r="A338" s="94"/>
      <c r="B338" s="87" t="str">
        <f aca="false">ORÇAMENTO!B99</f>
        <v>11.2.1</v>
      </c>
      <c r="C338" s="88" t="str">
        <f aca="false">VLOOKUP(B338,ORÇAMENTO!$B$17:$L$122,2,0)</f>
        <v>PONTO HIDRÁULICO, MATERIAL E EXECUÇÃO</v>
      </c>
      <c r="D338" s="88"/>
      <c r="E338" s="88"/>
      <c r="F338" s="88"/>
      <c r="G338" s="88"/>
      <c r="H338" s="88"/>
      <c r="I338" s="88"/>
      <c r="J338" s="89" t="n">
        <f aca="false">SUM(J339:J339)</f>
        <v>2</v>
      </c>
    </row>
    <row r="339" customFormat="false" ht="15" hidden="false" customHeight="false" outlineLevel="0" collapsed="false">
      <c r="A339" s="94"/>
      <c r="B339" s="95"/>
      <c r="C339" s="90" t="s">
        <v>357</v>
      </c>
      <c r="D339" s="91"/>
      <c r="E339" s="91"/>
      <c r="F339" s="91"/>
      <c r="G339" s="92"/>
      <c r="H339" s="92"/>
      <c r="I339" s="91" t="n">
        <v>2</v>
      </c>
      <c r="J339" s="92" t="n">
        <f aca="false">I339</f>
        <v>2</v>
      </c>
    </row>
    <row r="340" customFormat="false" ht="15" hidden="false" customHeight="false" outlineLevel="0" collapsed="false">
      <c r="A340" s="94"/>
      <c r="B340" s="94"/>
      <c r="C340" s="94"/>
      <c r="D340" s="94"/>
      <c r="E340" s="94"/>
      <c r="F340" s="94"/>
      <c r="G340" s="94"/>
      <c r="H340" s="94"/>
      <c r="I340" s="94" t="s">
        <v>18</v>
      </c>
      <c r="J340" s="94" t="s">
        <v>18</v>
      </c>
    </row>
    <row r="341" customFormat="false" ht="15" hidden="false" customHeight="false" outlineLevel="0" collapsed="false">
      <c r="A341" s="94"/>
      <c r="B341" s="87" t="str">
        <f aca="false">ORÇAMENTO!B101</f>
        <v>11.3.1</v>
      </c>
      <c r="C341" s="88" t="str">
        <f aca="false">VLOOKUP(B341,ORÇAMENTO!$B$17:$L$122,2,0)</f>
        <v>PONTO SANITÁRIO, MATERIAL E EXECUÇÃO</v>
      </c>
      <c r="D341" s="88"/>
      <c r="E341" s="88"/>
      <c r="F341" s="88"/>
      <c r="G341" s="88"/>
      <c r="H341" s="88"/>
      <c r="I341" s="88"/>
      <c r="J341" s="89" t="n">
        <f aca="false">SUM(J342:J342)</f>
        <v>1</v>
      </c>
    </row>
    <row r="342" customFormat="false" ht="15" hidden="false" customHeight="false" outlineLevel="0" collapsed="false">
      <c r="A342" s="94"/>
      <c r="B342" s="95"/>
      <c r="C342" s="90" t="s">
        <v>357</v>
      </c>
      <c r="D342" s="91"/>
      <c r="E342" s="91"/>
      <c r="F342" s="91"/>
      <c r="G342" s="92"/>
      <c r="H342" s="92"/>
      <c r="I342" s="91" t="n">
        <v>1</v>
      </c>
      <c r="J342" s="92" t="n">
        <f aca="false">I342</f>
        <v>1</v>
      </c>
    </row>
    <row r="343" customFormat="false" ht="15" hidden="false" customHeight="false" outlineLevel="0" collapsed="false">
      <c r="A343" s="94"/>
      <c r="B343" s="0"/>
      <c r="C343" s="0"/>
      <c r="D343" s="0"/>
      <c r="E343" s="0"/>
      <c r="F343" s="0"/>
      <c r="G343" s="0"/>
      <c r="H343" s="0"/>
      <c r="I343" s="0"/>
      <c r="J343" s="0"/>
    </row>
    <row r="344" customFormat="false" ht="15" hidden="false" customHeight="false" outlineLevel="0" collapsed="false">
      <c r="A344" s="94"/>
      <c r="B344" s="87" t="str">
        <f aca="false">ORÇAMENTO!B102</f>
        <v>11.3.2</v>
      </c>
      <c r="C344" s="88" t="str">
        <f aca="false">VLOOKUP(B344,ORÇAMENTO!$B$17:$L$122,2,0)</f>
        <v>PONTO DE ESGOTO EM PVC P/ TANQUE E LAVATÓRIO MSD FUNASA TIPO 10 (MATERIAL E EXECUÇÃO)</v>
      </c>
      <c r="D344" s="88"/>
      <c r="E344" s="88"/>
      <c r="F344" s="88"/>
      <c r="G344" s="88"/>
      <c r="H344" s="88"/>
      <c r="I344" s="88"/>
      <c r="J344" s="89" t="n">
        <f aca="false">SUM(J345:J345)</f>
        <v>2</v>
      </c>
    </row>
    <row r="345" customFormat="false" ht="15" hidden="false" customHeight="false" outlineLevel="0" collapsed="false">
      <c r="A345" s="94"/>
      <c r="B345" s="95"/>
      <c r="C345" s="90" t="s">
        <v>357</v>
      </c>
      <c r="D345" s="91"/>
      <c r="E345" s="91"/>
      <c r="F345" s="91"/>
      <c r="G345" s="92"/>
      <c r="H345" s="92"/>
      <c r="I345" s="91" t="n">
        <v>2</v>
      </c>
      <c r="J345" s="92" t="n">
        <f aca="false">I345</f>
        <v>2</v>
      </c>
    </row>
    <row r="346" customFormat="false" ht="15" hidden="false" customHeight="false" outlineLevel="0" collapsed="false">
      <c r="A346" s="94"/>
      <c r="B346" s="0"/>
      <c r="C346" s="0"/>
      <c r="D346" s="0"/>
      <c r="E346" s="0"/>
      <c r="F346" s="0"/>
      <c r="G346" s="0"/>
      <c r="H346" s="0"/>
      <c r="I346" s="0"/>
      <c r="J346" s="0"/>
    </row>
    <row r="347" customFormat="false" ht="15" hidden="false" customHeight="false" outlineLevel="0" collapsed="false">
      <c r="A347" s="94"/>
      <c r="B347" s="87" t="str">
        <f aca="false">ORÇAMENTO!B103</f>
        <v>11.3.3</v>
      </c>
      <c r="C347" s="88" t="str">
        <f aca="false">VLOOKUP(B347,ORÇAMENTO!$B$17:$L$122,2,0)</f>
        <v>TUBO PVC, SERIE NORMAL, ESGOTO PREDIAL, DN 100 MM, FORNECIDO E INSTALADO EM RAMAL DE DESCARGA OU RAMAL DE ESGOTO SANITÁRIO</v>
      </c>
      <c r="D347" s="88"/>
      <c r="E347" s="88"/>
      <c r="F347" s="88"/>
      <c r="G347" s="88"/>
      <c r="H347" s="88"/>
      <c r="I347" s="88"/>
      <c r="J347" s="89" t="n">
        <f aca="false">SUM(J348:J348)</f>
        <v>26</v>
      </c>
    </row>
    <row r="348" customFormat="false" ht="15" hidden="false" customHeight="false" outlineLevel="0" collapsed="false">
      <c r="A348" s="94"/>
      <c r="B348" s="95"/>
      <c r="C348" s="90" t="s">
        <v>357</v>
      </c>
      <c r="D348" s="91"/>
      <c r="E348" s="91"/>
      <c r="F348" s="91"/>
      <c r="G348" s="92"/>
      <c r="H348" s="92"/>
      <c r="I348" s="91" t="n">
        <v>26</v>
      </c>
      <c r="J348" s="92" t="n">
        <f aca="false">I348</f>
        <v>26</v>
      </c>
    </row>
    <row r="349" customFormat="false" ht="15" hidden="false" customHeight="false" outlineLevel="0" collapsed="false">
      <c r="A349" s="94"/>
      <c r="B349" s="0"/>
      <c r="C349" s="0"/>
      <c r="D349" s="0"/>
      <c r="E349" s="0"/>
      <c r="F349" s="0"/>
      <c r="G349" s="0"/>
      <c r="H349" s="0"/>
      <c r="I349" s="0"/>
      <c r="J349" s="0"/>
    </row>
    <row r="350" customFormat="false" ht="15" hidden="false" customHeight="false" outlineLevel="0" collapsed="false">
      <c r="A350" s="94"/>
      <c r="B350" s="31" t="str">
        <f aca="false">ORÇAMENTO!C105</f>
        <v>BANCADAS, LOUÇAS E METAIS (URBANIZAÇÃO)</v>
      </c>
      <c r="C350" s="31" t="n">
        <f aca="false">[1]'ORÇAMENTO CONSTRUÇÃO'!C352</f>
        <v>0</v>
      </c>
      <c r="D350" s="31"/>
      <c r="E350" s="31"/>
      <c r="F350" s="31"/>
      <c r="G350" s="31"/>
      <c r="H350" s="31"/>
      <c r="I350" s="31"/>
      <c r="J350" s="31"/>
    </row>
    <row r="351" customFormat="false" ht="15" hidden="false" customHeight="false" outlineLevel="0" collapsed="false">
      <c r="A351" s="94"/>
      <c r="B351" s="94"/>
      <c r="C351" s="94"/>
      <c r="D351" s="94"/>
      <c r="E351" s="94"/>
      <c r="F351" s="94"/>
      <c r="G351" s="94"/>
      <c r="H351" s="94"/>
      <c r="I351" s="94"/>
      <c r="J351" s="94"/>
    </row>
    <row r="352" customFormat="false" ht="15" hidden="false" customHeight="false" outlineLevel="0" collapsed="false">
      <c r="A352" s="94"/>
      <c r="B352" s="87" t="str">
        <f aca="false">ORÇAMENTO!B106</f>
        <v>12.1</v>
      </c>
      <c r="C352" s="88" t="str">
        <f aca="false">VLOOKUP(B352,ORÇAMENTO!$B$17:$L$122,2,0)</f>
        <v>FECHADURA DE EMBUTIR PARA PORTAS INTERNAS, COMPLETA, ACABAMENTO PADRÃO POPULAR, COM EXECUÇÃO DE FURO - FORNECIMENTO E INSTALAÇÃO</v>
      </c>
      <c r="D352" s="88"/>
      <c r="E352" s="88"/>
      <c r="F352" s="88"/>
      <c r="G352" s="88"/>
      <c r="H352" s="88"/>
      <c r="I352" s="88"/>
      <c r="J352" s="89" t="n">
        <f aca="false">SUM(J353:J354)</f>
        <v>2</v>
      </c>
    </row>
    <row r="353" customFormat="false" ht="15" hidden="false" customHeight="false" outlineLevel="0" collapsed="false">
      <c r="A353" s="94"/>
      <c r="B353" s="95"/>
      <c r="C353" s="90" t="s">
        <v>345</v>
      </c>
      <c r="D353" s="91"/>
      <c r="E353" s="91"/>
      <c r="F353" s="91"/>
      <c r="G353" s="92"/>
      <c r="H353" s="92"/>
      <c r="I353" s="91" t="n">
        <v>1</v>
      </c>
      <c r="J353" s="92" t="n">
        <f aca="false">I353</f>
        <v>1</v>
      </c>
    </row>
    <row r="354" customFormat="false" ht="15" hidden="false" customHeight="false" outlineLevel="0" collapsed="false">
      <c r="A354" s="94"/>
      <c r="B354" s="95"/>
      <c r="C354" s="90" t="s">
        <v>346</v>
      </c>
      <c r="D354" s="91"/>
      <c r="E354" s="91"/>
      <c r="F354" s="91"/>
      <c r="G354" s="92"/>
      <c r="H354" s="92"/>
      <c r="I354" s="91" t="n">
        <v>1</v>
      </c>
      <c r="J354" s="92" t="n">
        <f aca="false">I354</f>
        <v>1</v>
      </c>
    </row>
    <row r="355" customFormat="false" ht="15" hidden="false" customHeight="false" outlineLevel="0" collapsed="false">
      <c r="A355" s="94"/>
      <c r="B355" s="94"/>
      <c r="C355" s="94"/>
      <c r="D355" s="94"/>
      <c r="E355" s="94"/>
      <c r="F355" s="94"/>
      <c r="G355" s="94"/>
      <c r="H355" s="94"/>
      <c r="I355" s="94"/>
      <c r="J355" s="94"/>
    </row>
    <row r="356" customFormat="false" ht="15" hidden="false" customHeight="false" outlineLevel="0" collapsed="false">
      <c r="A356" s="94"/>
      <c r="B356" s="87" t="str">
        <f aca="false">ORÇAMENTO!B107</f>
        <v>12.2</v>
      </c>
      <c r="C356" s="88" t="str">
        <f aca="false">VLOOKUP(B356,ORÇAMENTO!$B$17:$L$122,2,0)</f>
        <v>TORNEIRA CROMADA DE MESA, 1/2" OU 3/4", PARA LAVATÓRIO, PADRÃO POPULAR - FORNECIMENTO E INSTALAÇÃO.</v>
      </c>
      <c r="D356" s="88"/>
      <c r="E356" s="88"/>
      <c r="F356" s="88"/>
      <c r="G356" s="88"/>
      <c r="H356" s="88"/>
      <c r="I356" s="88"/>
      <c r="J356" s="89" t="n">
        <f aca="false">SUM(J357:J357)</f>
        <v>1</v>
      </c>
    </row>
    <row r="357" customFormat="false" ht="15" hidden="false" customHeight="false" outlineLevel="0" collapsed="false">
      <c r="A357" s="94"/>
      <c r="B357" s="95"/>
      <c r="C357" s="90" t="s">
        <v>346</v>
      </c>
      <c r="D357" s="91"/>
      <c r="E357" s="91"/>
      <c r="F357" s="91"/>
      <c r="G357" s="92"/>
      <c r="H357" s="92"/>
      <c r="I357" s="91" t="n">
        <v>1</v>
      </c>
      <c r="J357" s="92" t="n">
        <f aca="false">I357</f>
        <v>1</v>
      </c>
    </row>
    <row r="358" customFormat="false" ht="15" hidden="false" customHeight="false" outlineLevel="0" collapsed="false">
      <c r="A358" s="94"/>
      <c r="B358" s="94"/>
      <c r="C358" s="94"/>
      <c r="D358" s="94"/>
      <c r="E358" s="94"/>
      <c r="F358" s="94"/>
      <c r="G358" s="94"/>
      <c r="H358" s="94"/>
      <c r="I358" s="94"/>
      <c r="J358" s="94"/>
    </row>
    <row r="359" customFormat="false" ht="15" hidden="false" customHeight="false" outlineLevel="0" collapsed="false">
      <c r="A359" s="94"/>
      <c r="B359" s="87" t="str">
        <f aca="false">ORÇAMENTO!B108</f>
        <v>12.3</v>
      </c>
      <c r="C359" s="88" t="str">
        <f aca="false">VLOOKUP(B359,ORÇAMENTO!$B$17:$L$122,2,0)</f>
        <v>VASO SANITÁRIO SIFONADO COM CAIXA ACOPLADA LOUÇA BRANCA - PADRÃO MÉDIO , INCLUSO ENGATE FLEXÍVEL EM PLÁSTICO BRANCO, 1/2" X 40CM - FORNECIMENTO E INSTALAÇÃO</v>
      </c>
      <c r="D359" s="88"/>
      <c r="E359" s="88"/>
      <c r="F359" s="88"/>
      <c r="G359" s="88"/>
      <c r="H359" s="88"/>
      <c r="I359" s="88"/>
      <c r="J359" s="89" t="n">
        <f aca="false">SUM(J360)</f>
        <v>1</v>
      </c>
    </row>
    <row r="360" customFormat="false" ht="15" hidden="false" customHeight="false" outlineLevel="0" collapsed="false">
      <c r="A360" s="94"/>
      <c r="B360" s="95"/>
      <c r="C360" s="90" t="s">
        <v>346</v>
      </c>
      <c r="D360" s="91"/>
      <c r="E360" s="91"/>
      <c r="F360" s="91"/>
      <c r="G360" s="92"/>
      <c r="H360" s="92"/>
      <c r="I360" s="91" t="n">
        <v>1</v>
      </c>
      <c r="J360" s="92" t="n">
        <f aca="false">I360</f>
        <v>1</v>
      </c>
    </row>
    <row r="361" customFormat="false" ht="15" hidden="false" customHeight="false" outlineLevel="0" collapsed="false">
      <c r="A361" s="94"/>
      <c r="B361" s="94"/>
      <c r="C361" s="94"/>
      <c r="D361" s="94"/>
      <c r="E361" s="94"/>
      <c r="F361" s="94"/>
      <c r="G361" s="94"/>
      <c r="H361" s="94"/>
      <c r="I361" s="94"/>
      <c r="J361" s="94"/>
    </row>
    <row r="362" customFormat="false" ht="15" hidden="false" customHeight="false" outlineLevel="0" collapsed="false">
      <c r="A362" s="94"/>
      <c r="B362" s="87" t="str">
        <f aca="false">ORÇAMENTO!B109</f>
        <v>12.4</v>
      </c>
      <c r="C362" s="88" t="str">
        <f aca="false">VLOOKUP(B362,ORÇAMENTO!$B$17:$L$122,2,0)</f>
        <v>KIT DE REGISTRO DE GAVETA BRUTO DE LATÃO ½, COM 02 ADAPTADORES CURTOS COM BOLSA E ROSCA, ROSCÁVEL, INSTALADO EM RAMAL DE ÁGUA FORNECIMENTO E INSTALAÇÃO</v>
      </c>
      <c r="D362" s="88"/>
      <c r="E362" s="88"/>
      <c r="F362" s="88"/>
      <c r="G362" s="88"/>
      <c r="H362" s="88"/>
      <c r="I362" s="88"/>
      <c r="J362" s="89" t="n">
        <f aca="false">SUM(J363:J363)</f>
        <v>1</v>
      </c>
    </row>
    <row r="363" customFormat="false" ht="15" hidden="false" customHeight="false" outlineLevel="0" collapsed="false">
      <c r="A363" s="94"/>
      <c r="B363" s="95"/>
      <c r="C363" s="90" t="s">
        <v>346</v>
      </c>
      <c r="D363" s="91"/>
      <c r="E363" s="91"/>
      <c r="F363" s="91"/>
      <c r="G363" s="92"/>
      <c r="H363" s="92"/>
      <c r="I363" s="91" t="n">
        <v>1</v>
      </c>
      <c r="J363" s="92" t="n">
        <f aca="false">I363</f>
        <v>1</v>
      </c>
    </row>
    <row r="364" customFormat="false" ht="15" hidden="false" customHeight="false" outlineLevel="0" collapsed="false">
      <c r="A364" s="94"/>
      <c r="B364" s="94"/>
      <c r="C364" s="94"/>
      <c r="D364" s="94"/>
      <c r="E364" s="94"/>
      <c r="F364" s="94"/>
      <c r="G364" s="94"/>
      <c r="H364" s="94"/>
      <c r="I364" s="94"/>
      <c r="J364" s="94"/>
    </row>
    <row r="365" customFormat="false" ht="15" hidden="false" customHeight="false" outlineLevel="0" collapsed="false">
      <c r="A365" s="94"/>
      <c r="B365" s="87" t="str">
        <f aca="false">ORÇAMENTO!B110</f>
        <v>12.5</v>
      </c>
      <c r="C365" s="88" t="str">
        <f aca="false">VLOOKUP(B365,ORÇAMENTO!$B$17:$L$122,2,0)</f>
        <v>KIT DE REGISTRO DE PRESSÃO BRUTO DE LATÃO ½, INCLUSIVE CONEXÕES, ROSCÁVEL, INSTALADO EM RAMAL DE ÁGUA FRIA FORNECIMENTO E INSTALAÇÃO</v>
      </c>
      <c r="D365" s="88"/>
      <c r="E365" s="88"/>
      <c r="F365" s="88"/>
      <c r="G365" s="88"/>
      <c r="H365" s="88"/>
      <c r="I365" s="88"/>
      <c r="J365" s="89" t="n">
        <f aca="false">SUM(J366)</f>
        <v>1</v>
      </c>
    </row>
    <row r="366" customFormat="false" ht="15" hidden="false" customHeight="false" outlineLevel="0" collapsed="false">
      <c r="A366" s="94"/>
      <c r="B366" s="95"/>
      <c r="C366" s="90" t="s">
        <v>346</v>
      </c>
      <c r="D366" s="91"/>
      <c r="E366" s="91"/>
      <c r="F366" s="91"/>
      <c r="G366" s="92"/>
      <c r="H366" s="92"/>
      <c r="I366" s="91" t="n">
        <v>1</v>
      </c>
      <c r="J366" s="92" t="n">
        <f aca="false">I366</f>
        <v>1</v>
      </c>
    </row>
    <row r="367" customFormat="false" ht="15" hidden="false" customHeight="false" outlineLevel="0" collapsed="false">
      <c r="A367" s="94"/>
      <c r="B367" s="94"/>
      <c r="C367" s="94"/>
      <c r="D367" s="94"/>
      <c r="E367" s="94"/>
      <c r="F367" s="94"/>
      <c r="G367" s="94"/>
      <c r="H367" s="94"/>
      <c r="I367" s="94"/>
      <c r="J367" s="94"/>
    </row>
    <row r="368" customFormat="false" ht="15" hidden="false" customHeight="false" outlineLevel="0" collapsed="false">
      <c r="A368" s="94"/>
      <c r="B368" s="87" t="str">
        <f aca="false">ORÇAMENTO!B111</f>
        <v>12.6</v>
      </c>
      <c r="C368" s="88" t="str">
        <f aca="false">VLOOKUP(B368,ORÇAMENTO!$B$17:$L$122,2,0)</f>
        <v>PORTA SABÃO LÍQUIDO DE PLÁSTICO ABS BRANCO</v>
      </c>
      <c r="D368" s="88"/>
      <c r="E368" s="88"/>
      <c r="F368" s="88"/>
      <c r="G368" s="88"/>
      <c r="H368" s="88"/>
      <c r="I368" s="88"/>
      <c r="J368" s="89" t="n">
        <f aca="false">SUM(J369:J369)</f>
        <v>1</v>
      </c>
    </row>
    <row r="369" customFormat="false" ht="15" hidden="false" customHeight="false" outlineLevel="0" collapsed="false">
      <c r="A369" s="94"/>
      <c r="B369" s="95"/>
      <c r="C369" s="90" t="s">
        <v>346</v>
      </c>
      <c r="D369" s="91"/>
      <c r="E369" s="91"/>
      <c r="F369" s="91"/>
      <c r="G369" s="92"/>
      <c r="H369" s="92"/>
      <c r="I369" s="91" t="n">
        <v>1</v>
      </c>
      <c r="J369" s="92" t="n">
        <f aca="false">I369</f>
        <v>1</v>
      </c>
    </row>
    <row r="370" customFormat="false" ht="15" hidden="false" customHeight="false" outlineLevel="0" collapsed="false">
      <c r="A370" s="94"/>
      <c r="B370" s="94"/>
      <c r="C370" s="94"/>
      <c r="D370" s="94"/>
      <c r="E370" s="94"/>
      <c r="F370" s="94"/>
      <c r="G370" s="94"/>
      <c r="H370" s="94"/>
      <c r="I370" s="94"/>
      <c r="J370" s="94"/>
    </row>
    <row r="371" customFormat="false" ht="15" hidden="false" customHeight="false" outlineLevel="0" collapsed="false">
      <c r="A371" s="94"/>
      <c r="B371" s="87" t="str">
        <f aca="false">ORÇAMENTO!B112</f>
        <v>12.7</v>
      </c>
      <c r="C371" s="88" t="str">
        <f aca="false">VLOOKUP(B371,ORÇAMENTO!$B$17:$L$122,2,0)</f>
        <v>PORTA-PAPEL TOALHA EM PLÁSTICO ABS BRANCO COM ACRÍLICO</v>
      </c>
      <c r="D371" s="88"/>
      <c r="E371" s="88"/>
      <c r="F371" s="88"/>
      <c r="G371" s="88"/>
      <c r="H371" s="88"/>
      <c r="I371" s="88"/>
      <c r="J371" s="89" t="n">
        <f aca="false">SUM(J372:J372)</f>
        <v>1</v>
      </c>
    </row>
    <row r="372" customFormat="false" ht="15" hidden="false" customHeight="false" outlineLevel="0" collapsed="false">
      <c r="A372" s="94"/>
      <c r="B372" s="95"/>
      <c r="C372" s="90" t="s">
        <v>346</v>
      </c>
      <c r="D372" s="91"/>
      <c r="E372" s="91"/>
      <c r="F372" s="91"/>
      <c r="G372" s="92"/>
      <c r="H372" s="92"/>
      <c r="I372" s="91" t="n">
        <v>1</v>
      </c>
      <c r="J372" s="92" t="n">
        <f aca="false">I372</f>
        <v>1</v>
      </c>
    </row>
    <row r="373" customFormat="false" ht="15" hidden="false" customHeight="false" outlineLevel="0" collapsed="false">
      <c r="A373" s="94"/>
      <c r="B373" s="94"/>
      <c r="C373" s="94"/>
      <c r="D373" s="94"/>
      <c r="E373" s="94"/>
      <c r="F373" s="94"/>
      <c r="G373" s="94"/>
      <c r="H373" s="94"/>
      <c r="I373" s="94"/>
      <c r="J373" s="94"/>
    </row>
    <row r="374" customFormat="false" ht="15" hidden="false" customHeight="false" outlineLevel="0" collapsed="false">
      <c r="A374" s="94"/>
      <c r="B374" s="87" t="str">
        <f aca="false">ORÇAMENTO!B113</f>
        <v>12.8</v>
      </c>
      <c r="C374" s="88" t="str">
        <f aca="false">VLOOKUP(B374,ORÇAMENTO!$B$17:$L$122,2,0)</f>
        <v>PORTA-PAPEL HIGIÊNICO EM PLÁSTICO ABS BRANCO</v>
      </c>
      <c r="D374" s="88"/>
      <c r="E374" s="88"/>
      <c r="F374" s="88"/>
      <c r="G374" s="88"/>
      <c r="H374" s="88"/>
      <c r="I374" s="88"/>
      <c r="J374" s="89" t="n">
        <f aca="false">SUM(J375:J375)</f>
        <v>1</v>
      </c>
    </row>
    <row r="375" customFormat="false" ht="15" hidden="false" customHeight="false" outlineLevel="0" collapsed="false">
      <c r="A375" s="94"/>
      <c r="B375" s="95"/>
      <c r="C375" s="90" t="s">
        <v>346</v>
      </c>
      <c r="D375" s="91"/>
      <c r="E375" s="91"/>
      <c r="F375" s="91"/>
      <c r="G375" s="92"/>
      <c r="H375" s="92"/>
      <c r="I375" s="91" t="n">
        <v>1</v>
      </c>
      <c r="J375" s="92" t="n">
        <f aca="false">I375</f>
        <v>1</v>
      </c>
    </row>
    <row r="376" customFormat="false" ht="15" hidden="false" customHeight="false" outlineLevel="0" collapsed="false">
      <c r="A376" s="94"/>
      <c r="B376" s="93"/>
      <c r="C376" s="94"/>
      <c r="D376" s="97"/>
      <c r="E376" s="97"/>
      <c r="F376" s="97"/>
      <c r="G376" s="97"/>
      <c r="H376" s="97"/>
      <c r="I376" s="86"/>
      <c r="J376" s="86"/>
    </row>
    <row r="377" customFormat="false" ht="15" hidden="false" customHeight="false" outlineLevel="0" collapsed="false">
      <c r="A377" s="94"/>
      <c r="B377" s="87" t="str">
        <f aca="false">ORÇAMENTO!B114</f>
        <v>12.9</v>
      </c>
      <c r="C377" s="88" t="str">
        <f aca="false">VLOOKUP(B377,ORÇAMENTO!$B$17:$L$122,2,0)</f>
        <v>CAIXA SIFONADA, PVC, DN 100 X 100 X 50 MM, FORNECIDA E INSTALADA</v>
      </c>
      <c r="D377" s="88"/>
      <c r="E377" s="88"/>
      <c r="F377" s="88"/>
      <c r="G377" s="88"/>
      <c r="H377" s="88"/>
      <c r="I377" s="88"/>
      <c r="J377" s="89" t="n">
        <f aca="false">SUM(J378:J378)</f>
        <v>1</v>
      </c>
    </row>
    <row r="378" customFormat="false" ht="15" hidden="false" customHeight="false" outlineLevel="0" collapsed="false">
      <c r="A378" s="94"/>
      <c r="B378" s="95"/>
      <c r="C378" s="90" t="s">
        <v>346</v>
      </c>
      <c r="D378" s="91"/>
      <c r="E378" s="91"/>
      <c r="F378" s="91"/>
      <c r="G378" s="92"/>
      <c r="H378" s="92"/>
      <c r="I378" s="91" t="n">
        <v>1</v>
      </c>
      <c r="J378" s="92" t="n">
        <f aca="false">I378</f>
        <v>1</v>
      </c>
    </row>
    <row r="379" customFormat="false" ht="15" hidden="false" customHeight="false" outlineLevel="0" collapsed="false">
      <c r="A379" s="94"/>
      <c r="B379" s="93"/>
      <c r="C379" s="94"/>
      <c r="D379" s="97"/>
      <c r="E379" s="97"/>
      <c r="F379" s="97"/>
      <c r="G379" s="97"/>
      <c r="H379" s="97"/>
      <c r="I379" s="86"/>
      <c r="J379" s="86"/>
    </row>
    <row r="380" customFormat="false" ht="15" hidden="false" customHeight="false" outlineLevel="0" collapsed="false">
      <c r="A380" s="94"/>
      <c r="B380" s="87" t="str">
        <f aca="false">ORÇAMENTO!B115</f>
        <v>12.10</v>
      </c>
      <c r="C380" s="88" t="str">
        <f aca="false">VLOOKUP(B380,ORÇAMENTO!$B$17:$L$122,2,0)</f>
        <v>LAVATÓRIO LOUÇA BRANCA SUSPENSO</v>
      </c>
      <c r="D380" s="88"/>
      <c r="E380" s="88"/>
      <c r="F380" s="88"/>
      <c r="G380" s="88"/>
      <c r="H380" s="88"/>
      <c r="I380" s="88"/>
      <c r="J380" s="89" t="n">
        <f aca="false">SUM(J381:J381)</f>
        <v>1</v>
      </c>
    </row>
    <row r="381" customFormat="false" ht="15" hidden="false" customHeight="false" outlineLevel="0" collapsed="false">
      <c r="A381" s="94"/>
      <c r="B381" s="95"/>
      <c r="C381" s="90" t="s">
        <v>346</v>
      </c>
      <c r="D381" s="91"/>
      <c r="E381" s="91"/>
      <c r="F381" s="91"/>
      <c r="G381" s="92"/>
      <c r="H381" s="92"/>
      <c r="I381" s="91" t="n">
        <v>1</v>
      </c>
      <c r="J381" s="92" t="n">
        <f aca="false">I381</f>
        <v>1</v>
      </c>
    </row>
    <row r="382" customFormat="false" ht="15" hidden="false" customHeight="false" outlineLevel="0" collapsed="false">
      <c r="A382" s="94"/>
      <c r="B382" s="94"/>
      <c r="C382" s="94"/>
      <c r="D382" s="94"/>
      <c r="E382" s="94"/>
      <c r="F382" s="94"/>
      <c r="G382" s="94"/>
      <c r="H382" s="94"/>
      <c r="I382" s="94"/>
      <c r="J382" s="94"/>
    </row>
    <row r="383" customFormat="false" ht="15" hidden="false" customHeight="false" outlineLevel="0" collapsed="false">
      <c r="B383" s="31" t="str">
        <f aca="false">ORÇAMENTO!C117</f>
        <v>DIVERSOS (URBANIZAÇÃO)</v>
      </c>
      <c r="C383" s="31" t="n">
        <f aca="false">[1]'ORÇAMENTO CONSTRUÇÃO'!C318</f>
        <v>0</v>
      </c>
      <c r="D383" s="31"/>
      <c r="E383" s="31"/>
      <c r="F383" s="31"/>
      <c r="G383" s="31"/>
      <c r="H383" s="31"/>
      <c r="I383" s="31"/>
      <c r="J383" s="31"/>
    </row>
    <row r="384" customFormat="false" ht="15" hidden="false" customHeight="false" outlineLevel="0" collapsed="false">
      <c r="B384" s="99"/>
      <c r="C384" s="99"/>
      <c r="D384" s="93"/>
      <c r="E384" s="93"/>
      <c r="F384" s="93"/>
      <c r="G384" s="93"/>
      <c r="H384" s="93"/>
      <c r="I384" s="93"/>
      <c r="J384" s="93"/>
    </row>
    <row r="385" customFormat="false" ht="15" hidden="false" customHeight="false" outlineLevel="0" collapsed="false">
      <c r="B385" s="87" t="str">
        <f aca="false">ORÇAMENTO!B118</f>
        <v>13.1</v>
      </c>
      <c r="C385" s="88" t="str">
        <f aca="false">VLOOKUP(B385,ORÇAMENTO!$B$17:$L$122,2,0)</f>
        <v>LIMPEZA FINAL DA OBRA</v>
      </c>
      <c r="D385" s="100"/>
      <c r="E385" s="100"/>
      <c r="F385" s="100"/>
      <c r="G385" s="100"/>
      <c r="H385" s="100"/>
      <c r="I385" s="100"/>
      <c r="J385" s="89" t="n">
        <f aca="false">SUM(J386:J386)</f>
        <v>824.9</v>
      </c>
    </row>
    <row r="386" customFormat="false" ht="15" hidden="false" customHeight="false" outlineLevel="0" collapsed="false">
      <c r="B386" s="102"/>
      <c r="C386" s="90" t="s">
        <v>368</v>
      </c>
      <c r="D386" s="91" t="s">
        <v>18</v>
      </c>
      <c r="E386" s="91" t="s">
        <v>18</v>
      </c>
      <c r="F386" s="91" t="s">
        <v>18</v>
      </c>
      <c r="G386" s="91" t="n">
        <v>824.9</v>
      </c>
      <c r="H386" s="91" t="n">
        <v>0</v>
      </c>
      <c r="I386" s="91" t="n">
        <v>1</v>
      </c>
      <c r="J386" s="92" t="n">
        <f aca="false">IF(G386&gt;0,G386*I386,H386*I386)</f>
        <v>824.9</v>
      </c>
    </row>
    <row r="387" customFormat="false" ht="15" hidden="false" customHeight="false" outlineLevel="0" collapsed="false">
      <c r="B387" s="0"/>
      <c r="C387" s="94"/>
      <c r="D387" s="86"/>
      <c r="E387" s="86"/>
      <c r="F387" s="86"/>
      <c r="G387" s="86"/>
      <c r="H387" s="86"/>
      <c r="I387" s="86"/>
      <c r="J387" s="86"/>
    </row>
    <row r="388" customFormat="false" ht="15" hidden="false" customHeight="false" outlineLevel="0" collapsed="false">
      <c r="B388" s="87" t="str">
        <f aca="false">ORÇAMENTO!B119</f>
        <v>13.2</v>
      </c>
      <c r="C388" s="88" t="str">
        <f aca="false">VLOOKUP(B388,ORÇAMENTO!$B$17:$L$122,2,0)</f>
        <v>PODA DE ARVORES, COM LIMPEZA DE GALHOS SECOS E RETIRADA DE PARASITAS,INCLUINDO REMOCAO DE ENTULHO</v>
      </c>
      <c r="D388" s="100"/>
      <c r="E388" s="100"/>
      <c r="F388" s="100"/>
      <c r="G388" s="100"/>
      <c r="H388" s="100"/>
      <c r="I388" s="100"/>
      <c r="J388" s="89" t="n">
        <f aca="false">SUM(J389:J389)</f>
        <v>1</v>
      </c>
    </row>
    <row r="389" customFormat="false" ht="15" hidden="false" customHeight="false" outlineLevel="0" collapsed="false">
      <c r="B389" s="102"/>
      <c r="C389" s="90" t="s">
        <v>368</v>
      </c>
      <c r="D389" s="91" t="s">
        <v>18</v>
      </c>
      <c r="E389" s="91" t="s">
        <v>18</v>
      </c>
      <c r="F389" s="91" t="s">
        <v>18</v>
      </c>
      <c r="G389" s="92" t="s">
        <v>18</v>
      </c>
      <c r="H389" s="92" t="s">
        <v>18</v>
      </c>
      <c r="I389" s="91" t="n">
        <v>1</v>
      </c>
      <c r="J389" s="92" t="n">
        <f aca="false">I389</f>
        <v>1</v>
      </c>
    </row>
    <row r="390" customFormat="false" ht="15" hidden="false" customHeight="false" outlineLevel="0" collapsed="false">
      <c r="B390" s="0"/>
      <c r="C390" s="94"/>
      <c r="D390" s="86"/>
      <c r="E390" s="86"/>
      <c r="F390" s="86"/>
      <c r="G390" s="86"/>
      <c r="H390" s="86"/>
      <c r="I390" s="86"/>
      <c r="J390" s="86"/>
    </row>
    <row r="391" customFormat="false" ht="15" hidden="false" customHeight="false" outlineLevel="0" collapsed="false">
      <c r="B391" s="87" t="str">
        <f aca="false">ORÇAMENTO!B120</f>
        <v>13.3</v>
      </c>
      <c r="C391" s="88" t="str">
        <f aca="false">VLOOKUP(B391,ORÇAMENTO!$B$17:$L$122,2,0)</f>
        <v>PLANTIO DE ARBUSTO COM ALTURA 50 A 100CM, EM CAVA DE 60X60X60CM</v>
      </c>
      <c r="D391" s="100"/>
      <c r="E391" s="100"/>
      <c r="F391" s="100"/>
      <c r="G391" s="100"/>
      <c r="H391" s="100"/>
      <c r="I391" s="100"/>
      <c r="J391" s="89" t="n">
        <f aca="false">SUM(J392:J392)</f>
        <v>17</v>
      </c>
    </row>
    <row r="392" customFormat="false" ht="15" hidden="false" customHeight="false" outlineLevel="0" collapsed="false">
      <c r="B392" s="102"/>
      <c r="C392" s="90" t="s">
        <v>368</v>
      </c>
      <c r="D392" s="91" t="s">
        <v>18</v>
      </c>
      <c r="E392" s="91" t="s">
        <v>18</v>
      </c>
      <c r="F392" s="91" t="s">
        <v>18</v>
      </c>
      <c r="G392" s="92" t="s">
        <v>18</v>
      </c>
      <c r="H392" s="92" t="s">
        <v>18</v>
      </c>
      <c r="I392" s="91" t="n">
        <v>17</v>
      </c>
      <c r="J392" s="92" t="n">
        <f aca="false">I392</f>
        <v>17</v>
      </c>
    </row>
    <row r="393" customFormat="false" ht="15" hidden="false" customHeight="false" outlineLevel="0" collapsed="false">
      <c r="B393" s="0"/>
      <c r="C393" s="94"/>
      <c r="D393" s="86"/>
      <c r="E393" s="86"/>
      <c r="F393" s="86"/>
      <c r="G393" s="86"/>
      <c r="H393" s="86"/>
      <c r="I393" s="86"/>
      <c r="J393" s="86"/>
    </row>
    <row r="394" customFormat="false" ht="15" hidden="false" customHeight="false" outlineLevel="0" collapsed="false">
      <c r="B394" s="87" t="str">
        <f aca="false">ORÇAMENTO!B121</f>
        <v>13.4</v>
      </c>
      <c r="C394" s="88" t="str">
        <f aca="false">VLOOKUP(B394,ORÇAMENTO!$B$17:$L$122,2,0)</f>
        <v>PLANTIO DE GRAMA BATATAIS EM PLACAS</v>
      </c>
      <c r="D394" s="100"/>
      <c r="E394" s="100"/>
      <c r="F394" s="100"/>
      <c r="G394" s="100"/>
      <c r="H394" s="100"/>
      <c r="I394" s="100"/>
      <c r="J394" s="89" t="n">
        <f aca="false">SUM(J395:J395)</f>
        <v>77.7</v>
      </c>
    </row>
    <row r="395" customFormat="false" ht="15" hidden="false" customHeight="false" outlineLevel="0" collapsed="false">
      <c r="B395" s="102"/>
      <c r="C395" s="90" t="s">
        <v>368</v>
      </c>
      <c r="D395" s="91" t="s">
        <v>18</v>
      </c>
      <c r="E395" s="91" t="s">
        <v>18</v>
      </c>
      <c r="F395" s="91" t="s">
        <v>18</v>
      </c>
      <c r="G395" s="91" t="n">
        <f aca="false">35.5+6.8+35.4</f>
        <v>77.7</v>
      </c>
      <c r="H395" s="91" t="n">
        <v>0</v>
      </c>
      <c r="I395" s="91" t="n">
        <v>1</v>
      </c>
      <c r="J395" s="92" t="n">
        <f aca="false">IF(G395&gt;0,G395*I395,H395*I395)</f>
        <v>77.7</v>
      </c>
    </row>
    <row r="396" customFormat="false" ht="15" hidden="false" customHeight="false" outlineLevel="0" collapsed="false">
      <c r="B396" s="0"/>
      <c r="C396" s="94"/>
      <c r="D396" s="86"/>
      <c r="E396" s="86"/>
      <c r="F396" s="86"/>
      <c r="G396" s="86"/>
      <c r="H396" s="86"/>
      <c r="I396" s="86"/>
      <c r="J396" s="86"/>
    </row>
    <row r="397" customFormat="false" ht="15" hidden="false" customHeight="false" outlineLevel="0" collapsed="false">
      <c r="B397" s="0"/>
      <c r="C397" s="94"/>
      <c r="D397" s="86"/>
      <c r="E397" s="86"/>
      <c r="F397" s="86"/>
      <c r="G397" s="86"/>
      <c r="H397" s="86"/>
      <c r="I397" s="86"/>
      <c r="J397" s="86"/>
    </row>
    <row r="398" customFormat="false" ht="15" hidden="false" customHeight="false" outlineLevel="0" collapsed="false">
      <c r="B398" s="0"/>
      <c r="C398" s="94"/>
      <c r="D398" s="86"/>
      <c r="E398" s="86"/>
      <c r="F398" s="86"/>
      <c r="G398" s="86"/>
      <c r="H398" s="86"/>
      <c r="I398" s="86"/>
      <c r="J398" s="86"/>
    </row>
    <row r="399" customFormat="false" ht="15" hidden="false" customHeight="false" outlineLevel="0" collapsed="false">
      <c r="B399" s="0"/>
      <c r="C399" s="94"/>
      <c r="D399" s="86"/>
      <c r="E399" s="86"/>
      <c r="F399" s="86"/>
      <c r="G399" s="86"/>
      <c r="H399" s="86"/>
      <c r="I399" s="86"/>
      <c r="J399" s="86"/>
    </row>
    <row r="400" customFormat="false" ht="15" hidden="false" customHeight="false" outlineLevel="0" collapsed="false">
      <c r="B400" s="0"/>
      <c r="C400" s="94"/>
      <c r="D400" s="86"/>
      <c r="E400" s="86"/>
      <c r="F400" s="86"/>
      <c r="G400" s="86"/>
      <c r="H400" s="86"/>
      <c r="I400" s="86"/>
      <c r="J400" s="86"/>
    </row>
    <row r="401" customFormat="false" ht="15.75" hidden="false" customHeight="false" outlineLevel="0" collapsed="false">
      <c r="B401" s="0"/>
      <c r="C401" s="0"/>
      <c r="D401" s="0"/>
      <c r="E401" s="0"/>
      <c r="F401" s="0"/>
      <c r="G401" s="0"/>
      <c r="H401" s="0"/>
      <c r="I401" s="0"/>
      <c r="J401" s="0"/>
    </row>
    <row r="402" customFormat="false" ht="15" hidden="false" customHeight="false" outlineLevel="0" collapsed="false">
      <c r="B402" s="76"/>
      <c r="C402" s="77"/>
      <c r="D402" s="77"/>
      <c r="E402" s="77"/>
      <c r="F402" s="77"/>
      <c r="G402" s="77"/>
      <c r="H402" s="77"/>
      <c r="I402" s="77"/>
      <c r="J402" s="78"/>
    </row>
    <row r="403" customFormat="false" ht="18" hidden="false" customHeight="false" outlineLevel="0" collapsed="false">
      <c r="B403" s="79" t="s">
        <v>369</v>
      </c>
      <c r="C403" s="79"/>
      <c r="D403" s="79"/>
      <c r="E403" s="79"/>
      <c r="F403" s="79"/>
      <c r="G403" s="79"/>
      <c r="H403" s="79"/>
      <c r="I403" s="79"/>
      <c r="J403" s="79"/>
    </row>
    <row r="404" customFormat="false" ht="15.75" hidden="false" customHeight="false" outlineLevel="0" collapsed="false">
      <c r="B404" s="80"/>
      <c r="C404" s="81"/>
      <c r="D404" s="81"/>
      <c r="E404" s="81"/>
      <c r="F404" s="81"/>
      <c r="G404" s="81"/>
      <c r="H404" s="81"/>
      <c r="I404" s="81"/>
      <c r="J404" s="82"/>
    </row>
    <row r="405" customFormat="false" ht="15" hidden="false" customHeight="false" outlineLevel="0" collapsed="false">
      <c r="B405" s="0"/>
      <c r="C405" s="0"/>
      <c r="D405" s="0"/>
      <c r="E405" s="0"/>
      <c r="F405" s="0"/>
      <c r="G405" s="0"/>
      <c r="H405" s="0"/>
      <c r="I405" s="0"/>
      <c r="J405" s="0"/>
    </row>
    <row r="406" customFormat="false" ht="15" hidden="false" customHeight="false" outlineLevel="0" collapsed="false">
      <c r="B406" s="83" t="s">
        <v>324</v>
      </c>
      <c r="C406" s="83" t="s">
        <v>28</v>
      </c>
      <c r="D406" s="83" t="s">
        <v>325</v>
      </c>
      <c r="E406" s="83" t="s">
        <v>326</v>
      </c>
      <c r="F406" s="83" t="s">
        <v>327</v>
      </c>
      <c r="G406" s="83" t="s">
        <v>328</v>
      </c>
      <c r="H406" s="83" t="s">
        <v>329</v>
      </c>
      <c r="I406" s="83" t="s">
        <v>330</v>
      </c>
      <c r="J406" s="83" t="s">
        <v>331</v>
      </c>
    </row>
    <row r="407" customFormat="false" ht="15" hidden="false" customHeight="false" outlineLevel="0" collapsed="false">
      <c r="B407" s="84"/>
      <c r="C407" s="85"/>
      <c r="D407" s="84"/>
      <c r="E407" s="84"/>
      <c r="F407" s="84"/>
      <c r="G407" s="84"/>
      <c r="H407" s="84"/>
      <c r="I407" s="84"/>
      <c r="J407" s="84"/>
    </row>
    <row r="408" customFormat="false" ht="15" hidden="false" customHeight="false" outlineLevel="0" collapsed="false">
      <c r="B408" s="31" t="str">
        <f aca="false">ORÇAMENTO!C131</f>
        <v>SERVIÇOS PRELIMINARES (FACHADA)</v>
      </c>
      <c r="C408" s="31"/>
      <c r="D408" s="31"/>
      <c r="E408" s="31"/>
      <c r="F408" s="31"/>
      <c r="G408" s="31"/>
      <c r="H408" s="31"/>
      <c r="I408" s="31"/>
      <c r="J408" s="31"/>
    </row>
    <row r="409" customFormat="false" ht="15" hidden="false" customHeight="false" outlineLevel="0" collapsed="false">
      <c r="B409" s="0"/>
      <c r="C409" s="0"/>
      <c r="D409" s="86"/>
      <c r="E409" s="86"/>
      <c r="F409" s="86"/>
      <c r="G409" s="86"/>
      <c r="H409" s="86"/>
      <c r="I409" s="86"/>
      <c r="J409" s="86"/>
    </row>
    <row r="410" customFormat="false" ht="15" hidden="false" customHeight="false" outlineLevel="0" collapsed="false">
      <c r="B410" s="87" t="str">
        <f aca="false">ORÇAMENTO!B132</f>
        <v>14.1</v>
      </c>
      <c r="C410" s="88" t="str">
        <f aca="false">VLOOKUP(B410,ORÇAMENTO!$B$17:$L$177,2,0)</f>
        <v>RETIRADA DE ESQUADRIAS METALICAS (JANELAS)</v>
      </c>
      <c r="D410" s="88" t="s">
        <v>18</v>
      </c>
      <c r="E410" s="88" t="s">
        <v>18</v>
      </c>
      <c r="F410" s="88" t="s">
        <v>18</v>
      </c>
      <c r="G410" s="88" t="s">
        <v>18</v>
      </c>
      <c r="H410" s="88" t="s">
        <v>18</v>
      </c>
      <c r="I410" s="88" t="s">
        <v>18</v>
      </c>
      <c r="J410" s="89" t="n">
        <f aca="false">SUM(J411:J411)</f>
        <v>33.6</v>
      </c>
    </row>
    <row r="411" customFormat="false" ht="15" hidden="false" customHeight="false" outlineLevel="0" collapsed="false">
      <c r="B411" s="95"/>
      <c r="C411" s="90" t="s">
        <v>370</v>
      </c>
      <c r="D411" s="91" t="n">
        <v>3</v>
      </c>
      <c r="E411" s="91" t="s">
        <v>18</v>
      </c>
      <c r="F411" s="91" t="n">
        <v>1.4</v>
      </c>
      <c r="G411" s="92" t="n">
        <f aca="false">PRODUCT(D411,E411,F411)</f>
        <v>4.2</v>
      </c>
      <c r="H411" s="92" t="n">
        <v>0</v>
      </c>
      <c r="I411" s="91" t="n">
        <v>8</v>
      </c>
      <c r="J411" s="92" t="n">
        <f aca="false">IF(G411&gt;0,G411*I411,H411*I411)</f>
        <v>33.6</v>
      </c>
    </row>
    <row r="412" customFormat="false" ht="15" hidden="false" customHeight="false" outlineLevel="0" collapsed="false">
      <c r="B412" s="0"/>
      <c r="C412" s="0"/>
      <c r="D412" s="0"/>
      <c r="E412" s="0"/>
      <c r="F412" s="0"/>
      <c r="G412" s="0"/>
      <c r="H412" s="0"/>
      <c r="I412" s="0"/>
      <c r="J412" s="0"/>
    </row>
    <row r="413" customFormat="false" ht="15" hidden="false" customHeight="false" outlineLevel="0" collapsed="false">
      <c r="B413" s="87" t="str">
        <f aca="false">ORÇAMENTO!B133</f>
        <v>14.2</v>
      </c>
      <c r="C413" s="88" t="str">
        <f aca="false">VLOOKUP(B413,ORÇAMENTO!$B$17:$L$177,2,0)</f>
        <v>RETIRADA DE ESTRUTURA DE MADEIRA COM TESOURAS PARA TELHAS CERAMICAS</v>
      </c>
      <c r="D413" s="88" t="s">
        <v>18</v>
      </c>
      <c r="E413" s="88" t="s">
        <v>18</v>
      </c>
      <c r="F413" s="88" t="s">
        <v>18</v>
      </c>
      <c r="G413" s="88" t="s">
        <v>18</v>
      </c>
      <c r="H413" s="88" t="s">
        <v>18</v>
      </c>
      <c r="I413" s="88" t="s">
        <v>18</v>
      </c>
      <c r="J413" s="89" t="n">
        <f aca="false">SUM(J414:J414)</f>
        <v>710</v>
      </c>
    </row>
    <row r="414" customFormat="false" ht="15" hidden="false" customHeight="false" outlineLevel="0" collapsed="false">
      <c r="B414" s="95"/>
      <c r="C414" s="90" t="s">
        <v>370</v>
      </c>
      <c r="D414" s="91" t="s">
        <v>18</v>
      </c>
      <c r="E414" s="91" t="s">
        <v>18</v>
      </c>
      <c r="F414" s="91" t="s">
        <v>18</v>
      </c>
      <c r="G414" s="91" t="n">
        <v>710</v>
      </c>
      <c r="H414" s="91" t="n">
        <v>0</v>
      </c>
      <c r="I414" s="91" t="n">
        <v>1</v>
      </c>
      <c r="J414" s="92" t="n">
        <f aca="false">IF(G414&gt;0,G414*I414,H414*I414)</f>
        <v>710</v>
      </c>
    </row>
    <row r="415" customFormat="false" ht="15" hidden="false" customHeight="false" outlineLevel="0" collapsed="false">
      <c r="B415" s="0"/>
      <c r="C415" s="0"/>
      <c r="D415" s="0"/>
      <c r="E415" s="0"/>
      <c r="F415" s="0"/>
      <c r="G415" s="0"/>
      <c r="H415" s="0"/>
      <c r="I415" s="0"/>
      <c r="J415" s="0"/>
    </row>
    <row r="416" customFormat="false" ht="15" hidden="false" customHeight="false" outlineLevel="0" collapsed="false">
      <c r="B416" s="87" t="str">
        <f aca="false">ORÇAMENTO!B134</f>
        <v>14.3</v>
      </c>
      <c r="C416" s="88" t="str">
        <f aca="false">VLOOKUP(B416,ORÇAMENTO!$B$17:$L$177,2,0)</f>
        <v>RETIRADA DE TELHAS DE CERAMICAS</v>
      </c>
      <c r="D416" s="88" t="s">
        <v>18</v>
      </c>
      <c r="E416" s="88" t="s">
        <v>18</v>
      </c>
      <c r="F416" s="88" t="s">
        <v>18</v>
      </c>
      <c r="G416" s="88" t="s">
        <v>18</v>
      </c>
      <c r="H416" s="88" t="s">
        <v>18</v>
      </c>
      <c r="I416" s="88" t="s">
        <v>18</v>
      </c>
      <c r="J416" s="89" t="n">
        <f aca="false">SUM(J417:J417)</f>
        <v>710</v>
      </c>
    </row>
    <row r="417" customFormat="false" ht="15" hidden="false" customHeight="false" outlineLevel="0" collapsed="false">
      <c r="B417" s="95"/>
      <c r="C417" s="90" t="s">
        <v>370</v>
      </c>
      <c r="D417" s="91" t="s">
        <v>18</v>
      </c>
      <c r="E417" s="91" t="s">
        <v>18</v>
      </c>
      <c r="F417" s="91" t="s">
        <v>18</v>
      </c>
      <c r="G417" s="91" t="n">
        <v>710</v>
      </c>
      <c r="H417" s="91" t="n">
        <v>0</v>
      </c>
      <c r="I417" s="91" t="n">
        <v>1</v>
      </c>
      <c r="J417" s="92" t="n">
        <f aca="false">IF(G417&gt;0,G417*I417,H417*I417)</f>
        <v>710</v>
      </c>
    </row>
    <row r="418" customFormat="false" ht="15" hidden="false" customHeight="false" outlineLevel="0" collapsed="false">
      <c r="B418" s="0"/>
      <c r="C418" s="94"/>
      <c r="D418" s="86"/>
      <c r="E418" s="86"/>
      <c r="F418" s="86"/>
      <c r="G418" s="86"/>
      <c r="H418" s="86"/>
      <c r="I418" s="86"/>
      <c r="J418" s="86"/>
    </row>
    <row r="419" customFormat="false" ht="15" hidden="false" customHeight="false" outlineLevel="0" collapsed="false">
      <c r="B419" s="31" t="str">
        <f aca="false">ORÇAMENTO!C136</f>
        <v>PAREDES E PAINÉIS (FACHADA)</v>
      </c>
      <c r="C419" s="31"/>
      <c r="D419" s="31"/>
      <c r="E419" s="31"/>
      <c r="F419" s="31"/>
      <c r="G419" s="31"/>
      <c r="H419" s="31"/>
      <c r="I419" s="31"/>
      <c r="J419" s="31"/>
    </row>
    <row r="420" customFormat="false" ht="15" hidden="false" customHeight="false" outlineLevel="0" collapsed="false">
      <c r="B420" s="0"/>
      <c r="C420" s="0"/>
      <c r="D420" s="86"/>
      <c r="E420" s="86"/>
      <c r="F420" s="86"/>
      <c r="G420" s="86"/>
      <c r="H420" s="86"/>
      <c r="I420" s="86"/>
      <c r="J420" s="86"/>
    </row>
    <row r="421" customFormat="false" ht="15" hidden="false" customHeight="false" outlineLevel="0" collapsed="false">
      <c r="B421" s="87" t="str">
        <f aca="false">ORÇAMENTO!B137</f>
        <v>15.1</v>
      </c>
      <c r="C421" s="88" t="str">
        <f aca="false">VLOOKUP(B421,ORÇAMENTO!$B$17:$L$177,2,0)</f>
        <v>ALVENARIA DE VEDAÇÃO DE BLOCOS CERÂMICOS FURADOS NA HORIZONTAL DE 9X14X19CM, ESP. 9CM</v>
      </c>
      <c r="D421" s="88" t="s">
        <v>18</v>
      </c>
      <c r="E421" s="88" t="s">
        <v>18</v>
      </c>
      <c r="F421" s="88" t="s">
        <v>18</v>
      </c>
      <c r="G421" s="88" t="s">
        <v>18</v>
      </c>
      <c r="H421" s="88" t="s">
        <v>18</v>
      </c>
      <c r="I421" s="88" t="s">
        <v>18</v>
      </c>
      <c r="J421" s="89" t="n">
        <f aca="false">SUM(J422:J423)</f>
        <v>220.72</v>
      </c>
    </row>
    <row r="422" customFormat="false" ht="15" hidden="false" customHeight="false" outlineLevel="0" collapsed="false">
      <c r="B422" s="95"/>
      <c r="C422" s="90" t="s">
        <v>370</v>
      </c>
      <c r="D422" s="91" t="n">
        <f aca="false">121.6+3.85</f>
        <v>125.45</v>
      </c>
      <c r="E422" s="91" t="s">
        <v>18</v>
      </c>
      <c r="F422" s="91" t="n">
        <v>1.6</v>
      </c>
      <c r="G422" s="92" t="n">
        <f aca="false">PRODUCT(D422,E422,F422)</f>
        <v>200.72</v>
      </c>
      <c r="H422" s="92" t="n">
        <v>0</v>
      </c>
      <c r="I422" s="91" t="n">
        <v>1</v>
      </c>
      <c r="J422" s="92" t="n">
        <f aca="false">IF(G422&gt;0,G422*I422,H422*I422)</f>
        <v>200.72</v>
      </c>
    </row>
    <row r="423" customFormat="false" ht="15" hidden="false" customHeight="false" outlineLevel="0" collapsed="false">
      <c r="B423" s="95"/>
      <c r="C423" s="90" t="s">
        <v>370</v>
      </c>
      <c r="D423" s="91" t="n">
        <v>25</v>
      </c>
      <c r="E423" s="91" t="s">
        <v>18</v>
      </c>
      <c r="F423" s="91" t="n">
        <v>0.8</v>
      </c>
      <c r="G423" s="92" t="n">
        <f aca="false">PRODUCT(D423,E423,F423)</f>
        <v>20</v>
      </c>
      <c r="H423" s="92" t="n">
        <v>0</v>
      </c>
      <c r="I423" s="91" t="n">
        <v>1</v>
      </c>
      <c r="J423" s="92" t="n">
        <f aca="false">IF(G423&gt;0,G423*I423,H423*I423)</f>
        <v>20</v>
      </c>
    </row>
    <row r="424" customFormat="false" ht="15" hidden="false" customHeight="false" outlineLevel="0" collapsed="false">
      <c r="B424" s="0"/>
      <c r="C424" s="94"/>
      <c r="D424" s="86"/>
      <c r="E424" s="86"/>
      <c r="F424" s="86"/>
      <c r="G424" s="86"/>
      <c r="H424" s="86"/>
      <c r="I424" s="86"/>
      <c r="J424" s="86"/>
    </row>
    <row r="425" customFormat="false" ht="15" hidden="false" customHeight="false" outlineLevel="0" collapsed="false">
      <c r="B425" s="31" t="str">
        <f aca="false">ORÇAMENTO!C139</f>
        <v>COBERTURA (FACHADA)</v>
      </c>
      <c r="C425" s="31"/>
      <c r="D425" s="31"/>
      <c r="E425" s="31"/>
      <c r="F425" s="31"/>
      <c r="G425" s="31"/>
      <c r="H425" s="31"/>
      <c r="I425" s="31"/>
      <c r="J425" s="31"/>
    </row>
    <row r="426" customFormat="false" ht="15" hidden="false" customHeight="false" outlineLevel="0" collapsed="false">
      <c r="B426" s="0"/>
      <c r="C426" s="0"/>
      <c r="D426" s="86"/>
      <c r="E426" s="86"/>
      <c r="F426" s="86"/>
      <c r="G426" s="86"/>
      <c r="H426" s="86"/>
      <c r="I426" s="86"/>
      <c r="J426" s="86"/>
    </row>
    <row r="427" customFormat="false" ht="15" hidden="false" customHeight="false" outlineLevel="0" collapsed="false">
      <c r="B427" s="87" t="str">
        <f aca="false">ORÇAMENTO!B140</f>
        <v>16.1</v>
      </c>
      <c r="C427" s="88" t="str">
        <f aca="false">VLOOKUP(B427,ORÇAMENTO!$B$17:$L$177,2,0)</f>
        <v>ESTRUTURA METALICA EM TESOURAS OU TRELICAS, VAO LIVRE DE 12M, FORNECIMENTO E MONTAGEM, NAO SENDO CONSIDERADOS OS FECHAMENTOS METALICOS, AS COLUNAS, OS SERVICOS GERAIS EM ALVENARIA E CONCRETO, AS TELHAS DE COBERTURA E A PINTURA DE ACABAMENTO</v>
      </c>
      <c r="D427" s="88" t="s">
        <v>18</v>
      </c>
      <c r="E427" s="88" t="s">
        <v>18</v>
      </c>
      <c r="F427" s="88" t="s">
        <v>18</v>
      </c>
      <c r="G427" s="88" t="s">
        <v>18</v>
      </c>
      <c r="H427" s="88" t="s">
        <v>18</v>
      </c>
      <c r="I427" s="88" t="s">
        <v>18</v>
      </c>
      <c r="J427" s="89" t="n">
        <f aca="false">SUM(J428:J433)</f>
        <v>692.305</v>
      </c>
    </row>
    <row r="428" customFormat="false" ht="15" hidden="false" customHeight="false" outlineLevel="0" collapsed="false">
      <c r="B428" s="95"/>
      <c r="C428" s="90" t="s">
        <v>371</v>
      </c>
      <c r="D428" s="91" t="s">
        <v>18</v>
      </c>
      <c r="E428" s="91" t="s">
        <v>18</v>
      </c>
      <c r="F428" s="91" t="s">
        <v>18</v>
      </c>
      <c r="G428" s="91" t="n">
        <v>49</v>
      </c>
      <c r="H428" s="91" t="n">
        <v>0</v>
      </c>
      <c r="I428" s="91" t="n">
        <v>1</v>
      </c>
      <c r="J428" s="92" t="n">
        <f aca="false">IF(G428&gt;0,G428*I428,H428*I428)</f>
        <v>49</v>
      </c>
    </row>
    <row r="429" customFormat="false" ht="15" hidden="false" customHeight="false" outlineLevel="0" collapsed="false">
      <c r="B429" s="95"/>
      <c r="C429" s="90" t="s">
        <v>371</v>
      </c>
      <c r="D429" s="91" t="s">
        <v>18</v>
      </c>
      <c r="E429" s="91" t="s">
        <v>18</v>
      </c>
      <c r="F429" s="91" t="s">
        <v>18</v>
      </c>
      <c r="G429" s="91" t="n">
        <v>17.05</v>
      </c>
      <c r="H429" s="91" t="n">
        <v>0</v>
      </c>
      <c r="I429" s="91" t="n">
        <v>1</v>
      </c>
      <c r="J429" s="92" t="n">
        <f aca="false">IF(G429&gt;0,G429*I429,H429*I429)</f>
        <v>17.05</v>
      </c>
    </row>
    <row r="430" customFormat="false" ht="15" hidden="false" customHeight="false" outlineLevel="0" collapsed="false">
      <c r="B430" s="95"/>
      <c r="C430" s="90" t="s">
        <v>372</v>
      </c>
      <c r="D430" s="91" t="n">
        <v>13.95</v>
      </c>
      <c r="E430" s="91" t="s">
        <v>18</v>
      </c>
      <c r="F430" s="91" t="n">
        <v>1.85</v>
      </c>
      <c r="G430" s="92" t="n">
        <f aca="false">PRODUCT(D430,E430,F430)</f>
        <v>25.8075</v>
      </c>
      <c r="H430" s="92" t="n">
        <v>0</v>
      </c>
      <c r="I430" s="91" t="n">
        <v>1</v>
      </c>
      <c r="J430" s="92" t="n">
        <f aca="false">IF(G430&gt;0,G430*I430,H430*I430)</f>
        <v>25.8075</v>
      </c>
    </row>
    <row r="431" customFormat="false" ht="15" hidden="false" customHeight="false" outlineLevel="0" collapsed="false">
      <c r="B431" s="95"/>
      <c r="C431" s="90" t="s">
        <v>372</v>
      </c>
      <c r="D431" s="91" t="n">
        <v>8.35</v>
      </c>
      <c r="E431" s="91" t="s">
        <v>18</v>
      </c>
      <c r="F431" s="91" t="n">
        <v>1.85</v>
      </c>
      <c r="G431" s="92" t="n">
        <f aca="false">PRODUCT(D431,E431,F431)</f>
        <v>15.4475</v>
      </c>
      <c r="H431" s="92" t="n">
        <v>0</v>
      </c>
      <c r="I431" s="91" t="n">
        <v>1</v>
      </c>
      <c r="J431" s="92" t="n">
        <f aca="false">IF(G431&gt;0,G431*I431,H431*I431)</f>
        <v>15.4475</v>
      </c>
    </row>
    <row r="432" customFormat="false" ht="15" hidden="false" customHeight="false" outlineLevel="0" collapsed="false">
      <c r="B432" s="95"/>
      <c r="C432" s="90" t="s">
        <v>370</v>
      </c>
      <c r="D432" s="91" t="s">
        <v>18</v>
      </c>
      <c r="E432" s="91" t="s">
        <v>18</v>
      </c>
      <c r="F432" s="91" t="s">
        <v>18</v>
      </c>
      <c r="G432" s="91" t="n">
        <v>26.6</v>
      </c>
      <c r="H432" s="91" t="n">
        <v>0</v>
      </c>
      <c r="I432" s="91" t="n">
        <v>1</v>
      </c>
      <c r="J432" s="92" t="n">
        <f aca="false">IF(G432&gt;0,G432*I432,H432*I432)</f>
        <v>26.6</v>
      </c>
    </row>
    <row r="433" customFormat="false" ht="15" hidden="false" customHeight="false" outlineLevel="0" collapsed="false">
      <c r="B433" s="95"/>
      <c r="C433" s="90" t="s">
        <v>370</v>
      </c>
      <c r="D433" s="91" t="s">
        <v>18</v>
      </c>
      <c r="E433" s="91" t="s">
        <v>18</v>
      </c>
      <c r="F433" s="91" t="s">
        <v>18</v>
      </c>
      <c r="G433" s="91" t="n">
        <v>558.4</v>
      </c>
      <c r="H433" s="91" t="n">
        <v>0</v>
      </c>
      <c r="I433" s="91" t="n">
        <v>1</v>
      </c>
      <c r="J433" s="92" t="n">
        <f aca="false">IF(G433&gt;0,G433*I433,H433*I433)</f>
        <v>558.4</v>
      </c>
    </row>
    <row r="434" customFormat="false" ht="15" hidden="false" customHeight="false" outlineLevel="0" collapsed="false">
      <c r="B434" s="0"/>
      <c r="C434" s="94"/>
      <c r="D434" s="86"/>
      <c r="E434" s="86"/>
      <c r="F434" s="86"/>
      <c r="G434" s="86"/>
      <c r="H434" s="86"/>
      <c r="I434" s="86"/>
      <c r="J434" s="86"/>
    </row>
    <row r="435" customFormat="false" ht="15" hidden="false" customHeight="false" outlineLevel="0" collapsed="false">
      <c r="B435" s="87" t="str">
        <f aca="false">ORÇAMENTO!B141</f>
        <v>16.2</v>
      </c>
      <c r="C435" s="88" t="str">
        <f aca="false">VLOOKUP(B435,ORÇAMENTO!$B$17:$L$177,2,0)</f>
        <v>TELHA TERMOACÚSTICA TRAPEZOIDAL </v>
      </c>
      <c r="D435" s="88" t="s">
        <v>18</v>
      </c>
      <c r="E435" s="88" t="s">
        <v>18</v>
      </c>
      <c r="F435" s="88" t="s">
        <v>18</v>
      </c>
      <c r="G435" s="88" t="s">
        <v>18</v>
      </c>
      <c r="H435" s="88" t="s">
        <v>18</v>
      </c>
      <c r="I435" s="88" t="s">
        <v>18</v>
      </c>
      <c r="J435" s="89" t="n">
        <f aca="false">SUM(J436:J439)</f>
        <v>651.05</v>
      </c>
    </row>
    <row r="436" customFormat="false" ht="15" hidden="false" customHeight="false" outlineLevel="0" collapsed="false">
      <c r="B436" s="95"/>
      <c r="C436" s="90" t="s">
        <v>372</v>
      </c>
      <c r="D436" s="91" t="s">
        <v>18</v>
      </c>
      <c r="E436" s="91" t="s">
        <v>18</v>
      </c>
      <c r="F436" s="91" t="s">
        <v>18</v>
      </c>
      <c r="G436" s="91" t="n">
        <v>49</v>
      </c>
      <c r="H436" s="91" t="n">
        <v>0</v>
      </c>
      <c r="I436" s="91" t="n">
        <v>1</v>
      </c>
      <c r="J436" s="92" t="n">
        <f aca="false">IF(G436&gt;0,G436*I436,H436*I436)</f>
        <v>49</v>
      </c>
    </row>
    <row r="437" customFormat="false" ht="15" hidden="false" customHeight="false" outlineLevel="0" collapsed="false">
      <c r="B437" s="95"/>
      <c r="C437" s="90" t="s">
        <v>372</v>
      </c>
      <c r="D437" s="91" t="s">
        <v>18</v>
      </c>
      <c r="E437" s="91" t="s">
        <v>18</v>
      </c>
      <c r="F437" s="91" t="s">
        <v>18</v>
      </c>
      <c r="G437" s="91" t="n">
        <v>17.05</v>
      </c>
      <c r="H437" s="91" t="n">
        <v>0</v>
      </c>
      <c r="I437" s="91" t="n">
        <v>1</v>
      </c>
      <c r="J437" s="92" t="n">
        <f aca="false">IF(G437&gt;0,G437*I437,H437*I437)</f>
        <v>17.05</v>
      </c>
    </row>
    <row r="438" customFormat="false" ht="15" hidden="false" customHeight="false" outlineLevel="0" collapsed="false">
      <c r="B438" s="95"/>
      <c r="C438" s="90" t="s">
        <v>370</v>
      </c>
      <c r="D438" s="91" t="s">
        <v>18</v>
      </c>
      <c r="E438" s="91" t="s">
        <v>18</v>
      </c>
      <c r="F438" s="91" t="s">
        <v>18</v>
      </c>
      <c r="G438" s="91" t="n">
        <v>26.6</v>
      </c>
      <c r="H438" s="91" t="n">
        <v>0</v>
      </c>
      <c r="I438" s="91" t="n">
        <v>1</v>
      </c>
      <c r="J438" s="92" t="n">
        <f aca="false">IF(G438&gt;0,G438*I438,H438*I438)</f>
        <v>26.6</v>
      </c>
    </row>
    <row r="439" customFormat="false" ht="15" hidden="false" customHeight="false" outlineLevel="0" collapsed="false">
      <c r="B439" s="95"/>
      <c r="C439" s="90" t="s">
        <v>370</v>
      </c>
      <c r="D439" s="91" t="s">
        <v>18</v>
      </c>
      <c r="E439" s="91" t="s">
        <v>18</v>
      </c>
      <c r="F439" s="91" t="s">
        <v>18</v>
      </c>
      <c r="G439" s="91" t="n">
        <v>558.4</v>
      </c>
      <c r="H439" s="91" t="n">
        <v>0</v>
      </c>
      <c r="I439" s="91" t="n">
        <v>1</v>
      </c>
      <c r="J439" s="92" t="n">
        <f aca="false">IF(G439&gt;0,G439*I439,H439*I439)</f>
        <v>558.4</v>
      </c>
    </row>
    <row r="440" customFormat="false" ht="15" hidden="false" customHeight="false" outlineLevel="0" collapsed="false">
      <c r="B440" s="0"/>
      <c r="C440" s="94"/>
      <c r="D440" s="86"/>
      <c r="E440" s="86"/>
      <c r="F440" s="86"/>
      <c r="G440" s="86"/>
      <c r="H440" s="86"/>
      <c r="I440" s="86"/>
      <c r="J440" s="86"/>
    </row>
    <row r="441" customFormat="false" ht="15" hidden="false" customHeight="false" outlineLevel="0" collapsed="false">
      <c r="B441" s="87" t="str">
        <f aca="false">ORÇAMENTO!B142</f>
        <v>16.3</v>
      </c>
      <c r="C441" s="88" t="str">
        <f aca="false">VLOOKUP(B441,ORÇAMENTO!$B$17:$L$177,2,0)</f>
        <v>CALHA EM CHAPA DE ACO GALVANIZADO NUMERO 24, DESENVOLVIMENTO DE 33CM</v>
      </c>
      <c r="D441" s="88" t="s">
        <v>18</v>
      </c>
      <c r="E441" s="88" t="s">
        <v>18</v>
      </c>
      <c r="F441" s="88" t="s">
        <v>18</v>
      </c>
      <c r="G441" s="88" t="s">
        <v>18</v>
      </c>
      <c r="H441" s="88" t="s">
        <v>18</v>
      </c>
      <c r="I441" s="88" t="s">
        <v>18</v>
      </c>
      <c r="J441" s="89" t="n">
        <f aca="false">SUM(J442:J445)</f>
        <v>114.65</v>
      </c>
    </row>
    <row r="442" customFormat="false" ht="15" hidden="false" customHeight="false" outlineLevel="0" collapsed="false">
      <c r="B442" s="95"/>
      <c r="C442" s="90" t="s">
        <v>372</v>
      </c>
      <c r="D442" s="91" t="n">
        <v>13.4</v>
      </c>
      <c r="E442" s="91" t="s">
        <v>18</v>
      </c>
      <c r="F442" s="91" t="s">
        <v>18</v>
      </c>
      <c r="G442" s="92" t="s">
        <v>18</v>
      </c>
      <c r="H442" s="92" t="s">
        <v>18</v>
      </c>
      <c r="I442" s="91" t="n">
        <v>1</v>
      </c>
      <c r="J442" s="92" t="n">
        <f aca="false">D442*I442</f>
        <v>13.4</v>
      </c>
    </row>
    <row r="443" customFormat="false" ht="15" hidden="false" customHeight="false" outlineLevel="0" collapsed="false">
      <c r="B443" s="95"/>
      <c r="C443" s="90" t="s">
        <v>372</v>
      </c>
      <c r="D443" s="91" t="n">
        <v>4.95</v>
      </c>
      <c r="E443" s="91" t="s">
        <v>18</v>
      </c>
      <c r="F443" s="91" t="s">
        <v>18</v>
      </c>
      <c r="G443" s="92" t="s">
        <v>18</v>
      </c>
      <c r="H443" s="92" t="s">
        <v>18</v>
      </c>
      <c r="I443" s="91" t="n">
        <v>1</v>
      </c>
      <c r="J443" s="92" t="n">
        <f aca="false">D443*I443</f>
        <v>4.95</v>
      </c>
    </row>
    <row r="444" customFormat="false" ht="15" hidden="false" customHeight="false" outlineLevel="0" collapsed="false">
      <c r="B444" s="95"/>
      <c r="C444" s="90" t="s">
        <v>370</v>
      </c>
      <c r="D444" s="91" t="n">
        <v>8.7</v>
      </c>
      <c r="E444" s="91" t="s">
        <v>18</v>
      </c>
      <c r="F444" s="91" t="s">
        <v>18</v>
      </c>
      <c r="G444" s="92" t="s">
        <v>18</v>
      </c>
      <c r="H444" s="92" t="s">
        <v>18</v>
      </c>
      <c r="I444" s="91" t="n">
        <v>1</v>
      </c>
      <c r="J444" s="92" t="n">
        <f aca="false">D444*I444</f>
        <v>8.7</v>
      </c>
    </row>
    <row r="445" customFormat="false" ht="15" hidden="false" customHeight="false" outlineLevel="0" collapsed="false">
      <c r="B445" s="95"/>
      <c r="C445" s="90" t="s">
        <v>370</v>
      </c>
      <c r="D445" s="91" t="n">
        <v>43.8</v>
      </c>
      <c r="E445" s="91" t="s">
        <v>18</v>
      </c>
      <c r="F445" s="91" t="s">
        <v>18</v>
      </c>
      <c r="G445" s="92" t="s">
        <v>18</v>
      </c>
      <c r="H445" s="92" t="s">
        <v>18</v>
      </c>
      <c r="I445" s="91" t="n">
        <v>2</v>
      </c>
      <c r="J445" s="92" t="n">
        <f aca="false">D445*I445</f>
        <v>87.6</v>
      </c>
    </row>
    <row r="446" customFormat="false" ht="15" hidden="false" customHeight="false" outlineLevel="0" collapsed="false">
      <c r="B446" s="0"/>
      <c r="C446" s="94"/>
      <c r="D446" s="86"/>
      <c r="E446" s="86"/>
      <c r="F446" s="86"/>
      <c r="G446" s="86"/>
      <c r="H446" s="86"/>
      <c r="I446" s="86"/>
      <c r="J446" s="86"/>
    </row>
    <row r="447" customFormat="false" ht="15" hidden="false" customHeight="false" outlineLevel="0" collapsed="false">
      <c r="B447" s="87" t="str">
        <f aca="false">ORÇAMENTO!B143</f>
        <v>16.4</v>
      </c>
      <c r="C447" s="88" t="str">
        <f aca="false">VLOOKUP(B447,ORÇAMENTO!$B$17:$L$177,2,0)</f>
        <v>RUFO EM CONCRETO ARMADO, LARGURA 40CM, ESPESSURA 3CM</v>
      </c>
      <c r="D447" s="88" t="s">
        <v>18</v>
      </c>
      <c r="E447" s="88" t="s">
        <v>18</v>
      </c>
      <c r="F447" s="88" t="s">
        <v>18</v>
      </c>
      <c r="G447" s="88" t="s">
        <v>18</v>
      </c>
      <c r="H447" s="88" t="s">
        <v>18</v>
      </c>
      <c r="I447" s="88" t="s">
        <v>18</v>
      </c>
      <c r="J447" s="89" t="n">
        <f aca="false">SUM(J448:J451)</f>
        <v>63.6</v>
      </c>
    </row>
    <row r="448" customFormat="false" ht="15" hidden="false" customHeight="false" outlineLevel="0" collapsed="false">
      <c r="B448" s="95"/>
      <c r="C448" s="90" t="s">
        <v>372</v>
      </c>
      <c r="D448" s="91" t="n">
        <v>15.65</v>
      </c>
      <c r="E448" s="91" t="s">
        <v>18</v>
      </c>
      <c r="F448" s="91" t="s">
        <v>18</v>
      </c>
      <c r="G448" s="92" t="s">
        <v>18</v>
      </c>
      <c r="H448" s="92" t="s">
        <v>18</v>
      </c>
      <c r="I448" s="91" t="n">
        <v>1</v>
      </c>
      <c r="J448" s="92" t="n">
        <f aca="false">D448*I448</f>
        <v>15.65</v>
      </c>
    </row>
    <row r="449" customFormat="false" ht="15" hidden="false" customHeight="false" outlineLevel="0" collapsed="false">
      <c r="B449" s="95"/>
      <c r="C449" s="90" t="s">
        <v>372</v>
      </c>
      <c r="D449" s="91" t="n">
        <v>7.65</v>
      </c>
      <c r="E449" s="91" t="s">
        <v>18</v>
      </c>
      <c r="F449" s="91" t="s">
        <v>18</v>
      </c>
      <c r="G449" s="92" t="s">
        <v>18</v>
      </c>
      <c r="H449" s="92" t="s">
        <v>18</v>
      </c>
      <c r="I449" s="91" t="n">
        <v>1</v>
      </c>
      <c r="J449" s="92" t="n">
        <f aca="false">D449*I449</f>
        <v>7.65</v>
      </c>
    </row>
    <row r="450" customFormat="false" ht="15" hidden="false" customHeight="false" outlineLevel="0" collapsed="false">
      <c r="B450" s="95"/>
      <c r="C450" s="90" t="s">
        <v>370</v>
      </c>
      <c r="D450" s="91" t="n">
        <v>14.8</v>
      </c>
      <c r="E450" s="91" t="s">
        <v>18</v>
      </c>
      <c r="F450" s="91" t="s">
        <v>18</v>
      </c>
      <c r="G450" s="92" t="s">
        <v>18</v>
      </c>
      <c r="H450" s="92" t="s">
        <v>18</v>
      </c>
      <c r="I450" s="91" t="n">
        <v>1</v>
      </c>
      <c r="J450" s="92" t="n">
        <f aca="false">D450*I450</f>
        <v>14.8</v>
      </c>
    </row>
    <row r="451" customFormat="false" ht="15" hidden="false" customHeight="false" outlineLevel="0" collapsed="false">
      <c r="B451" s="95"/>
      <c r="C451" s="90" t="s">
        <v>370</v>
      </c>
      <c r="D451" s="91" t="n">
        <v>12.75</v>
      </c>
      <c r="E451" s="91" t="s">
        <v>18</v>
      </c>
      <c r="F451" s="91" t="s">
        <v>18</v>
      </c>
      <c r="G451" s="92" t="s">
        <v>18</v>
      </c>
      <c r="H451" s="92" t="s">
        <v>18</v>
      </c>
      <c r="I451" s="91" t="n">
        <v>2</v>
      </c>
      <c r="J451" s="92" t="n">
        <f aca="false">D451*I451</f>
        <v>25.5</v>
      </c>
    </row>
    <row r="452" customFormat="false" ht="15" hidden="false" customHeight="false" outlineLevel="0" collapsed="false">
      <c r="B452" s="0"/>
      <c r="C452" s="94"/>
      <c r="D452" s="86"/>
      <c r="E452" s="86"/>
      <c r="F452" s="86"/>
      <c r="G452" s="86"/>
      <c r="H452" s="86"/>
      <c r="I452" s="86"/>
      <c r="J452" s="86"/>
    </row>
    <row r="453" customFormat="false" ht="15" hidden="false" customHeight="false" outlineLevel="0" collapsed="false">
      <c r="B453" s="87" t="str">
        <f aca="false">ORÇAMENTO!B144</f>
        <v>16.5</v>
      </c>
      <c r="C453" s="88" t="str">
        <f aca="false">VLOOKUP(B453,ORÇAMENTO!$B$17:$L$177,2,0)</f>
        <v>CHAPIM DE CONCRETO APARENTE COM ACABAMENTO DESEMPENADO, FORMA DE COMPENSADO PLASTIFICADO (MADEIRIT) DE 14 X 10 CM, FUNDIDO NO LOCAL</v>
      </c>
      <c r="D453" s="88" t="s">
        <v>18</v>
      </c>
      <c r="E453" s="88" t="s">
        <v>18</v>
      </c>
      <c r="F453" s="88" t="s">
        <v>18</v>
      </c>
      <c r="G453" s="88" t="s">
        <v>18</v>
      </c>
      <c r="H453" s="88" t="s">
        <v>18</v>
      </c>
      <c r="I453" s="88" t="s">
        <v>18</v>
      </c>
      <c r="J453" s="89" t="n">
        <f aca="false">SUM(J454:J454)</f>
        <v>125.45</v>
      </c>
    </row>
    <row r="454" customFormat="false" ht="15" hidden="false" customHeight="false" outlineLevel="0" collapsed="false">
      <c r="B454" s="95"/>
      <c r="C454" s="90" t="s">
        <v>370</v>
      </c>
      <c r="D454" s="91" t="n">
        <f aca="false">121.6+3.85</f>
        <v>125.45</v>
      </c>
      <c r="E454" s="91" t="s">
        <v>18</v>
      </c>
      <c r="F454" s="91" t="s">
        <v>18</v>
      </c>
      <c r="G454" s="92" t="s">
        <v>18</v>
      </c>
      <c r="H454" s="92" t="s">
        <v>18</v>
      </c>
      <c r="I454" s="91" t="n">
        <v>1</v>
      </c>
      <c r="J454" s="92" t="n">
        <f aca="false">D454*I454</f>
        <v>125.45</v>
      </c>
    </row>
    <row r="455" customFormat="false" ht="15" hidden="false" customHeight="false" outlineLevel="0" collapsed="false">
      <c r="B455" s="0"/>
      <c r="C455" s="94"/>
      <c r="D455" s="86"/>
      <c r="E455" s="86"/>
      <c r="F455" s="86"/>
      <c r="G455" s="86"/>
      <c r="H455" s="86"/>
      <c r="I455" s="86"/>
      <c r="J455" s="86"/>
    </row>
    <row r="456" customFormat="false" ht="15" hidden="false" customHeight="false" outlineLevel="0" collapsed="false">
      <c r="B456" s="31" t="str">
        <f aca="false">ORÇAMENTO!C146</f>
        <v>ESQUADRIAS (FACHADA)</v>
      </c>
      <c r="C456" s="31"/>
      <c r="D456" s="31"/>
      <c r="E456" s="31"/>
      <c r="F456" s="31"/>
      <c r="G456" s="31"/>
      <c r="H456" s="31"/>
      <c r="I456" s="31"/>
      <c r="J456" s="31"/>
    </row>
    <row r="457" customFormat="false" ht="15" hidden="false" customHeight="false" outlineLevel="0" collapsed="false">
      <c r="B457" s="0"/>
      <c r="C457" s="0"/>
      <c r="D457" s="86"/>
      <c r="E457" s="86"/>
      <c r="F457" s="86"/>
      <c r="G457" s="86"/>
      <c r="H457" s="86"/>
      <c r="I457" s="86"/>
      <c r="J457" s="86"/>
    </row>
    <row r="458" customFormat="false" ht="15" hidden="false" customHeight="false" outlineLevel="0" collapsed="false">
      <c r="B458" s="87" t="str">
        <f aca="false">ORÇAMENTO!B147</f>
        <v>17.1</v>
      </c>
      <c r="C458" s="88" t="str">
        <f aca="false">VLOOKUP(B458,ORÇAMENTO!$B$17:$L$177,2,0)</f>
        <v>JANELA DE ALUMINIO TIPO MAXIM AR, INCLUSO GUARNICOES E VIDRO FANTASIA</v>
      </c>
      <c r="D458" s="88" t="s">
        <v>18</v>
      </c>
      <c r="E458" s="88" t="s">
        <v>18</v>
      </c>
      <c r="F458" s="88" t="s">
        <v>18</v>
      </c>
      <c r="G458" s="88" t="s">
        <v>18</v>
      </c>
      <c r="H458" s="88" t="s">
        <v>18</v>
      </c>
      <c r="I458" s="88" t="s">
        <v>18</v>
      </c>
      <c r="J458" s="89" t="n">
        <f aca="false">SUM(J459:J460)</f>
        <v>12.6</v>
      </c>
    </row>
    <row r="459" customFormat="false" ht="15" hidden="false" customHeight="false" outlineLevel="0" collapsed="false">
      <c r="B459" s="95"/>
      <c r="C459" s="90" t="s">
        <v>370</v>
      </c>
      <c r="D459" s="91" t="n">
        <v>0.7</v>
      </c>
      <c r="E459" s="91" t="s">
        <v>18</v>
      </c>
      <c r="F459" s="91" t="n">
        <v>0.8</v>
      </c>
      <c r="G459" s="92" t="n">
        <f aca="false">PRODUCT(D459,E459,F459)</f>
        <v>0.56</v>
      </c>
      <c r="H459" s="92" t="n">
        <v>0</v>
      </c>
      <c r="I459" s="91" t="n">
        <v>20</v>
      </c>
      <c r="J459" s="92" t="n">
        <f aca="false">IF(G459&gt;0,G459*I459,H459*I459)</f>
        <v>11.2</v>
      </c>
    </row>
    <row r="460" customFormat="false" ht="15" hidden="false" customHeight="false" outlineLevel="0" collapsed="false">
      <c r="B460" s="95"/>
      <c r="C460" s="90" t="s">
        <v>370</v>
      </c>
      <c r="D460" s="91" t="n">
        <v>1.4</v>
      </c>
      <c r="E460" s="91" t="s">
        <v>18</v>
      </c>
      <c r="F460" s="91" t="n">
        <v>0.5</v>
      </c>
      <c r="G460" s="92" t="n">
        <f aca="false">PRODUCT(D460,E460,F460)</f>
        <v>0.7</v>
      </c>
      <c r="H460" s="92" t="n">
        <v>0</v>
      </c>
      <c r="I460" s="91" t="n">
        <v>2</v>
      </c>
      <c r="J460" s="92" t="n">
        <f aca="false">IF(G460&gt;0,G460*I460,H460*I460)</f>
        <v>1.4</v>
      </c>
    </row>
    <row r="461" customFormat="false" ht="15" hidden="false" customHeight="false" outlineLevel="0" collapsed="false">
      <c r="B461" s="0"/>
      <c r="C461" s="75" t="s">
        <v>18</v>
      </c>
      <c r="D461" s="0"/>
      <c r="E461" s="0"/>
      <c r="F461" s="0"/>
      <c r="G461" s="0"/>
      <c r="H461" s="0"/>
      <c r="I461" s="0"/>
      <c r="J461" s="0"/>
    </row>
    <row r="462" customFormat="false" ht="15" hidden="false" customHeight="false" outlineLevel="0" collapsed="false">
      <c r="B462" s="87" t="str">
        <f aca="false">ORÇAMENTO!B148</f>
        <v>17.2</v>
      </c>
      <c r="C462" s="88" t="str">
        <f aca="false">VLOOKUP(B462,ORÇAMENTO!$B$17:$L$177,2,0)</f>
        <v>PELÍCULA DE INSULFILM, FORNECIMENTO E APLICAÇÃO</v>
      </c>
      <c r="D462" s="88" t="s">
        <v>18</v>
      </c>
      <c r="E462" s="88" t="s">
        <v>18</v>
      </c>
      <c r="F462" s="88" t="s">
        <v>18</v>
      </c>
      <c r="G462" s="88" t="s">
        <v>18</v>
      </c>
      <c r="H462" s="88" t="s">
        <v>18</v>
      </c>
      <c r="I462" s="88" t="s">
        <v>18</v>
      </c>
      <c r="J462" s="89" t="n">
        <f aca="false">SUM(J463:J465)</f>
        <v>15.096</v>
      </c>
    </row>
    <row r="463" customFormat="false" ht="15" hidden="false" customHeight="false" outlineLevel="0" collapsed="false">
      <c r="B463" s="95"/>
      <c r="C463" s="90" t="s">
        <v>370</v>
      </c>
      <c r="D463" s="91" t="n">
        <v>0.7</v>
      </c>
      <c r="E463" s="91" t="s">
        <v>18</v>
      </c>
      <c r="F463" s="91" t="n">
        <v>0.8</v>
      </c>
      <c r="G463" s="92" t="n">
        <f aca="false">PRODUCT(D463,E463,F463)</f>
        <v>0.56</v>
      </c>
      <c r="H463" s="92" t="n">
        <v>0</v>
      </c>
      <c r="I463" s="91" t="n">
        <v>20</v>
      </c>
      <c r="J463" s="92" t="n">
        <f aca="false">IF(G463&gt;0,G463*I463,H463*I463)</f>
        <v>11.2</v>
      </c>
    </row>
    <row r="464" customFormat="false" ht="15" hidden="false" customHeight="false" outlineLevel="0" collapsed="false">
      <c r="B464" s="95"/>
      <c r="C464" s="90" t="s">
        <v>370</v>
      </c>
      <c r="D464" s="91" t="n">
        <v>1.4</v>
      </c>
      <c r="E464" s="91" t="s">
        <v>18</v>
      </c>
      <c r="F464" s="91" t="n">
        <v>0.5</v>
      </c>
      <c r="G464" s="92" t="n">
        <f aca="false">PRODUCT(D464,E464,F464)</f>
        <v>0.7</v>
      </c>
      <c r="H464" s="92" t="n">
        <v>0</v>
      </c>
      <c r="I464" s="91" t="n">
        <v>2</v>
      </c>
      <c r="J464" s="92" t="n">
        <f aca="false">IF(G464&gt;0,G464*I464,H464*I464)</f>
        <v>1.4</v>
      </c>
    </row>
    <row r="465" customFormat="false" ht="15" hidden="false" customHeight="false" outlineLevel="0" collapsed="false">
      <c r="B465" s="95"/>
      <c r="C465" s="90" t="s">
        <v>372</v>
      </c>
      <c r="D465" s="91" t="n">
        <v>0.48</v>
      </c>
      <c r="E465" s="91" t="s">
        <v>18</v>
      </c>
      <c r="F465" s="91" t="n">
        <v>0.52</v>
      </c>
      <c r="G465" s="92" t="n">
        <f aca="false">PRODUCT(D465,E465,F465)</f>
        <v>0.2496</v>
      </c>
      <c r="H465" s="92" t="n">
        <v>0</v>
      </c>
      <c r="I465" s="91" t="n">
        <v>10</v>
      </c>
      <c r="J465" s="92" t="n">
        <f aca="false">IF(G465&gt;0,G465*I465,H465*I465)</f>
        <v>2.496</v>
      </c>
    </row>
    <row r="466" customFormat="false" ht="15" hidden="false" customHeight="false" outlineLevel="0" collapsed="false">
      <c r="B466" s="0"/>
      <c r="C466" s="94"/>
      <c r="D466" s="86"/>
      <c r="E466" s="86"/>
      <c r="F466" s="86"/>
      <c r="G466" s="86"/>
      <c r="H466" s="86"/>
      <c r="I466" s="86"/>
      <c r="J466" s="86"/>
    </row>
    <row r="467" customFormat="false" ht="15" hidden="false" customHeight="false" outlineLevel="0" collapsed="false">
      <c r="B467" s="31" t="str">
        <f aca="false">ORÇAMENTO!C150</f>
        <v>REVESTIMENTO (FACHADA)</v>
      </c>
      <c r="C467" s="31"/>
      <c r="D467" s="31"/>
      <c r="E467" s="31"/>
      <c r="F467" s="31"/>
      <c r="G467" s="31"/>
      <c r="H467" s="31"/>
      <c r="I467" s="31"/>
      <c r="J467" s="31"/>
    </row>
    <row r="468" customFormat="false" ht="15" hidden="false" customHeight="false" outlineLevel="0" collapsed="false">
      <c r="B468" s="0"/>
      <c r="C468" s="0"/>
      <c r="D468" s="86"/>
      <c r="E468" s="86"/>
      <c r="F468" s="86"/>
      <c r="G468" s="86"/>
      <c r="H468" s="86"/>
      <c r="I468" s="86"/>
      <c r="J468" s="86"/>
    </row>
    <row r="469" customFormat="false" ht="15" hidden="false" customHeight="false" outlineLevel="0" collapsed="false">
      <c r="B469" s="87" t="str">
        <f aca="false">ORÇAMENTO!B151</f>
        <v>18.1</v>
      </c>
      <c r="C469" s="88" t="str">
        <f aca="false">VLOOKUP(B469,ORÇAMENTO!$B$17:$L$177,2,0)</f>
        <v>CHAPISCO, TRAÇO 1:3 </v>
      </c>
      <c r="D469" s="88" t="s">
        <v>18</v>
      </c>
      <c r="E469" s="88" t="s">
        <v>18</v>
      </c>
      <c r="F469" s="88" t="s">
        <v>18</v>
      </c>
      <c r="G469" s="88" t="s">
        <v>18</v>
      </c>
      <c r="H469" s="88" t="s">
        <v>18</v>
      </c>
      <c r="I469" s="88" t="s">
        <v>18</v>
      </c>
      <c r="J469" s="89" t="n">
        <f aca="false">SUM(J470:J471)</f>
        <v>441.44</v>
      </c>
    </row>
    <row r="470" customFormat="false" ht="15" hidden="false" customHeight="false" outlineLevel="0" collapsed="false">
      <c r="B470" s="95"/>
      <c r="C470" s="90" t="s">
        <v>370</v>
      </c>
      <c r="D470" s="91" t="n">
        <f aca="false">121.6+3.85</f>
        <v>125.45</v>
      </c>
      <c r="E470" s="91" t="s">
        <v>18</v>
      </c>
      <c r="F470" s="91" t="n">
        <v>1.6</v>
      </c>
      <c r="G470" s="92" t="n">
        <f aca="false">PRODUCT(D470,E470,F470)</f>
        <v>200.72</v>
      </c>
      <c r="H470" s="92" t="n">
        <v>0</v>
      </c>
      <c r="I470" s="91" t="n">
        <v>2</v>
      </c>
      <c r="J470" s="92" t="n">
        <f aca="false">IF(G470&gt;0,G470*I470,H470*I470)</f>
        <v>401.44</v>
      </c>
    </row>
    <row r="471" customFormat="false" ht="15" hidden="false" customHeight="false" outlineLevel="0" collapsed="false">
      <c r="B471" s="95"/>
      <c r="C471" s="90" t="s">
        <v>370</v>
      </c>
      <c r="D471" s="91" t="n">
        <v>25</v>
      </c>
      <c r="E471" s="91" t="s">
        <v>18</v>
      </c>
      <c r="F471" s="91" t="n">
        <v>0.8</v>
      </c>
      <c r="G471" s="92" t="n">
        <f aca="false">PRODUCT(D471,E471,F471)</f>
        <v>20</v>
      </c>
      <c r="H471" s="92" t="n">
        <v>0</v>
      </c>
      <c r="I471" s="91" t="n">
        <v>2</v>
      </c>
      <c r="J471" s="92" t="n">
        <f aca="false">IF(G471&gt;0,G471*I471,H471*I471)</f>
        <v>40</v>
      </c>
    </row>
    <row r="472" customFormat="false" ht="15" hidden="false" customHeight="false" outlineLevel="0" collapsed="false">
      <c r="B472" s="0"/>
      <c r="C472" s="0"/>
      <c r="D472" s="86"/>
      <c r="E472" s="86"/>
      <c r="F472" s="86"/>
      <c r="G472" s="86"/>
      <c r="H472" s="86"/>
      <c r="I472" s="86"/>
      <c r="J472" s="86"/>
    </row>
    <row r="473" customFormat="false" ht="15" hidden="false" customHeight="false" outlineLevel="0" collapsed="false">
      <c r="B473" s="87" t="str">
        <f aca="false">ORÇAMENTO!B152</f>
        <v>18.2</v>
      </c>
      <c r="C473" s="88" t="str">
        <f aca="false">VLOOKUP(B473,ORÇAMENTO!$B$17:$L$177,2,0)</f>
        <v>MASSA ÚNICA EM ARGAMASSA TRAÇO 1:2:8, APL MANUALMENTE EM FACES INTERNAS, ESPES DE 20MM</v>
      </c>
      <c r="D473" s="88" t="s">
        <v>18</v>
      </c>
      <c r="E473" s="88" t="s">
        <v>18</v>
      </c>
      <c r="F473" s="88" t="s">
        <v>18</v>
      </c>
      <c r="G473" s="88" t="s">
        <v>18</v>
      </c>
      <c r="H473" s="88" t="s">
        <v>18</v>
      </c>
      <c r="I473" s="88" t="s">
        <v>18</v>
      </c>
      <c r="J473" s="89" t="n">
        <f aca="false">SUM(J474:J475)</f>
        <v>441.44</v>
      </c>
    </row>
    <row r="474" customFormat="false" ht="15" hidden="false" customHeight="false" outlineLevel="0" collapsed="false">
      <c r="B474" s="95"/>
      <c r="C474" s="90" t="s">
        <v>370</v>
      </c>
      <c r="D474" s="91" t="n">
        <f aca="false">121.6+3.85</f>
        <v>125.45</v>
      </c>
      <c r="E474" s="91" t="s">
        <v>18</v>
      </c>
      <c r="F474" s="91" t="n">
        <v>1.6</v>
      </c>
      <c r="G474" s="92" t="n">
        <f aca="false">PRODUCT(D474,E474,F474)</f>
        <v>200.72</v>
      </c>
      <c r="H474" s="92" t="n">
        <v>0</v>
      </c>
      <c r="I474" s="91" t="n">
        <v>2</v>
      </c>
      <c r="J474" s="92" t="n">
        <f aca="false">IF(G474&gt;0,G474*I474,H474*I474)</f>
        <v>401.44</v>
      </c>
    </row>
    <row r="475" customFormat="false" ht="15" hidden="false" customHeight="false" outlineLevel="0" collapsed="false">
      <c r="B475" s="95"/>
      <c r="C475" s="90" t="s">
        <v>370</v>
      </c>
      <c r="D475" s="91" t="n">
        <v>25</v>
      </c>
      <c r="E475" s="91" t="s">
        <v>18</v>
      </c>
      <c r="F475" s="91" t="n">
        <v>0.8</v>
      </c>
      <c r="G475" s="92" t="n">
        <f aca="false">PRODUCT(D475,E475,F475)</f>
        <v>20</v>
      </c>
      <c r="H475" s="92" t="n">
        <v>0</v>
      </c>
      <c r="I475" s="91" t="n">
        <v>2</v>
      </c>
      <c r="J475" s="92" t="n">
        <f aca="false">IF(G475&gt;0,G475*I475,H475*I475)</f>
        <v>40</v>
      </c>
    </row>
    <row r="476" customFormat="false" ht="15" hidden="false" customHeight="false" outlineLevel="0" collapsed="false">
      <c r="B476" s="0"/>
      <c r="C476" s="0"/>
      <c r="D476" s="0"/>
      <c r="E476" s="0"/>
      <c r="F476" s="0"/>
      <c r="G476" s="0"/>
      <c r="H476" s="0"/>
      <c r="I476" s="0"/>
      <c r="J476" s="0"/>
    </row>
    <row r="477" customFormat="false" ht="15" hidden="false" customHeight="false" outlineLevel="0" collapsed="false">
      <c r="B477" s="87" t="str">
        <f aca="false">ORÇAMENTO!B153</f>
        <v>18.3</v>
      </c>
      <c r="C477" s="88" t="str">
        <f aca="false">VLOOKUP(B477,ORÇAMENTO!$B$17:$L$177,2,0)</f>
        <v>REVESTIMENTO METÁLICO, TIPO "REYNOBOND" DUAS CHAPAS</v>
      </c>
      <c r="D477" s="88" t="s">
        <v>18</v>
      </c>
      <c r="E477" s="88" t="s">
        <v>18</v>
      </c>
      <c r="F477" s="88" t="s">
        <v>18</v>
      </c>
      <c r="G477" s="88" t="s">
        <v>18</v>
      </c>
      <c r="H477" s="88" t="s">
        <v>18</v>
      </c>
      <c r="I477" s="88" t="s">
        <v>18</v>
      </c>
      <c r="J477" s="89" t="n">
        <f aca="false">SUM(J478:J481)</f>
        <v>57.735</v>
      </c>
    </row>
    <row r="478" customFormat="false" ht="15" hidden="false" customHeight="false" outlineLevel="0" collapsed="false">
      <c r="B478" s="95"/>
      <c r="C478" s="90" t="s">
        <v>371</v>
      </c>
      <c r="D478" s="91" t="n">
        <f aca="false">2+4.75+5</f>
        <v>11.75</v>
      </c>
      <c r="E478" s="91" t="s">
        <v>18</v>
      </c>
      <c r="F478" s="91" t="n">
        <v>0.8</v>
      </c>
      <c r="G478" s="92" t="n">
        <f aca="false">PRODUCT(D478,E478,F478)</f>
        <v>9.4</v>
      </c>
      <c r="H478" s="92" t="n">
        <v>0</v>
      </c>
      <c r="I478" s="91" t="n">
        <v>1</v>
      </c>
      <c r="J478" s="92" t="n">
        <f aca="false">IF(G478&gt;0,G478*I478,H478*I478)</f>
        <v>9.4</v>
      </c>
    </row>
    <row r="479" customFormat="false" ht="15" hidden="false" customHeight="false" outlineLevel="0" collapsed="false">
      <c r="B479" s="95"/>
      <c r="C479" s="90" t="s">
        <v>371</v>
      </c>
      <c r="D479" s="91" t="n">
        <f aca="false">3.9+4.95</f>
        <v>8.85</v>
      </c>
      <c r="E479" s="91" t="s">
        <v>18</v>
      </c>
      <c r="F479" s="91" t="n">
        <v>0.8</v>
      </c>
      <c r="G479" s="92" t="n">
        <f aca="false">PRODUCT(D479,E479,F479)</f>
        <v>7.08</v>
      </c>
      <c r="H479" s="92" t="n">
        <v>0</v>
      </c>
      <c r="I479" s="91" t="n">
        <v>1</v>
      </c>
      <c r="J479" s="92" t="n">
        <f aca="false">IF(G479&gt;0,G479*I479,H479*I479)</f>
        <v>7.08</v>
      </c>
    </row>
    <row r="480" customFormat="false" ht="15" hidden="false" customHeight="false" outlineLevel="0" collapsed="false">
      <c r="B480" s="95"/>
      <c r="C480" s="90" t="s">
        <v>372</v>
      </c>
      <c r="D480" s="91" t="n">
        <v>13.95</v>
      </c>
      <c r="E480" s="91" t="s">
        <v>18</v>
      </c>
      <c r="F480" s="91" t="n">
        <v>1.85</v>
      </c>
      <c r="G480" s="92" t="n">
        <f aca="false">PRODUCT(D480,E480,F480)</f>
        <v>25.8075</v>
      </c>
      <c r="H480" s="92" t="n">
        <v>0</v>
      </c>
      <c r="I480" s="91" t="n">
        <v>1</v>
      </c>
      <c r="J480" s="92" t="n">
        <f aca="false">IF(G480&gt;0,G480*I480,H480*I480)</f>
        <v>25.8075</v>
      </c>
    </row>
    <row r="481" customFormat="false" ht="15" hidden="false" customHeight="false" outlineLevel="0" collapsed="false">
      <c r="B481" s="95"/>
      <c r="C481" s="90" t="s">
        <v>372</v>
      </c>
      <c r="D481" s="91" t="n">
        <v>8.35</v>
      </c>
      <c r="E481" s="91" t="s">
        <v>18</v>
      </c>
      <c r="F481" s="91" t="n">
        <v>1.85</v>
      </c>
      <c r="G481" s="92" t="n">
        <f aca="false">PRODUCT(D481,E481,F481)</f>
        <v>15.4475</v>
      </c>
      <c r="H481" s="92" t="n">
        <v>0</v>
      </c>
      <c r="I481" s="91" t="n">
        <v>1</v>
      </c>
      <c r="J481" s="92" t="n">
        <f aca="false">IF(G481&gt;0,G481*I481,H481*I481)</f>
        <v>15.4475</v>
      </c>
    </row>
    <row r="482" customFormat="false" ht="15" hidden="false" customHeight="false" outlineLevel="0" collapsed="false">
      <c r="B482" s="0"/>
      <c r="C482" s="94"/>
      <c r="D482" s="86"/>
      <c r="E482" s="86"/>
      <c r="F482" s="86"/>
      <c r="G482" s="86"/>
      <c r="H482" s="86"/>
      <c r="I482" s="86"/>
      <c r="J482" s="86"/>
    </row>
    <row r="483" customFormat="false" ht="15" hidden="false" customHeight="false" outlineLevel="0" collapsed="false">
      <c r="B483" s="87" t="str">
        <f aca="false">ORÇAMENTO!B154</f>
        <v>18.4</v>
      </c>
      <c r="C483" s="88" t="str">
        <f aca="false">VLOOKUP(B483,ORÇAMENTO!$B$17:$L$177,2,0)</f>
        <v>FORRO PVC - LAMBRI (100x6000 OU 200x6000)mm - FORNECIMENTO E MONTAGEM</v>
      </c>
      <c r="D483" s="88" t="s">
        <v>18</v>
      </c>
      <c r="E483" s="88" t="s">
        <v>18</v>
      </c>
      <c r="F483" s="88" t="s">
        <v>18</v>
      </c>
      <c r="G483" s="88" t="s">
        <v>18</v>
      </c>
      <c r="H483" s="88" t="s">
        <v>18</v>
      </c>
      <c r="I483" s="88" t="s">
        <v>18</v>
      </c>
      <c r="J483" s="89" t="n">
        <f aca="false">SUM(J484:J485)</f>
        <v>73.4</v>
      </c>
    </row>
    <row r="484" customFormat="false" ht="15" hidden="false" customHeight="false" outlineLevel="0" collapsed="false">
      <c r="B484" s="95"/>
      <c r="C484" s="90" t="s">
        <v>371</v>
      </c>
      <c r="D484" s="91" t="s">
        <v>18</v>
      </c>
      <c r="E484" s="91" t="s">
        <v>18</v>
      </c>
      <c r="F484" s="91" t="s">
        <v>18</v>
      </c>
      <c r="G484" s="91" t="n">
        <v>54.3</v>
      </c>
      <c r="H484" s="91" t="n">
        <v>0</v>
      </c>
      <c r="I484" s="91" t="n">
        <v>1</v>
      </c>
      <c r="J484" s="92" t="n">
        <f aca="false">IF(G484&gt;0,G484*I484,H484*I484)</f>
        <v>54.3</v>
      </c>
    </row>
    <row r="485" customFormat="false" ht="15" hidden="false" customHeight="false" outlineLevel="0" collapsed="false">
      <c r="B485" s="95"/>
      <c r="C485" s="90" t="s">
        <v>371</v>
      </c>
      <c r="D485" s="91" t="s">
        <v>18</v>
      </c>
      <c r="E485" s="91" t="s">
        <v>18</v>
      </c>
      <c r="F485" s="91" t="s">
        <v>18</v>
      </c>
      <c r="G485" s="91" t="n">
        <v>19.1</v>
      </c>
      <c r="H485" s="91" t="n">
        <v>0</v>
      </c>
      <c r="I485" s="91" t="n">
        <v>1</v>
      </c>
      <c r="J485" s="92" t="n">
        <f aca="false">IF(G485&gt;0,G485*I485,H485*I485)</f>
        <v>19.1</v>
      </c>
    </row>
    <row r="486" customFormat="false" ht="15" hidden="false" customHeight="false" outlineLevel="0" collapsed="false">
      <c r="B486" s="0"/>
      <c r="C486" s="94"/>
      <c r="D486" s="86"/>
      <c r="E486" s="86"/>
      <c r="F486" s="86"/>
      <c r="G486" s="86"/>
      <c r="H486" s="86"/>
      <c r="I486" s="86"/>
      <c r="J486" s="86"/>
    </row>
    <row r="487" customFormat="false" ht="15" hidden="false" customHeight="false" outlineLevel="0" collapsed="false">
      <c r="B487" s="0"/>
      <c r="C487" s="94"/>
      <c r="D487" s="86"/>
      <c r="E487" s="86"/>
      <c r="F487" s="86"/>
      <c r="G487" s="86"/>
      <c r="H487" s="86"/>
      <c r="I487" s="86"/>
      <c r="J487" s="86"/>
    </row>
    <row r="488" customFormat="false" ht="15" hidden="false" customHeight="false" outlineLevel="0" collapsed="false">
      <c r="B488" s="31" t="str">
        <f aca="false">ORÇAMENTO!C156</f>
        <v>PINTURA (FACHADA)</v>
      </c>
      <c r="C488" s="31"/>
      <c r="D488" s="31"/>
      <c r="E488" s="31"/>
      <c r="F488" s="31"/>
      <c r="G488" s="31"/>
      <c r="H488" s="31"/>
      <c r="I488" s="31"/>
      <c r="J488" s="31"/>
    </row>
    <row r="489" customFormat="false" ht="15" hidden="false" customHeight="false" outlineLevel="0" collapsed="false">
      <c r="B489" s="0"/>
      <c r="C489" s="0"/>
      <c r="D489" s="86"/>
      <c r="E489" s="86"/>
      <c r="F489" s="86"/>
      <c r="G489" s="86"/>
      <c r="H489" s="86"/>
      <c r="I489" s="86"/>
      <c r="J489" s="86"/>
    </row>
    <row r="490" customFormat="false" ht="15" hidden="false" customHeight="false" outlineLevel="0" collapsed="false">
      <c r="B490" s="87" t="str">
        <f aca="false">ORÇAMENTO!B157</f>
        <v>19.1</v>
      </c>
      <c r="C490" s="88" t="str">
        <f aca="false">VLOOKUP(B490,ORÇAMENTO!$B$17:$L$177,2,0)</f>
        <v>APLICAÇÃO MANUAL DE FUNDO SELADOR ACRÍLICO EM PAREDES EXTERNAS</v>
      </c>
      <c r="D490" s="88" t="s">
        <v>18</v>
      </c>
      <c r="E490" s="88" t="s">
        <v>18</v>
      </c>
      <c r="F490" s="88" t="s">
        <v>18</v>
      </c>
      <c r="G490" s="88" t="s">
        <v>18</v>
      </c>
      <c r="H490" s="88" t="s">
        <v>18</v>
      </c>
      <c r="I490" s="88" t="s">
        <v>18</v>
      </c>
      <c r="J490" s="89" t="n">
        <f aca="false">SUM(J491:J492)</f>
        <v>240.72</v>
      </c>
    </row>
    <row r="491" customFormat="false" ht="15" hidden="false" customHeight="false" outlineLevel="0" collapsed="false">
      <c r="B491" s="95"/>
      <c r="C491" s="90" t="s">
        <v>370</v>
      </c>
      <c r="D491" s="91" t="n">
        <f aca="false">121.6+3.85</f>
        <v>125.45</v>
      </c>
      <c r="E491" s="91" t="s">
        <v>18</v>
      </c>
      <c r="F491" s="91" t="n">
        <v>1.6</v>
      </c>
      <c r="G491" s="92" t="n">
        <f aca="false">PRODUCT(D491,E491,F491)</f>
        <v>200.72</v>
      </c>
      <c r="H491" s="92" t="n">
        <v>0</v>
      </c>
      <c r="I491" s="91" t="n">
        <v>1</v>
      </c>
      <c r="J491" s="92" t="n">
        <f aca="false">IF(G491&gt;0,G491*I491,H491*I491)</f>
        <v>200.72</v>
      </c>
    </row>
    <row r="492" customFormat="false" ht="15" hidden="false" customHeight="false" outlineLevel="0" collapsed="false">
      <c r="B492" s="95"/>
      <c r="C492" s="90" t="s">
        <v>370</v>
      </c>
      <c r="D492" s="91" t="n">
        <v>25</v>
      </c>
      <c r="E492" s="91" t="s">
        <v>18</v>
      </c>
      <c r="F492" s="91" t="n">
        <v>0.8</v>
      </c>
      <c r="G492" s="92" t="n">
        <f aca="false">PRODUCT(D492,E492,F492)</f>
        <v>20</v>
      </c>
      <c r="H492" s="92" t="n">
        <v>0</v>
      </c>
      <c r="I492" s="91" t="n">
        <v>2</v>
      </c>
      <c r="J492" s="92" t="n">
        <f aca="false">IF(G492&gt;0,G492*I492,H492*I492)</f>
        <v>40</v>
      </c>
    </row>
    <row r="493" customFormat="false" ht="15" hidden="false" customHeight="false" outlineLevel="0" collapsed="false">
      <c r="B493" s="0"/>
      <c r="C493" s="0"/>
      <c r="D493" s="0"/>
      <c r="E493" s="0"/>
      <c r="F493" s="0"/>
      <c r="G493" s="0"/>
      <c r="H493" s="0"/>
      <c r="I493" s="0"/>
      <c r="J493" s="0"/>
    </row>
    <row r="494" customFormat="false" ht="15" hidden="false" customHeight="false" outlineLevel="0" collapsed="false">
      <c r="B494" s="87" t="str">
        <f aca="false">ORÇAMENTO!B158</f>
        <v>19.2</v>
      </c>
      <c r="C494" s="88" t="str">
        <f aca="false">VLOOKUP(B494,ORÇAMENTO!$B$17:$L$177,2,0)</f>
        <v>APLICAÇÃO E LIXAMENTO DE MASSA LÁTEX EM PAREDES, DUAS DEMÃOS</v>
      </c>
      <c r="D494" s="88" t="s">
        <v>18</v>
      </c>
      <c r="E494" s="88" t="s">
        <v>18</v>
      </c>
      <c r="F494" s="88" t="s">
        <v>18</v>
      </c>
      <c r="G494" s="88" t="s">
        <v>18</v>
      </c>
      <c r="H494" s="88" t="s">
        <v>18</v>
      </c>
      <c r="I494" s="88" t="s">
        <v>18</v>
      </c>
      <c r="J494" s="89" t="n">
        <f aca="false">SUM(J495:J495)</f>
        <v>20</v>
      </c>
    </row>
    <row r="495" customFormat="false" ht="15" hidden="false" customHeight="false" outlineLevel="0" collapsed="false">
      <c r="B495" s="95"/>
      <c r="C495" s="90" t="s">
        <v>370</v>
      </c>
      <c r="D495" s="91" t="n">
        <v>25</v>
      </c>
      <c r="E495" s="91" t="s">
        <v>18</v>
      </c>
      <c r="F495" s="91" t="n">
        <v>0.8</v>
      </c>
      <c r="G495" s="92" t="n">
        <f aca="false">PRODUCT(D495,E495,F495)</f>
        <v>20</v>
      </c>
      <c r="H495" s="92" t="n">
        <v>0</v>
      </c>
      <c r="I495" s="91" t="n">
        <v>1</v>
      </c>
      <c r="J495" s="92" t="n">
        <f aca="false">IF(G495&gt;0,G495*I495,H495*I495)</f>
        <v>20</v>
      </c>
    </row>
    <row r="496" customFormat="false" ht="15" hidden="false" customHeight="false" outlineLevel="0" collapsed="false">
      <c r="B496" s="0"/>
      <c r="C496" s="0"/>
      <c r="D496" s="0"/>
      <c r="E496" s="0"/>
      <c r="F496" s="0"/>
      <c r="G496" s="0"/>
      <c r="H496" s="0"/>
      <c r="I496" s="0"/>
      <c r="J496" s="0"/>
    </row>
    <row r="497" customFormat="false" ht="15" hidden="false" customHeight="false" outlineLevel="0" collapsed="false">
      <c r="B497" s="87" t="str">
        <f aca="false">ORÇAMENTO!B159</f>
        <v>19.3</v>
      </c>
      <c r="C497" s="88" t="str">
        <f aca="false">VLOOKUP(B497,ORÇAMENTO!$B$17:$L$177,2,0)</f>
        <v>APLICAÇÃO MANUAL DE PINTURA COM TINTA LÁTEX ACRÍLICA EM PAREDES, DUAS DEMÃOS</v>
      </c>
      <c r="D497" s="88" t="s">
        <v>18</v>
      </c>
      <c r="E497" s="88" t="s">
        <v>18</v>
      </c>
      <c r="F497" s="88" t="s">
        <v>18</v>
      </c>
      <c r="G497" s="88" t="s">
        <v>18</v>
      </c>
      <c r="H497" s="88" t="s">
        <v>18</v>
      </c>
      <c r="I497" s="88" t="s">
        <v>18</v>
      </c>
      <c r="J497" s="89" t="n">
        <f aca="false">SUM(J498:J498)</f>
        <v>105.3</v>
      </c>
    </row>
    <row r="498" customFormat="false" ht="15" hidden="false" customHeight="false" outlineLevel="0" collapsed="false">
      <c r="B498" s="95"/>
      <c r="C498" s="90" t="s">
        <v>373</v>
      </c>
      <c r="D498" s="91" t="n">
        <v>35.1</v>
      </c>
      <c r="E498" s="91" t="s">
        <v>18</v>
      </c>
      <c r="F498" s="91" t="n">
        <v>3</v>
      </c>
      <c r="G498" s="92" t="n">
        <f aca="false">PRODUCT(D498,E498,F498)</f>
        <v>105.3</v>
      </c>
      <c r="H498" s="92" t="n">
        <v>0</v>
      </c>
      <c r="I498" s="91" t="n">
        <v>1</v>
      </c>
      <c r="J498" s="92" t="n">
        <f aca="false">IF(G498&gt;0,G498*I498,H498*I498)</f>
        <v>105.3</v>
      </c>
    </row>
    <row r="499" customFormat="false" ht="15" hidden="false" customHeight="false" outlineLevel="0" collapsed="false">
      <c r="B499" s="0"/>
      <c r="C499" s="0"/>
      <c r="D499" s="0"/>
      <c r="E499" s="0"/>
      <c r="F499" s="0"/>
      <c r="G499" s="0"/>
      <c r="H499" s="0"/>
      <c r="I499" s="0"/>
      <c r="J499" s="0"/>
    </row>
    <row r="500" customFormat="false" ht="15" hidden="false" customHeight="false" outlineLevel="0" collapsed="false">
      <c r="B500" s="87" t="str">
        <f aca="false">ORÇAMENTO!B160</f>
        <v>19.4</v>
      </c>
      <c r="C500" s="88" t="str">
        <f aca="false">VLOOKUP(B500,ORÇAMENTO!$B$17:$L$177,2,0)</f>
        <v>APLICAÇÃO MANUAL DE PINTURA COM TINTA TEXTURIZADA ACRÍLICA EM PAREDES EXTERNAS, DUAS CORES</v>
      </c>
      <c r="D500" s="88" t="s">
        <v>18</v>
      </c>
      <c r="E500" s="88" t="s">
        <v>18</v>
      </c>
      <c r="F500" s="88" t="s">
        <v>18</v>
      </c>
      <c r="G500" s="88" t="s">
        <v>18</v>
      </c>
      <c r="H500" s="88" t="s">
        <v>18</v>
      </c>
      <c r="I500" s="88" t="s">
        <v>18</v>
      </c>
      <c r="J500" s="89" t="n">
        <f aca="false">SUM(J501:J505)</f>
        <v>673.97</v>
      </c>
    </row>
    <row r="501" customFormat="false" ht="15" hidden="false" customHeight="false" outlineLevel="0" collapsed="false">
      <c r="B501" s="95"/>
      <c r="C501" s="90" t="s">
        <v>374</v>
      </c>
      <c r="D501" s="91" t="n">
        <f aca="false">121.6+3.85</f>
        <v>125.45</v>
      </c>
      <c r="E501" s="91" t="s">
        <v>18</v>
      </c>
      <c r="F501" s="91" t="n">
        <v>1.6</v>
      </c>
      <c r="G501" s="92" t="n">
        <f aca="false">PRODUCT(D501,E501,F501)</f>
        <v>200.72</v>
      </c>
      <c r="H501" s="92" t="n">
        <v>0</v>
      </c>
      <c r="I501" s="91" t="n">
        <v>1</v>
      </c>
      <c r="J501" s="92" t="n">
        <f aca="false">IF(G501&gt;0,G501*I501,H501*I501)</f>
        <v>200.72</v>
      </c>
    </row>
    <row r="502" customFormat="false" ht="15" hidden="false" customHeight="false" outlineLevel="0" collapsed="false">
      <c r="B502" s="95"/>
      <c r="C502" s="90" t="s">
        <v>370</v>
      </c>
      <c r="D502" s="91" t="n">
        <v>37.1</v>
      </c>
      <c r="E502" s="91" t="s">
        <v>18</v>
      </c>
      <c r="F502" s="91" t="n">
        <v>3</v>
      </c>
      <c r="G502" s="92" t="n">
        <f aca="false">PRODUCT(D502,E502,F502)</f>
        <v>111.3</v>
      </c>
      <c r="H502" s="92" t="n">
        <v>0</v>
      </c>
      <c r="I502" s="91" t="n">
        <v>1</v>
      </c>
      <c r="J502" s="92" t="n">
        <f aca="false">IF(G502&gt;0,G502*I502,H502*I502)</f>
        <v>111.3</v>
      </c>
    </row>
    <row r="503" customFormat="false" ht="15" hidden="false" customHeight="false" outlineLevel="0" collapsed="false">
      <c r="B503" s="95"/>
      <c r="C503" s="90" t="s">
        <v>375</v>
      </c>
      <c r="D503" s="91" t="n">
        <f aca="false">29.95+27.5</f>
        <v>57.45</v>
      </c>
      <c r="E503" s="91" t="s">
        <v>18</v>
      </c>
      <c r="F503" s="91" t="n">
        <v>2</v>
      </c>
      <c r="G503" s="92" t="n">
        <f aca="false">PRODUCT(D503,E503,F503)</f>
        <v>114.9</v>
      </c>
      <c r="H503" s="92" t="n">
        <v>0</v>
      </c>
      <c r="I503" s="91" t="n">
        <v>1</v>
      </c>
      <c r="J503" s="92" t="n">
        <f aca="false">IF(G503&gt;0,G503*I503,H503*I503)</f>
        <v>114.9</v>
      </c>
    </row>
    <row r="504" customFormat="false" ht="15" hidden="false" customHeight="false" outlineLevel="0" collapsed="false">
      <c r="B504" s="95"/>
      <c r="C504" s="90" t="s">
        <v>372</v>
      </c>
      <c r="D504" s="91" t="n">
        <v>24.45</v>
      </c>
      <c r="E504" s="91" t="s">
        <v>18</v>
      </c>
      <c r="F504" s="91" t="n">
        <v>7</v>
      </c>
      <c r="G504" s="92" t="n">
        <f aca="false">PRODUCT(D504,E504,F504)</f>
        <v>171.15</v>
      </c>
      <c r="H504" s="92" t="n">
        <v>0</v>
      </c>
      <c r="I504" s="91" t="n">
        <v>1</v>
      </c>
      <c r="J504" s="92" t="n">
        <f aca="false">IF(G504&gt;0,G504*I504,H504*I504)</f>
        <v>171.15</v>
      </c>
    </row>
    <row r="505" customFormat="false" ht="15" hidden="false" customHeight="false" outlineLevel="0" collapsed="false">
      <c r="B505" s="95"/>
      <c r="C505" s="90" t="s">
        <v>372</v>
      </c>
      <c r="D505" s="91" t="n">
        <f aca="false">17.65+7.65</f>
        <v>25.3</v>
      </c>
      <c r="E505" s="91" t="s">
        <v>18</v>
      </c>
      <c r="F505" s="91" t="n">
        <v>3</v>
      </c>
      <c r="G505" s="92" t="n">
        <f aca="false">PRODUCT(D505,E505,F505)</f>
        <v>75.9</v>
      </c>
      <c r="H505" s="92" t="n">
        <v>0</v>
      </c>
      <c r="I505" s="91" t="n">
        <v>1</v>
      </c>
      <c r="J505" s="92" t="n">
        <f aca="false">IF(G505&gt;0,G505*I505,H505*I505)</f>
        <v>75.9</v>
      </c>
    </row>
    <row r="506" customFormat="false" ht="15" hidden="false" customHeight="false" outlineLevel="0" collapsed="false">
      <c r="B506" s="0"/>
      <c r="C506" s="0"/>
      <c r="D506" s="0"/>
      <c r="E506" s="0"/>
      <c r="F506" s="0"/>
      <c r="G506" s="0"/>
      <c r="H506" s="0"/>
      <c r="I506" s="0"/>
      <c r="J506" s="0"/>
    </row>
    <row r="507" customFormat="false" ht="15" hidden="false" customHeight="false" outlineLevel="0" collapsed="false">
      <c r="B507" s="31" t="str">
        <f aca="false">ORÇAMENTO!C162</f>
        <v>INSTALAÇÕES (FACHADA)</v>
      </c>
      <c r="C507" s="31"/>
      <c r="D507" s="31"/>
      <c r="E507" s="31"/>
      <c r="F507" s="31"/>
      <c r="G507" s="31"/>
      <c r="H507" s="31"/>
      <c r="I507" s="31"/>
      <c r="J507" s="31"/>
    </row>
    <row r="508" customFormat="false" ht="15" hidden="false" customHeight="false" outlineLevel="0" collapsed="false">
      <c r="B508" s="0"/>
      <c r="C508" s="0"/>
      <c r="D508" s="86"/>
      <c r="E508" s="86"/>
      <c r="F508" s="86"/>
      <c r="G508" s="86"/>
      <c r="H508" s="86"/>
      <c r="I508" s="86"/>
      <c r="J508" s="86"/>
    </row>
    <row r="509" customFormat="false" ht="15" hidden="false" customHeight="false" outlineLevel="0" collapsed="false">
      <c r="B509" s="87" t="str">
        <f aca="false">ORÇAMENTO!B163</f>
        <v>20.1</v>
      </c>
      <c r="C509" s="88" t="str">
        <f aca="false">VLOOKUP(B509,ORÇAMENTO!$B$17:$L$177,2,0)</f>
        <v>PONTO DE LUZ NO TETO, COM ELETRODUTO DE PVC FLEXÍVEL SANFONADO EMBUTIDO 3/4''</v>
      </c>
      <c r="D509" s="88" t="s">
        <v>18</v>
      </c>
      <c r="E509" s="88" t="s">
        <v>18</v>
      </c>
      <c r="F509" s="88" t="s">
        <v>18</v>
      </c>
      <c r="G509" s="88" t="s">
        <v>18</v>
      </c>
      <c r="H509" s="88" t="s">
        <v>18</v>
      </c>
      <c r="I509" s="88" t="s">
        <v>18</v>
      </c>
      <c r="J509" s="89" t="n">
        <f aca="false">SUM(J510:J510)</f>
        <v>3</v>
      </c>
    </row>
    <row r="510" customFormat="false" ht="15" hidden="false" customHeight="false" outlineLevel="0" collapsed="false">
      <c r="B510" s="95"/>
      <c r="C510" s="90" t="s">
        <v>18</v>
      </c>
      <c r="D510" s="91" t="s">
        <v>18</v>
      </c>
      <c r="E510" s="91" t="s">
        <v>18</v>
      </c>
      <c r="F510" s="91" t="s">
        <v>18</v>
      </c>
      <c r="G510" s="92" t="s">
        <v>18</v>
      </c>
      <c r="H510" s="92" t="s">
        <v>18</v>
      </c>
      <c r="I510" s="91" t="n">
        <v>3</v>
      </c>
      <c r="J510" s="92" t="n">
        <f aca="false">I510</f>
        <v>3</v>
      </c>
    </row>
    <row r="511" customFormat="false" ht="15" hidden="false" customHeight="false" outlineLevel="0" collapsed="false">
      <c r="B511" s="0"/>
      <c r="C511" s="0"/>
      <c r="D511" s="75" t="s">
        <v>18</v>
      </c>
      <c r="E511" s="0"/>
      <c r="F511" s="0"/>
      <c r="G511" s="0"/>
      <c r="H511" s="0"/>
      <c r="I511" s="0"/>
      <c r="J511" s="0"/>
    </row>
    <row r="512" customFormat="false" ht="15" hidden="false" customHeight="false" outlineLevel="0" collapsed="false">
      <c r="B512" s="87" t="str">
        <f aca="false">ORÇAMENTO!B164</f>
        <v>20.2</v>
      </c>
      <c r="C512" s="88" t="str">
        <f aca="false">VLOOKUP(B512,ORÇAMENTO!$B$17:$L$177,2,0)</f>
        <v>LUMINÁRIA FLUORESCENTE COMPLETA ( 4 X 32 )W - PLAFON</v>
      </c>
      <c r="D512" s="88" t="s">
        <v>18</v>
      </c>
      <c r="E512" s="88" t="s">
        <v>18</v>
      </c>
      <c r="F512" s="88" t="s">
        <v>18</v>
      </c>
      <c r="G512" s="88" t="s">
        <v>18</v>
      </c>
      <c r="H512" s="88" t="s">
        <v>18</v>
      </c>
      <c r="I512" s="88" t="s">
        <v>18</v>
      </c>
      <c r="J512" s="89" t="n">
        <f aca="false">SUM(J513:J513)</f>
        <v>3</v>
      </c>
    </row>
    <row r="513" customFormat="false" ht="15" hidden="false" customHeight="false" outlineLevel="0" collapsed="false">
      <c r="B513" s="95"/>
      <c r="C513" s="90" t="s">
        <v>18</v>
      </c>
      <c r="D513" s="91" t="s">
        <v>18</v>
      </c>
      <c r="E513" s="91" t="s">
        <v>18</v>
      </c>
      <c r="F513" s="91" t="s">
        <v>18</v>
      </c>
      <c r="G513" s="92" t="s">
        <v>18</v>
      </c>
      <c r="H513" s="92" t="s">
        <v>18</v>
      </c>
      <c r="I513" s="91" t="n">
        <v>3</v>
      </c>
      <c r="J513" s="92" t="n">
        <f aca="false">I513</f>
        <v>3</v>
      </c>
    </row>
    <row r="514" customFormat="false" ht="15" hidden="false" customHeight="false" outlineLevel="0" collapsed="false">
      <c r="B514" s="0"/>
      <c r="C514" s="94"/>
      <c r="D514" s="86"/>
      <c r="E514" s="86"/>
      <c r="F514" s="86"/>
      <c r="G514" s="86"/>
      <c r="H514" s="86"/>
      <c r="I514" s="86"/>
      <c r="J514" s="86"/>
    </row>
    <row r="515" customFormat="false" ht="15" hidden="false" customHeight="false" outlineLevel="0" collapsed="false">
      <c r="B515" s="87" t="str">
        <f aca="false">ORÇAMENTO!B165</f>
        <v>20.3</v>
      </c>
      <c r="C515" s="88" t="str">
        <f aca="false">VLOOKUP(B515,ORÇAMENTO!$B$17:$L$177,2,0)</f>
        <v>PONTO ELÉTRICO, MATERIAL E EXECUÇÃO</v>
      </c>
      <c r="D515" s="88" t="s">
        <v>18</v>
      </c>
      <c r="E515" s="88" t="s">
        <v>18</v>
      </c>
      <c r="F515" s="88" t="s">
        <v>18</v>
      </c>
      <c r="G515" s="88" t="s">
        <v>18</v>
      </c>
      <c r="H515" s="88" t="s">
        <v>18</v>
      </c>
      <c r="I515" s="88" t="s">
        <v>18</v>
      </c>
      <c r="J515" s="89" t="n">
        <f aca="false">SUM(J516:J516)</f>
        <v>3</v>
      </c>
    </row>
    <row r="516" customFormat="false" ht="15" hidden="false" customHeight="false" outlineLevel="0" collapsed="false">
      <c r="B516" s="95"/>
      <c r="C516" s="90" t="s">
        <v>18</v>
      </c>
      <c r="D516" s="91" t="s">
        <v>18</v>
      </c>
      <c r="E516" s="91" t="s">
        <v>18</v>
      </c>
      <c r="F516" s="91" t="s">
        <v>18</v>
      </c>
      <c r="G516" s="92" t="s">
        <v>18</v>
      </c>
      <c r="H516" s="92" t="s">
        <v>18</v>
      </c>
      <c r="I516" s="91" t="n">
        <v>3</v>
      </c>
      <c r="J516" s="92" t="n">
        <f aca="false">I516</f>
        <v>3</v>
      </c>
    </row>
    <row r="517" customFormat="false" ht="15" hidden="false" customHeight="false" outlineLevel="0" collapsed="false">
      <c r="B517" s="0"/>
      <c r="C517" s="0"/>
      <c r="D517" s="0"/>
      <c r="E517" s="0"/>
      <c r="F517" s="0"/>
      <c r="G517" s="0"/>
      <c r="H517" s="0"/>
      <c r="I517" s="0"/>
      <c r="J517" s="0"/>
    </row>
    <row r="518" customFormat="false" ht="15" hidden="false" customHeight="false" outlineLevel="0" collapsed="false">
      <c r="B518" s="31" t="str">
        <f aca="false">ORÇAMENTO!C167</f>
        <v>DIVERSOS (FACHADA)</v>
      </c>
      <c r="C518" s="31"/>
      <c r="D518" s="31"/>
      <c r="E518" s="31"/>
      <c r="F518" s="31"/>
      <c r="G518" s="31"/>
      <c r="H518" s="31"/>
      <c r="I518" s="31"/>
      <c r="J518" s="31"/>
    </row>
    <row r="519" customFormat="false" ht="15" hidden="false" customHeight="false" outlineLevel="0" collapsed="false">
      <c r="B519" s="0"/>
      <c r="C519" s="0"/>
      <c r="D519" s="86"/>
      <c r="E519" s="86"/>
      <c r="F519" s="86"/>
      <c r="G519" s="86"/>
      <c r="H519" s="86"/>
      <c r="I519" s="86"/>
      <c r="J519" s="86"/>
    </row>
    <row r="520" customFormat="false" ht="15" hidden="false" customHeight="false" outlineLevel="0" collapsed="false">
      <c r="B520" s="87" t="str">
        <f aca="false">ORÇAMENTO!B168</f>
        <v>21.1</v>
      </c>
      <c r="C520" s="88" t="str">
        <f aca="false">VLOOKUP(B520,ORÇAMENTO!$B$17:$L$177,2,0)</f>
        <v>LIMPEZA FINAL DA OBRA</v>
      </c>
      <c r="D520" s="88" t="s">
        <v>18</v>
      </c>
      <c r="E520" s="88" t="s">
        <v>18</v>
      </c>
      <c r="F520" s="88" t="s">
        <v>18</v>
      </c>
      <c r="G520" s="88" t="s">
        <v>18</v>
      </c>
      <c r="H520" s="88" t="s">
        <v>18</v>
      </c>
      <c r="I520" s="88" t="s">
        <v>18</v>
      </c>
      <c r="J520" s="89" t="n">
        <f aca="false">SUM(J521:J521)</f>
        <v>238.07</v>
      </c>
    </row>
    <row r="521" customFormat="false" ht="15" hidden="false" customHeight="false" outlineLevel="0" collapsed="false">
      <c r="B521" s="95"/>
      <c r="C521" s="90" t="s">
        <v>18</v>
      </c>
      <c r="D521" s="91" t="n">
        <v>62.65</v>
      </c>
      <c r="E521" s="91" t="s">
        <v>18</v>
      </c>
      <c r="F521" s="91" t="n">
        <v>3.8</v>
      </c>
      <c r="G521" s="92" t="n">
        <f aca="false">PRODUCT(D521,E521,F521)</f>
        <v>238.07</v>
      </c>
      <c r="H521" s="92" t="n">
        <v>0</v>
      </c>
      <c r="I521" s="91" t="n">
        <v>1</v>
      </c>
      <c r="J521" s="92" t="n">
        <f aca="false">IF(G521&gt;0,G521*I521,H521*I521)</f>
        <v>238.07</v>
      </c>
    </row>
    <row r="522" customFormat="false" ht="15" hidden="false" customHeight="false" outlineLevel="0" collapsed="false">
      <c r="B522" s="0"/>
      <c r="C522" s="0"/>
      <c r="D522" s="0"/>
      <c r="E522" s="0"/>
      <c r="F522" s="0"/>
      <c r="G522" s="0"/>
      <c r="H522" s="0"/>
      <c r="I522" s="0"/>
      <c r="J522" s="0"/>
    </row>
    <row r="523" customFormat="false" ht="15" hidden="false" customHeight="false" outlineLevel="0" collapsed="false">
      <c r="B523" s="87" t="str">
        <f aca="false">ORÇAMENTO!B169</f>
        <v>21.2</v>
      </c>
      <c r="C523" s="99" t="str">
        <f aca="false">VLOOKUP(B523,ORÇAMENTO!$B$17:$L$177,2,0)</f>
        <v>CONFECÇÃO DE LETREIRO EM CHAPA GALVANIZADA COM PINTURA AUTOMOTIVA ILUMINADA POR MODELOS LED COM ALTURA DE 0,70 CM, FACHADA INTERNA</v>
      </c>
      <c r="D523" s="99"/>
      <c r="E523" s="99"/>
      <c r="F523" s="99"/>
      <c r="G523" s="99"/>
      <c r="H523" s="99"/>
      <c r="I523" s="99"/>
      <c r="J523" s="89" t="n">
        <f aca="false">SUM(J524:J524)</f>
        <v>1</v>
      </c>
    </row>
    <row r="524" customFormat="false" ht="15" hidden="false" customHeight="false" outlineLevel="0" collapsed="false">
      <c r="B524" s="95"/>
      <c r="C524" s="90" t="s">
        <v>18</v>
      </c>
      <c r="D524" s="91" t="s">
        <v>18</v>
      </c>
      <c r="E524" s="91" t="s">
        <v>18</v>
      </c>
      <c r="F524" s="91" t="s">
        <v>18</v>
      </c>
      <c r="G524" s="92" t="s">
        <v>18</v>
      </c>
      <c r="H524" s="92" t="s">
        <v>18</v>
      </c>
      <c r="I524" s="91" t="n">
        <v>1</v>
      </c>
      <c r="J524" s="92" t="n">
        <f aca="false">I524</f>
        <v>1</v>
      </c>
    </row>
    <row r="525" customFormat="false" ht="15" hidden="false" customHeight="false" outlineLevel="0" collapsed="false">
      <c r="B525" s="0"/>
      <c r="C525" s="0"/>
      <c r="D525" s="0"/>
      <c r="E525" s="0"/>
      <c r="F525" s="0"/>
      <c r="G525" s="0"/>
      <c r="H525" s="0"/>
      <c r="I525" s="0"/>
      <c r="J525" s="0"/>
    </row>
    <row r="526" customFormat="false" ht="15" hidden="false" customHeight="false" outlineLevel="0" collapsed="false">
      <c r="B526" s="87" t="str">
        <f aca="false">ORÇAMENTO!B170</f>
        <v>21.3</v>
      </c>
      <c r="C526" s="99" t="str">
        <f aca="false">VLOOKUP(B526,ORÇAMENTO!$B$17:$L$177,2,0)</f>
        <v>CONFECÇÃO DE LETREIRO EM CHAPA GALVANIZADA COM PINTURA AUTOMOTIVA ILUMINADA POR MODELOS LED COM ALTURA DE 0,43 CM, FACHADA ENTRADA</v>
      </c>
      <c r="D526" s="99" t="s">
        <v>18</v>
      </c>
      <c r="E526" s="99" t="s">
        <v>18</v>
      </c>
      <c r="F526" s="99" t="s">
        <v>18</v>
      </c>
      <c r="G526" s="99" t="s">
        <v>18</v>
      </c>
      <c r="H526" s="99" t="s">
        <v>18</v>
      </c>
      <c r="I526" s="99" t="s">
        <v>18</v>
      </c>
      <c r="J526" s="89" t="n">
        <f aca="false">SUM(J527:J527)</f>
        <v>1</v>
      </c>
    </row>
    <row r="527" customFormat="false" ht="15" hidden="false" customHeight="false" outlineLevel="0" collapsed="false">
      <c r="B527" s="95"/>
      <c r="C527" s="90" t="s">
        <v>18</v>
      </c>
      <c r="D527" s="91" t="s">
        <v>18</v>
      </c>
      <c r="E527" s="91" t="s">
        <v>18</v>
      </c>
      <c r="F527" s="91" t="s">
        <v>18</v>
      </c>
      <c r="G527" s="92" t="s">
        <v>18</v>
      </c>
      <c r="H527" s="92" t="s">
        <v>18</v>
      </c>
      <c r="I527" s="91" t="n">
        <v>1</v>
      </c>
      <c r="J527" s="92" t="n">
        <f aca="false">I527</f>
        <v>1</v>
      </c>
    </row>
    <row r="528" customFormat="false" ht="15" hidden="false" customHeight="false" outlineLevel="0" collapsed="false">
      <c r="B528" s="0"/>
      <c r="C528" s="0"/>
      <c r="D528" s="0"/>
      <c r="E528" s="0"/>
      <c r="F528" s="0"/>
      <c r="G528" s="0"/>
      <c r="H528" s="0"/>
      <c r="I528" s="0"/>
      <c r="J528" s="0"/>
    </row>
    <row r="529" customFormat="false" ht="15" hidden="false" customHeight="false" outlineLevel="0" collapsed="false">
      <c r="B529" s="87" t="str">
        <f aca="false">ORÇAMENTO!B171</f>
        <v>21.4</v>
      </c>
      <c r="C529" s="99" t="str">
        <f aca="false">VLOOKUP(B529,ORÇAMENTO!$B$17:$L$177,2,0)</f>
        <v>CONFECÇÃO DE PLACA EM ACRÍLICO DE 1,30x2,70 M ADESIVADA COM ILUMINAÇÃO INTERNA CAIXA EM ACM, FACHADA INTERNA</v>
      </c>
      <c r="D529" s="99" t="s">
        <v>18</v>
      </c>
      <c r="E529" s="99" t="s">
        <v>18</v>
      </c>
      <c r="F529" s="99" t="s">
        <v>18</v>
      </c>
      <c r="G529" s="99" t="s">
        <v>18</v>
      </c>
      <c r="H529" s="99" t="s">
        <v>18</v>
      </c>
      <c r="I529" s="99" t="s">
        <v>18</v>
      </c>
      <c r="J529" s="89" t="n">
        <f aca="false">SUM(J530:J530)</f>
        <v>1</v>
      </c>
    </row>
    <row r="530" customFormat="false" ht="15" hidden="false" customHeight="false" outlineLevel="0" collapsed="false">
      <c r="B530" s="95"/>
      <c r="C530" s="90" t="s">
        <v>18</v>
      </c>
      <c r="D530" s="91" t="s">
        <v>18</v>
      </c>
      <c r="E530" s="91" t="s">
        <v>18</v>
      </c>
      <c r="F530" s="91" t="s">
        <v>18</v>
      </c>
      <c r="G530" s="92" t="s">
        <v>18</v>
      </c>
      <c r="H530" s="92" t="s">
        <v>18</v>
      </c>
      <c r="I530" s="91" t="n">
        <v>1</v>
      </c>
      <c r="J530" s="92" t="n">
        <f aca="false">I530</f>
        <v>1</v>
      </c>
    </row>
    <row r="531" customFormat="false" ht="15" hidden="false" customHeight="false" outlineLevel="0" collapsed="false">
      <c r="B531" s="0"/>
      <c r="C531" s="0"/>
      <c r="D531" s="0"/>
      <c r="E531" s="0"/>
      <c r="F531" s="0"/>
      <c r="G531" s="0"/>
      <c r="H531" s="0"/>
      <c r="I531" s="0"/>
      <c r="J531" s="0"/>
    </row>
    <row r="532" customFormat="false" ht="15" hidden="false" customHeight="false" outlineLevel="0" collapsed="false">
      <c r="B532" s="87" t="str">
        <f aca="false">ORÇAMENTO!B172</f>
        <v>21.5</v>
      </c>
      <c r="C532" s="99" t="str">
        <f aca="false">VLOOKUP(B532,ORÇAMENTO!$B$17:$L$177,2,0)</f>
        <v>CONFECÇÃO DE PLACA EM ACRÍLICO DE 1,50x0,70 M ADESIVADA COM ILUMINAÇÃO INTERNA CAIXA EM ACM, FACHADA INTERNA</v>
      </c>
      <c r="D532" s="99" t="s">
        <v>18</v>
      </c>
      <c r="E532" s="99" t="s">
        <v>18</v>
      </c>
      <c r="F532" s="99" t="s">
        <v>18</v>
      </c>
      <c r="G532" s="99" t="s">
        <v>18</v>
      </c>
      <c r="H532" s="99" t="s">
        <v>18</v>
      </c>
      <c r="I532" s="99" t="s">
        <v>18</v>
      </c>
      <c r="J532" s="89" t="n">
        <f aca="false">SUM(J533:J533)</f>
        <v>1</v>
      </c>
    </row>
    <row r="533" customFormat="false" ht="15" hidden="false" customHeight="false" outlineLevel="0" collapsed="false">
      <c r="B533" s="95"/>
      <c r="C533" s="90" t="s">
        <v>18</v>
      </c>
      <c r="D533" s="91" t="s">
        <v>18</v>
      </c>
      <c r="E533" s="91" t="s">
        <v>18</v>
      </c>
      <c r="F533" s="91" t="s">
        <v>18</v>
      </c>
      <c r="G533" s="92" t="s">
        <v>18</v>
      </c>
      <c r="H533" s="92" t="s">
        <v>18</v>
      </c>
      <c r="I533" s="91" t="n">
        <v>1</v>
      </c>
      <c r="J533" s="92" t="n">
        <f aca="false">I533</f>
        <v>1</v>
      </c>
    </row>
    <row r="534" customFormat="false" ht="15" hidden="false" customHeight="false" outlineLevel="0" collapsed="false">
      <c r="B534" s="0"/>
      <c r="C534" s="0"/>
      <c r="D534" s="0"/>
      <c r="E534" s="0"/>
      <c r="F534" s="0"/>
      <c r="G534" s="0"/>
      <c r="H534" s="0"/>
      <c r="I534" s="0"/>
      <c r="J534" s="0"/>
    </row>
    <row r="535" customFormat="false" ht="15" hidden="false" customHeight="false" outlineLevel="0" collapsed="false">
      <c r="B535" s="87" t="str">
        <f aca="false">ORÇAMENTO!B173</f>
        <v>21.6</v>
      </c>
      <c r="C535" s="99" t="str">
        <f aca="false">VLOOKUP(B535,ORÇAMENTO!$B$17:$L$177,2,0)</f>
        <v>CONFECÇÃO DE LETREIRO EM CHAPA GALVANIZADA COM PINTURA AUTOMOTIVA SEM ILUMINAÇÃO COM ALTURA DE 0,43 CM</v>
      </c>
      <c r="D535" s="99" t="s">
        <v>18</v>
      </c>
      <c r="E535" s="99" t="s">
        <v>18</v>
      </c>
      <c r="F535" s="99" t="s">
        <v>18</v>
      </c>
      <c r="G535" s="99" t="s">
        <v>18</v>
      </c>
      <c r="H535" s="99" t="s">
        <v>18</v>
      </c>
      <c r="I535" s="99" t="s">
        <v>18</v>
      </c>
      <c r="J535" s="89" t="n">
        <f aca="false">SUM(J536:J536)</f>
        <v>1</v>
      </c>
    </row>
    <row r="536" customFormat="false" ht="15" hidden="false" customHeight="false" outlineLevel="0" collapsed="false">
      <c r="B536" s="95"/>
      <c r="C536" s="90" t="s">
        <v>18</v>
      </c>
      <c r="D536" s="91" t="s">
        <v>18</v>
      </c>
      <c r="E536" s="91" t="s">
        <v>18</v>
      </c>
      <c r="F536" s="91" t="s">
        <v>18</v>
      </c>
      <c r="G536" s="92" t="s">
        <v>18</v>
      </c>
      <c r="H536" s="92" t="s">
        <v>18</v>
      </c>
      <c r="I536" s="91" t="n">
        <v>1</v>
      </c>
      <c r="J536" s="92" t="n">
        <f aca="false">I536</f>
        <v>1</v>
      </c>
    </row>
    <row r="537" customFormat="false" ht="15" hidden="false" customHeight="false" outlineLevel="0" collapsed="false">
      <c r="B537" s="0"/>
      <c r="C537" s="0"/>
      <c r="D537" s="0"/>
      <c r="E537" s="0"/>
      <c r="F537" s="0"/>
      <c r="G537" s="0"/>
      <c r="H537" s="0"/>
      <c r="I537" s="0"/>
      <c r="J537" s="0"/>
    </row>
    <row r="538" customFormat="false" ht="15" hidden="false" customHeight="false" outlineLevel="0" collapsed="false">
      <c r="B538" s="87" t="str">
        <f aca="false">ORÇAMENTO!B174</f>
        <v>21.7</v>
      </c>
      <c r="C538" s="88" t="str">
        <f aca="false">VLOOKUP(B538,ORÇAMENTO!$B$17:$L$177,2,0)</f>
        <v>GRADE DE FERRO EM BARRA CHATA 3/16"</v>
      </c>
      <c r="D538" s="88" t="s">
        <v>18</v>
      </c>
      <c r="E538" s="88" t="s">
        <v>18</v>
      </c>
      <c r="F538" s="88" t="s">
        <v>18</v>
      </c>
      <c r="G538" s="88" t="s">
        <v>18</v>
      </c>
      <c r="H538" s="88" t="s">
        <v>18</v>
      </c>
      <c r="I538" s="88" t="s">
        <v>18</v>
      </c>
      <c r="J538" s="89" t="n">
        <f aca="false">SUM(J539:J539)</f>
        <v>37.6</v>
      </c>
    </row>
    <row r="539" customFormat="false" ht="15" hidden="false" customHeight="false" outlineLevel="0" collapsed="false">
      <c r="B539" s="95"/>
      <c r="C539" s="90" t="s">
        <v>18</v>
      </c>
      <c r="D539" s="91" t="n">
        <f aca="false">2+4.75+5</f>
        <v>11.75</v>
      </c>
      <c r="E539" s="91" t="s">
        <v>18</v>
      </c>
      <c r="F539" s="91" t="n">
        <v>3.2</v>
      </c>
      <c r="G539" s="92" t="n">
        <f aca="false">PRODUCT(D539,E539,F539)</f>
        <v>37.6</v>
      </c>
      <c r="H539" s="92" t="n">
        <v>0</v>
      </c>
      <c r="I539" s="91" t="n">
        <v>1</v>
      </c>
      <c r="J539" s="92" t="n">
        <f aca="false">IF(G539&gt;0,G539*I539,H539*I539)</f>
        <v>37.6</v>
      </c>
    </row>
    <row r="540" customFormat="false" ht="15" hidden="false" customHeight="false" outlineLevel="0" collapsed="false">
      <c r="B540" s="0"/>
      <c r="C540" s="0"/>
      <c r="D540" s="0"/>
      <c r="E540" s="0"/>
      <c r="F540" s="0"/>
      <c r="G540" s="0"/>
      <c r="H540" s="0"/>
      <c r="I540" s="0"/>
      <c r="J540" s="0"/>
    </row>
    <row r="541" customFormat="false" ht="15" hidden="false" customHeight="false" outlineLevel="0" collapsed="false">
      <c r="B541" s="87" t="str">
        <f aca="false">ORÇAMENTO!B175</f>
        <v>21.8</v>
      </c>
      <c r="C541" s="88" t="str">
        <f aca="false">VLOOKUP(B541,ORÇAMENTO!$B$17:$L$177,2,0)</f>
        <v>CARGA MANUAL DE ENTULHO EM CAMINHAO BASCULANTE 6 M3</v>
      </c>
      <c r="D541" s="88" t="s">
        <v>18</v>
      </c>
      <c r="E541" s="88" t="s">
        <v>18</v>
      </c>
      <c r="F541" s="88" t="s">
        <v>18</v>
      </c>
      <c r="G541" s="88" t="s">
        <v>18</v>
      </c>
      <c r="H541" s="88" t="s">
        <v>18</v>
      </c>
      <c r="I541" s="88" t="s">
        <v>18</v>
      </c>
      <c r="J541" s="89" t="n">
        <f aca="false">SUM(J542:J543)</f>
        <v>101.53</v>
      </c>
    </row>
    <row r="542" customFormat="false" ht="15" hidden="false" customHeight="false" outlineLevel="0" collapsed="false">
      <c r="B542" s="95"/>
      <c r="C542" s="90" t="s">
        <v>376</v>
      </c>
      <c r="D542" s="91" t="s">
        <v>18</v>
      </c>
      <c r="E542" s="91" t="s">
        <v>18</v>
      </c>
      <c r="F542" s="91" t="n">
        <v>0.08</v>
      </c>
      <c r="G542" s="92" t="n">
        <f aca="false">J413</f>
        <v>710</v>
      </c>
      <c r="H542" s="92" t="n">
        <f aca="false">F542*G542</f>
        <v>56.8</v>
      </c>
      <c r="I542" s="91" t="n">
        <v>1.3</v>
      </c>
      <c r="J542" s="92" t="n">
        <f aca="false">I542*H542</f>
        <v>73.84</v>
      </c>
    </row>
    <row r="543" customFormat="false" ht="15" hidden="false" customHeight="false" outlineLevel="0" collapsed="false">
      <c r="B543" s="95"/>
      <c r="C543" s="90" t="s">
        <v>377</v>
      </c>
      <c r="D543" s="91" t="s">
        <v>18</v>
      </c>
      <c r="E543" s="91" t="s">
        <v>18</v>
      </c>
      <c r="F543" s="91" t="n">
        <v>0.03</v>
      </c>
      <c r="G543" s="92" t="n">
        <f aca="false">J414</f>
        <v>710</v>
      </c>
      <c r="H543" s="92" t="n">
        <f aca="false">F543*G543</f>
        <v>21.3</v>
      </c>
      <c r="I543" s="91" t="n">
        <v>1.3</v>
      </c>
      <c r="J543" s="92" t="n">
        <f aca="false">I543*H543</f>
        <v>27.69</v>
      </c>
    </row>
    <row r="544" customFormat="false" ht="15" hidden="false" customHeight="false" outlineLevel="0" collapsed="false">
      <c r="B544" s="0"/>
      <c r="C544" s="0"/>
      <c r="D544" s="0"/>
      <c r="E544" s="0"/>
      <c r="F544" s="0"/>
      <c r="G544" s="0"/>
      <c r="H544" s="0"/>
      <c r="I544" s="0"/>
      <c r="J544" s="0"/>
    </row>
    <row r="545" customFormat="false" ht="15" hidden="false" customHeight="false" outlineLevel="0" collapsed="false">
      <c r="B545" s="87" t="str">
        <f aca="false">ORÇAMENTO!B176</f>
        <v>21.9</v>
      </c>
      <c r="C545" s="88" t="str">
        <f aca="false">VLOOKUP(B545,ORÇAMENTO!$B$17:$L$177,2,0)</f>
        <v>TRANSPORTE DE ENTULHO COM CAMINHÃO BASCULANTE 6 M3, ATE 0,5 KM</v>
      </c>
      <c r="D545" s="88" t="s">
        <v>18</v>
      </c>
      <c r="E545" s="88" t="s">
        <v>18</v>
      </c>
      <c r="F545" s="88" t="s">
        <v>18</v>
      </c>
      <c r="G545" s="88" t="s">
        <v>18</v>
      </c>
      <c r="H545" s="88" t="s">
        <v>18</v>
      </c>
      <c r="I545" s="88" t="s">
        <v>18</v>
      </c>
      <c r="J545" s="89" t="n">
        <f aca="false">SUM(J546:J546)</f>
        <v>101.53</v>
      </c>
    </row>
    <row r="546" customFormat="false" ht="15" hidden="false" customHeight="false" outlineLevel="0" collapsed="false">
      <c r="B546" s="95"/>
      <c r="C546" s="90" t="s">
        <v>18</v>
      </c>
      <c r="D546" s="91" t="s">
        <v>18</v>
      </c>
      <c r="E546" s="91" t="s">
        <v>18</v>
      </c>
      <c r="F546" s="91" t="s">
        <v>18</v>
      </c>
      <c r="G546" s="92" t="s">
        <v>18</v>
      </c>
      <c r="H546" s="92" t="n">
        <f aca="false">J541</f>
        <v>101.53</v>
      </c>
      <c r="I546" s="91" t="n">
        <v>1</v>
      </c>
      <c r="J546" s="92" t="n">
        <f aca="false">I546*H546</f>
        <v>101.53</v>
      </c>
    </row>
  </sheetData>
  <sheetProtection sheet="true" objects="true" scenarios="true" formatCells="false"/>
  <mergeCells count="28">
    <mergeCell ref="B3:J3"/>
    <mergeCell ref="B8:J8"/>
    <mergeCell ref="B27:J27"/>
    <mergeCell ref="B54:J54"/>
    <mergeCell ref="B80:J80"/>
    <mergeCell ref="B122:J122"/>
    <mergeCell ref="B137:J137"/>
    <mergeCell ref="B158:J158"/>
    <mergeCell ref="B172:J172"/>
    <mergeCell ref="B219:J219"/>
    <mergeCell ref="B278:J278"/>
    <mergeCell ref="B308:J308"/>
    <mergeCell ref="B350:J350"/>
    <mergeCell ref="B383:J383"/>
    <mergeCell ref="B403:J403"/>
    <mergeCell ref="B408:J408"/>
    <mergeCell ref="B419:J419"/>
    <mergeCell ref="B425:J425"/>
    <mergeCell ref="B456:J456"/>
    <mergeCell ref="B467:J467"/>
    <mergeCell ref="B488:J488"/>
    <mergeCell ref="B507:J507"/>
    <mergeCell ref="B518:J518"/>
    <mergeCell ref="C523:I523"/>
    <mergeCell ref="C526:I526"/>
    <mergeCell ref="C529:I529"/>
    <mergeCell ref="C532:I532"/>
    <mergeCell ref="C535:I53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2"/>
  <cols>
    <col collapsed="false" hidden="false" max="1" min="1" style="105" width="2.15816326530612"/>
    <col collapsed="false" hidden="false" max="2" min="2" style="106" width="5.66836734693878"/>
    <col collapsed="false" hidden="false" max="3" min="3" style="105" width="35.3673469387755"/>
    <col collapsed="false" hidden="false" max="4" min="4" style="107" width="7.4234693877551"/>
    <col collapsed="false" hidden="false" max="5" min="5" style="105" width="12.5561224489796"/>
    <col collapsed="false" hidden="false" max="6" min="6" style="105" width="10.8010204081633"/>
    <col collapsed="false" hidden="false" max="7" min="7" style="105" width="12.5561224489796"/>
    <col collapsed="false" hidden="false" max="8" min="8" style="107" width="7.1530612244898"/>
    <col collapsed="false" hidden="false" max="9" min="9" style="107" width="12.5561224489796"/>
    <col collapsed="false" hidden="false" max="10" min="10" style="107" width="7.1530612244898"/>
    <col collapsed="false" hidden="false" max="11" min="11" style="107" width="12.5561224489796"/>
    <col collapsed="false" hidden="false" max="12" min="12" style="107" width="7.1530612244898"/>
    <col collapsed="false" hidden="false" max="13" min="13" style="107" width="12.5561224489796"/>
    <col collapsed="false" hidden="false" max="14" min="14" style="105" width="12.5561224489796"/>
    <col collapsed="false" hidden="false" max="250" min="15" style="105" width="11.2040816326531"/>
    <col collapsed="false" hidden="false" max="251" min="251" style="105" width="7.56122448979592"/>
    <col collapsed="false" hidden="false" max="252" min="252" style="105" width="5.66836734693878"/>
    <col collapsed="false" hidden="false" max="253" min="253" style="105" width="22.1377551020408"/>
    <col collapsed="false" hidden="false" max="254" min="254" style="105" width="6.75"/>
    <col collapsed="false" hidden="false" max="257" min="255" style="105" width="10.8010204081633"/>
    <col collapsed="false" hidden="false" max="258" min="258" style="105" width="6.88265306122449"/>
    <col collapsed="false" hidden="false" max="259" min="259" style="105" width="10.530612244898"/>
    <col collapsed="false" hidden="false" max="260" min="260" style="105" width="6.88265306122449"/>
    <col collapsed="false" hidden="false" max="261" min="261" style="105" width="10.530612244898"/>
    <col collapsed="false" hidden="false" max="262" min="262" style="105" width="6.3469387755102"/>
    <col collapsed="false" hidden="false" max="263" min="263" style="105" width="10.530612244898"/>
    <col collapsed="false" hidden="false" max="264" min="264" style="105" width="6.47959183673469"/>
    <col collapsed="false" hidden="false" max="265" min="265" style="105" width="10.530612244898"/>
    <col collapsed="false" hidden="false" max="266" min="266" style="105" width="6.20918367346939"/>
    <col collapsed="false" hidden="false" max="267" min="267" style="105" width="10.530612244898"/>
    <col collapsed="false" hidden="false" max="268" min="268" style="105" width="6.88265306122449"/>
    <col collapsed="false" hidden="false" max="270" min="269" style="105" width="10.530612244898"/>
    <col collapsed="false" hidden="false" max="506" min="271" style="105" width="11.2040816326531"/>
    <col collapsed="false" hidden="false" max="507" min="507" style="105" width="7.56122448979592"/>
    <col collapsed="false" hidden="false" max="508" min="508" style="105" width="5.66836734693878"/>
    <col collapsed="false" hidden="false" max="509" min="509" style="105" width="22.1377551020408"/>
    <col collapsed="false" hidden="false" max="510" min="510" style="105" width="6.75"/>
    <col collapsed="false" hidden="false" max="513" min="511" style="105" width="10.8010204081633"/>
    <col collapsed="false" hidden="false" max="514" min="514" style="105" width="6.88265306122449"/>
    <col collapsed="false" hidden="false" max="515" min="515" style="105" width="10.530612244898"/>
    <col collapsed="false" hidden="false" max="516" min="516" style="105" width="6.88265306122449"/>
    <col collapsed="false" hidden="false" max="517" min="517" style="105" width="10.530612244898"/>
    <col collapsed="false" hidden="false" max="518" min="518" style="105" width="6.3469387755102"/>
    <col collapsed="false" hidden="false" max="519" min="519" style="105" width="10.530612244898"/>
    <col collapsed="false" hidden="false" max="520" min="520" style="105" width="6.47959183673469"/>
    <col collapsed="false" hidden="false" max="521" min="521" style="105" width="10.530612244898"/>
    <col collapsed="false" hidden="false" max="522" min="522" style="105" width="6.20918367346939"/>
    <col collapsed="false" hidden="false" max="523" min="523" style="105" width="10.530612244898"/>
    <col collapsed="false" hidden="false" max="524" min="524" style="105" width="6.88265306122449"/>
    <col collapsed="false" hidden="false" max="526" min="525" style="105" width="10.530612244898"/>
    <col collapsed="false" hidden="false" max="762" min="527" style="105" width="11.2040816326531"/>
    <col collapsed="false" hidden="false" max="763" min="763" style="105" width="7.56122448979592"/>
    <col collapsed="false" hidden="false" max="764" min="764" style="105" width="5.66836734693878"/>
    <col collapsed="false" hidden="false" max="765" min="765" style="105" width="22.1377551020408"/>
    <col collapsed="false" hidden="false" max="766" min="766" style="105" width="6.75"/>
    <col collapsed="false" hidden="false" max="769" min="767" style="105" width="10.8010204081633"/>
    <col collapsed="false" hidden="false" max="770" min="770" style="105" width="6.88265306122449"/>
    <col collapsed="false" hidden="false" max="771" min="771" style="105" width="10.530612244898"/>
    <col collapsed="false" hidden="false" max="772" min="772" style="105" width="6.88265306122449"/>
    <col collapsed="false" hidden="false" max="773" min="773" style="105" width="10.530612244898"/>
    <col collapsed="false" hidden="false" max="774" min="774" style="105" width="6.3469387755102"/>
    <col collapsed="false" hidden="false" max="775" min="775" style="105" width="10.530612244898"/>
    <col collapsed="false" hidden="false" max="776" min="776" style="105" width="6.47959183673469"/>
    <col collapsed="false" hidden="false" max="777" min="777" style="105" width="10.530612244898"/>
    <col collapsed="false" hidden="false" max="778" min="778" style="105" width="6.20918367346939"/>
    <col collapsed="false" hidden="false" max="779" min="779" style="105" width="10.530612244898"/>
    <col collapsed="false" hidden="false" max="780" min="780" style="105" width="6.88265306122449"/>
    <col collapsed="false" hidden="false" max="782" min="781" style="105" width="10.530612244898"/>
    <col collapsed="false" hidden="false" max="1018" min="783" style="105" width="11.2040816326531"/>
    <col collapsed="false" hidden="false" max="1019" min="1019" style="105" width="7.56122448979592"/>
    <col collapsed="false" hidden="false" max="1020" min="1020" style="105" width="5.66836734693878"/>
    <col collapsed="false" hidden="false" max="1021" min="1021" style="105" width="22.1377551020408"/>
    <col collapsed="false" hidden="false" max="1022" min="1022" style="105" width="6.75"/>
    <col collapsed="false" hidden="false" max="1025" min="1023" style="105" width="10.8010204081633"/>
  </cols>
  <sheetData>
    <row r="1" customFormat="false" ht="7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108" t="s">
        <v>18</v>
      </c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.95" hidden="false" customHeight="true" outlineLevel="0" collapsed="false">
      <c r="A2" s="0"/>
      <c r="B2" s="109"/>
      <c r="C2" s="109"/>
      <c r="D2" s="110"/>
      <c r="E2" s="110"/>
      <c r="F2" s="110"/>
      <c r="G2" s="111"/>
      <c r="H2" s="112" t="s">
        <v>19</v>
      </c>
      <c r="I2" s="112"/>
      <c r="J2" s="112"/>
      <c r="K2" s="112"/>
      <c r="L2" s="112"/>
      <c r="M2" s="112"/>
      <c r="N2" s="112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95" hidden="false" customHeight="true" outlineLevel="0" collapsed="false">
      <c r="A3" s="0"/>
      <c r="B3" s="109"/>
      <c r="C3" s="109"/>
      <c r="D3" s="113"/>
      <c r="E3" s="113"/>
      <c r="F3" s="113"/>
      <c r="G3" s="114"/>
      <c r="H3" s="112"/>
      <c r="I3" s="112"/>
      <c r="J3" s="112"/>
      <c r="K3" s="112"/>
      <c r="L3" s="112"/>
      <c r="M3" s="112"/>
      <c r="N3" s="112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95" hidden="false" customHeight="true" outlineLevel="0" collapsed="false">
      <c r="A4" s="0"/>
      <c r="B4" s="109"/>
      <c r="C4" s="109"/>
      <c r="D4" s="113"/>
      <c r="E4" s="113"/>
      <c r="F4" s="113"/>
      <c r="G4" s="115"/>
      <c r="H4" s="116" t="s">
        <v>20</v>
      </c>
      <c r="I4" s="116"/>
      <c r="J4" s="116"/>
      <c r="K4" s="116"/>
      <c r="L4" s="116"/>
      <c r="M4" s="116"/>
      <c r="N4" s="116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.95" hidden="false" customHeight="true" outlineLevel="0" collapsed="false">
      <c r="A5" s="0"/>
      <c r="B5" s="109"/>
      <c r="C5" s="109"/>
      <c r="D5" s="113"/>
      <c r="E5" s="113"/>
      <c r="F5" s="113"/>
      <c r="G5" s="115"/>
      <c r="H5" s="116"/>
      <c r="I5" s="116"/>
      <c r="J5" s="116"/>
      <c r="K5" s="116"/>
      <c r="L5" s="116"/>
      <c r="M5" s="116"/>
      <c r="N5" s="116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.95" hidden="false" customHeight="true" outlineLevel="0" collapsed="false">
      <c r="A6" s="0"/>
      <c r="B6" s="109"/>
      <c r="C6" s="109"/>
      <c r="D6" s="113"/>
      <c r="E6" s="113"/>
      <c r="F6" s="113"/>
      <c r="G6" s="117"/>
      <c r="H6" s="116" t="s">
        <v>21</v>
      </c>
      <c r="I6" s="116"/>
      <c r="J6" s="116"/>
      <c r="K6" s="116"/>
      <c r="L6" s="116"/>
      <c r="M6" s="116"/>
      <c r="N6" s="116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.95" hidden="false" customHeight="true" outlineLevel="0" collapsed="false">
      <c r="A7" s="0"/>
      <c r="B7" s="109"/>
      <c r="C7" s="109"/>
      <c r="D7" s="118"/>
      <c r="E7" s="118"/>
      <c r="F7" s="118"/>
      <c r="G7" s="119"/>
      <c r="H7" s="116"/>
      <c r="I7" s="116"/>
      <c r="J7" s="116"/>
      <c r="K7" s="116"/>
      <c r="L7" s="116"/>
      <c r="M7" s="116"/>
      <c r="N7" s="116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4.25" hidden="false" customHeight="false" outlineLevel="0" collapsed="false">
      <c r="A8" s="0"/>
      <c r="B8" s="120"/>
      <c r="C8" s="120"/>
      <c r="D8" s="120"/>
      <c r="E8" s="120"/>
      <c r="F8" s="120"/>
      <c r="G8" s="120"/>
      <c r="H8" s="121"/>
      <c r="I8" s="121"/>
      <c r="J8" s="121"/>
      <c r="K8" s="122"/>
      <c r="L8" s="122"/>
      <c r="M8" s="122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0" hidden="false" customHeight="true" outlineLevel="0" collapsed="false">
      <c r="A9" s="0"/>
      <c r="B9" s="123" t="str">
        <f aca="false">ORÇAMENTO!B9</f>
        <v>OBRA: REFORMA E URBANIZAÇÃO DA FACHADA E ACESSO PRINCIPAL DO HOSPITAL REGIONAL CHAGAS RODRIGUES</v>
      </c>
      <c r="C9" s="123"/>
      <c r="D9" s="123"/>
      <c r="E9" s="123"/>
      <c r="F9" s="123"/>
      <c r="G9" s="123"/>
      <c r="H9" s="124" t="str">
        <f aca="false">ORÇAMENTO!F9</f>
        <v>MUNICÍPIO: PIRIPIRI - PI</v>
      </c>
      <c r="I9" s="124"/>
      <c r="J9" s="124"/>
      <c r="K9" s="125" t="str">
        <f aca="false">ORÇAMENTO!F10</f>
        <v>DATA BASE: SETEMBRO 2015 - DESONERADA</v>
      </c>
      <c r="L9" s="125"/>
      <c r="M9" s="125"/>
      <c r="N9" s="125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0"/>
      <c r="B10" s="126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false" outlineLevel="0" collapsed="false">
      <c r="A11" s="0"/>
      <c r="B11" s="129" t="s">
        <v>378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130" customFormat="true" ht="12" hidden="false" customHeight="false" outlineLevel="0" collapsed="false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2"/>
    </row>
    <row r="13" customFormat="false" ht="11.25" hidden="false" customHeight="true" outlineLevel="0" collapsed="false">
      <c r="A13" s="130"/>
      <c r="B13" s="133" t="s">
        <v>27</v>
      </c>
      <c r="C13" s="133" t="s">
        <v>379</v>
      </c>
      <c r="D13" s="133" t="s">
        <v>380</v>
      </c>
      <c r="E13" s="133" t="s">
        <v>381</v>
      </c>
      <c r="F13" s="133" t="s">
        <v>382</v>
      </c>
      <c r="G13" s="134" t="s">
        <v>383</v>
      </c>
      <c r="H13" s="133" t="s">
        <v>384</v>
      </c>
      <c r="I13" s="133"/>
      <c r="J13" s="133" t="s">
        <v>385</v>
      </c>
      <c r="K13" s="133"/>
      <c r="L13" s="133" t="s">
        <v>386</v>
      </c>
      <c r="M13" s="133"/>
      <c r="N13" s="135" t="s">
        <v>331</v>
      </c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1.25" hidden="false" customHeight="false" outlineLevel="0" collapsed="false">
      <c r="A14" s="130"/>
      <c r="B14" s="133"/>
      <c r="C14" s="133"/>
      <c r="D14" s="133"/>
      <c r="E14" s="133"/>
      <c r="F14" s="133" t="s">
        <v>387</v>
      </c>
      <c r="G14" s="134"/>
      <c r="H14" s="133" t="s">
        <v>33</v>
      </c>
      <c r="I14" s="133" t="s">
        <v>387</v>
      </c>
      <c r="J14" s="133" t="s">
        <v>33</v>
      </c>
      <c r="K14" s="133" t="s">
        <v>387</v>
      </c>
      <c r="L14" s="133" t="s">
        <v>33</v>
      </c>
      <c r="M14" s="133" t="s">
        <v>387</v>
      </c>
      <c r="N14" s="136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1.25" hidden="false" customHeight="false" outlineLevel="0" collapsed="false">
      <c r="A15" s="130"/>
      <c r="B15" s="137"/>
      <c r="C15" s="0"/>
      <c r="D15" s="138"/>
      <c r="E15" s="0"/>
      <c r="F15" s="0"/>
      <c r="G15" s="0"/>
      <c r="H15" s="138"/>
      <c r="I15" s="138"/>
      <c r="J15" s="138"/>
      <c r="K15" s="138"/>
      <c r="L15" s="138"/>
      <c r="M15" s="138"/>
      <c r="N15" s="136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1.25" hidden="false" customHeight="false" outlineLevel="0" collapsed="false">
      <c r="A16" s="130"/>
      <c r="B16" s="139" t="str">
        <f aca="false">ORÇAMENTO!B17</f>
        <v>1.0</v>
      </c>
      <c r="C16" s="140" t="str">
        <f aca="false">VLOOKUP(B16,ORÇAMENTO!$B$17:$L$122,2,0)</f>
        <v>SERVIÇOS PRELIMINARES (URBANIZAÇÃO)</v>
      </c>
      <c r="D16" s="141" t="n">
        <f aca="false">E16/$E$30</f>
        <v>0.0560618778256391</v>
      </c>
      <c r="E16" s="142" t="n">
        <f aca="false">VLOOKUP(B16,ORÇAMENTO!$B$17:$L$122,8,0)</f>
        <v>10740.275550654</v>
      </c>
      <c r="F16" s="143" t="n">
        <v>0</v>
      </c>
      <c r="G16" s="144" t="n">
        <f aca="false">E16-F16</f>
        <v>10740.275550654</v>
      </c>
      <c r="H16" s="145" t="n">
        <v>100</v>
      </c>
      <c r="I16" s="144" t="n">
        <f aca="false">H16*G16/100</f>
        <v>10740.275550654</v>
      </c>
      <c r="J16" s="145" t="n">
        <v>0</v>
      </c>
      <c r="K16" s="144" t="n">
        <f aca="false">J16*G16/100</f>
        <v>0</v>
      </c>
      <c r="L16" s="145" t="n">
        <v>0</v>
      </c>
      <c r="M16" s="144" t="n">
        <f aca="false">L16*G16/100</f>
        <v>0</v>
      </c>
      <c r="N16" s="142" t="n">
        <f aca="false">I16+K16+M16</f>
        <v>10740.275550654</v>
      </c>
      <c r="O16" s="146" t="n">
        <f aca="false">H16+J16+L16</f>
        <v>100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1.25" hidden="false" customHeight="false" outlineLevel="0" collapsed="false">
      <c r="A17" s="130"/>
      <c r="B17" s="139" t="str">
        <f aca="false">ORÇAMENTO!B24</f>
        <v>2.0</v>
      </c>
      <c r="C17" s="140" t="str">
        <f aca="false">VLOOKUP(B17,ORÇAMENTO!$B$17:$L$122,2,0)</f>
        <v>MOVIMENTAÇÃO DE TERRA (URBANIZAÇÃO)</v>
      </c>
      <c r="D17" s="141" t="n">
        <f aca="false">E17/$E$30</f>
        <v>0.0281029114662101</v>
      </c>
      <c r="E17" s="142" t="n">
        <f aca="false">VLOOKUP(B17,ORÇAMENTO!$B$17:$L$122,8,0)</f>
        <v>5383.92620135695</v>
      </c>
      <c r="F17" s="143" t="n">
        <v>0</v>
      </c>
      <c r="G17" s="144" t="n">
        <f aca="false">E17-F17</f>
        <v>5383.92620135695</v>
      </c>
      <c r="H17" s="145" t="n">
        <v>100</v>
      </c>
      <c r="I17" s="144" t="n">
        <f aca="false">H17*G17/100</f>
        <v>5383.92620135695</v>
      </c>
      <c r="J17" s="145" t="n">
        <v>0</v>
      </c>
      <c r="K17" s="144" t="n">
        <f aca="false">J17*G17/100</f>
        <v>0</v>
      </c>
      <c r="L17" s="145" t="n">
        <v>0</v>
      </c>
      <c r="M17" s="144" t="n">
        <f aca="false">L17*G17/100</f>
        <v>0</v>
      </c>
      <c r="N17" s="142" t="n">
        <f aca="false">I17+K17+M17</f>
        <v>5383.92620135695</v>
      </c>
      <c r="O17" s="146" t="n">
        <f aca="false">H17+J17+L17</f>
        <v>100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1.25" hidden="false" customHeight="false" outlineLevel="0" collapsed="false">
      <c r="A18" s="130"/>
      <c r="B18" s="139" t="str">
        <f aca="false">ORÇAMENTO!B30</f>
        <v>3.0</v>
      </c>
      <c r="C18" s="140" t="str">
        <f aca="false">VLOOKUP(B18,ORÇAMENTO!$B$17:$L$122,2,0)</f>
        <v>INFRA-ESTRUTURA (URBANIZAÇÃO)</v>
      </c>
      <c r="D18" s="141" t="n">
        <f aca="false">E18/$E$30</f>
        <v>0.0313203050961702</v>
      </c>
      <c r="E18" s="142" t="n">
        <f aca="false">VLOOKUP(B18,ORÇAMENTO!$B$17:$L$122,8,0)</f>
        <v>6000.3110867895</v>
      </c>
      <c r="F18" s="143" t="n">
        <v>0</v>
      </c>
      <c r="G18" s="144" t="n">
        <f aca="false">E18-F18</f>
        <v>6000.3110867895</v>
      </c>
      <c r="H18" s="145" t="n">
        <v>100</v>
      </c>
      <c r="I18" s="144" t="n">
        <f aca="false">H18*G18/100</f>
        <v>6000.3110867895</v>
      </c>
      <c r="J18" s="145" t="n">
        <v>0</v>
      </c>
      <c r="K18" s="144" t="n">
        <f aca="false">J18*G18/100</f>
        <v>0</v>
      </c>
      <c r="L18" s="145" t="n">
        <v>0</v>
      </c>
      <c r="M18" s="144" t="n">
        <f aca="false">L18*G18/100</f>
        <v>0</v>
      </c>
      <c r="N18" s="142" t="n">
        <f aca="false">I18+K18+M18</f>
        <v>6000.3110867895</v>
      </c>
      <c r="O18" s="146" t="n">
        <f aca="false">H18+J18+L18</f>
        <v>100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1.25" hidden="false" customHeight="false" outlineLevel="0" collapsed="false">
      <c r="A19" s="130"/>
      <c r="B19" s="139" t="str">
        <f aca="false">ORÇAMENTO!B35</f>
        <v>4.0</v>
      </c>
      <c r="C19" s="140" t="str">
        <f aca="false">VLOOKUP(B19,ORÇAMENTO!$B$17:$L$122,2,0)</f>
        <v>SUPER-ESTRUTURA (URBANIZAÇÃO)</v>
      </c>
      <c r="D19" s="141" t="n">
        <f aca="false">E19/$E$30</f>
        <v>0.0194300298623161</v>
      </c>
      <c r="E19" s="142" t="n">
        <f aca="false">VLOOKUP(B19,ORÇAMENTO!$B$17:$L$122,8,0)</f>
        <v>3722.38467159</v>
      </c>
      <c r="F19" s="143" t="n">
        <v>0</v>
      </c>
      <c r="G19" s="144" t="n">
        <f aca="false">E19-F19</f>
        <v>3722.38467159</v>
      </c>
      <c r="H19" s="145" t="n">
        <v>60</v>
      </c>
      <c r="I19" s="144" t="n">
        <f aca="false">H19*G19/100</f>
        <v>2233.430802954</v>
      </c>
      <c r="J19" s="145" t="n">
        <v>40</v>
      </c>
      <c r="K19" s="144" t="n">
        <f aca="false">J19*G19/100</f>
        <v>1488.953868636</v>
      </c>
      <c r="L19" s="145" t="n">
        <v>0</v>
      </c>
      <c r="M19" s="144" t="n">
        <f aca="false">L19*G19/100</f>
        <v>0</v>
      </c>
      <c r="N19" s="142" t="n">
        <f aca="false">I19+K19+M19</f>
        <v>3722.38467159</v>
      </c>
      <c r="O19" s="146" t="n">
        <f aca="false">H19+J19+L19</f>
        <v>100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1.25" hidden="false" customHeight="false" outlineLevel="0" collapsed="false">
      <c r="A20" s="130"/>
      <c r="B20" s="139" t="str">
        <f aca="false">ORÇAMENTO!B42</f>
        <v>5.0</v>
      </c>
      <c r="C20" s="140" t="str">
        <f aca="false">VLOOKUP(B20,ORÇAMENTO!$B$17:$L$122,2,0)</f>
        <v>PAREDES E PAINÉIS (URBANIZAÇÃO)</v>
      </c>
      <c r="D20" s="141" t="n">
        <f aca="false">E20/$E$30</f>
        <v>0.0379017634989638</v>
      </c>
      <c r="E20" s="142" t="n">
        <f aca="false">VLOOKUP(B20,ORÇAMENTO!$B$17:$L$122,8,0)</f>
        <v>7261.17996084</v>
      </c>
      <c r="F20" s="143" t="n">
        <v>0</v>
      </c>
      <c r="G20" s="144" t="n">
        <f aca="false">E20-F20</f>
        <v>7261.17996084</v>
      </c>
      <c r="H20" s="145" t="n">
        <v>80</v>
      </c>
      <c r="I20" s="144" t="n">
        <f aca="false">H20*G20/100</f>
        <v>5808.943968672</v>
      </c>
      <c r="J20" s="145" t="n">
        <v>20</v>
      </c>
      <c r="K20" s="144" t="n">
        <f aca="false">J20*G20/100</f>
        <v>1452.235992168</v>
      </c>
      <c r="L20" s="145" t="n">
        <v>0</v>
      </c>
      <c r="M20" s="144" t="n">
        <f aca="false">L20*G20/100</f>
        <v>0</v>
      </c>
      <c r="N20" s="142" t="n">
        <f aca="false">I20+K20+M20</f>
        <v>7261.17996084</v>
      </c>
      <c r="O20" s="146" t="n">
        <f aca="false">H20+J20+L20</f>
        <v>100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1.25" hidden="false" customHeight="false" outlineLevel="0" collapsed="false">
      <c r="A21" s="130"/>
      <c r="B21" s="139" t="str">
        <f aca="false">ORÇAMENTO!B45</f>
        <v>6.0</v>
      </c>
      <c r="C21" s="140" t="str">
        <f aca="false">VLOOKUP(B21,ORÇAMENTO!$B$17:$L$122,2,0)</f>
        <v>COBERTURA (URBANIZAÇÃO)</v>
      </c>
      <c r="D21" s="141" t="n">
        <f aca="false">E21/$E$30</f>
        <v>0.0481388322584366</v>
      </c>
      <c r="E21" s="142" t="n">
        <f aca="false">VLOOKUP(B21,ORÇAMENTO!$B$17:$L$122,8,0)</f>
        <v>9222.38681962</v>
      </c>
      <c r="F21" s="143" t="n">
        <v>0</v>
      </c>
      <c r="G21" s="144" t="n">
        <f aca="false">E21-F21</f>
        <v>9222.38681962</v>
      </c>
      <c r="H21" s="145" t="n">
        <v>50</v>
      </c>
      <c r="I21" s="144" t="n">
        <f aca="false">H21*G21/100</f>
        <v>4611.19340981</v>
      </c>
      <c r="J21" s="145" t="n">
        <v>50</v>
      </c>
      <c r="K21" s="144" t="n">
        <f aca="false">J21*G21/100</f>
        <v>4611.19340981</v>
      </c>
      <c r="L21" s="145" t="n">
        <v>0</v>
      </c>
      <c r="M21" s="144" t="n">
        <f aca="false">L21*G21/100</f>
        <v>0</v>
      </c>
      <c r="N21" s="142" t="n">
        <f aca="false">I21+K21+M21</f>
        <v>9222.38681962</v>
      </c>
      <c r="O21" s="146" t="n">
        <f aca="false">H21+J21+L21</f>
        <v>100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1.25" hidden="false" customHeight="false" outlineLevel="0" collapsed="false">
      <c r="A22" s="130"/>
      <c r="B22" s="139" t="str">
        <f aca="false">ORÇAMENTO!B53</f>
        <v>7.0</v>
      </c>
      <c r="C22" s="140" t="str">
        <f aca="false">VLOOKUP(B22,ORÇAMENTO!$B$17:$L$122,2,0)</f>
        <v>ESQUADRIAS (URBANIZAÇÃO)</v>
      </c>
      <c r="D22" s="141" t="n">
        <f aca="false">E22/$E$30</f>
        <v>0.0707834164533914</v>
      </c>
      <c r="E22" s="142" t="n">
        <f aca="false">VLOOKUP(B22,ORÇAMENTO!$B$17:$L$122,8,0)</f>
        <v>13560.61242705</v>
      </c>
      <c r="F22" s="143" t="n">
        <v>0</v>
      </c>
      <c r="G22" s="144" t="n">
        <f aca="false">E22-F22</f>
        <v>13560.61242705</v>
      </c>
      <c r="H22" s="145" t="n">
        <v>30</v>
      </c>
      <c r="I22" s="144" t="n">
        <f aca="false">H22*G22/100</f>
        <v>4068.183728115</v>
      </c>
      <c r="J22" s="145" t="n">
        <v>40</v>
      </c>
      <c r="K22" s="144" t="n">
        <f aca="false">J22*G22/100</f>
        <v>5424.24497082</v>
      </c>
      <c r="L22" s="145" t="n">
        <v>30</v>
      </c>
      <c r="M22" s="144" t="n">
        <f aca="false">L22*G22/100</f>
        <v>4068.183728115</v>
      </c>
      <c r="N22" s="142" t="n">
        <f aca="false">I22+K22+M22</f>
        <v>13560.61242705</v>
      </c>
      <c r="O22" s="146" t="n">
        <f aca="false">H22+J22+L22</f>
        <v>100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1.25" hidden="false" customHeight="false" outlineLevel="0" collapsed="false">
      <c r="A23" s="130"/>
      <c r="B23" s="139" t="str">
        <f aca="false">ORÇAMENTO!B59</f>
        <v>8.0</v>
      </c>
      <c r="C23" s="140" t="str">
        <f aca="false">VLOOKUP(B23,ORÇAMENTO!$B$17:$L$122,2,0)</f>
        <v>REVESTIMENTO (URBANIZAÇÃO)</v>
      </c>
      <c r="D23" s="141" t="n">
        <f aca="false">E23/$E$30</f>
        <v>0.0960424539049773</v>
      </c>
      <c r="E23" s="142" t="n">
        <f aca="false">VLOOKUP(B23,ORÇAMENTO!$B$17:$L$122,8,0)</f>
        <v>18399.712237764</v>
      </c>
      <c r="F23" s="143" t="n">
        <v>0</v>
      </c>
      <c r="G23" s="144" t="n">
        <f aca="false">E23-F23</f>
        <v>18399.712237764</v>
      </c>
      <c r="H23" s="145" t="n">
        <v>0</v>
      </c>
      <c r="I23" s="144" t="n">
        <f aca="false">H23*G23/100</f>
        <v>0</v>
      </c>
      <c r="J23" s="145" t="n">
        <v>70</v>
      </c>
      <c r="K23" s="144" t="n">
        <f aca="false">J23*G23/100</f>
        <v>12879.7985664348</v>
      </c>
      <c r="L23" s="145" t="n">
        <v>30</v>
      </c>
      <c r="M23" s="144" t="n">
        <f aca="false">L23*G23/100</f>
        <v>5519.9136713292</v>
      </c>
      <c r="N23" s="142" t="n">
        <f aca="false">I23+K23+M23</f>
        <v>18399.712237764</v>
      </c>
      <c r="O23" s="146" t="n">
        <f aca="false">H23+J23+L23</f>
        <v>100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1.25" hidden="false" customHeight="false" outlineLevel="0" collapsed="false">
      <c r="A24" s="130"/>
      <c r="B24" s="139" t="str">
        <f aca="false">ORÇAMENTO!B68</f>
        <v>9.0</v>
      </c>
      <c r="C24" s="140" t="str">
        <f aca="false">VLOOKUP(B24,ORÇAMENTO!$B$17:$L$122,2,0)</f>
        <v>PINTURA (URBANIZAÇÃO)</v>
      </c>
      <c r="D24" s="141" t="n">
        <f aca="false">E24/$E$30</f>
        <v>0.0303590795074026</v>
      </c>
      <c r="E24" s="142" t="n">
        <f aca="false">VLOOKUP(B24,ORÇAMENTO!$B$17:$L$122,8,0)</f>
        <v>5816.16050015</v>
      </c>
      <c r="F24" s="143" t="n">
        <v>0</v>
      </c>
      <c r="G24" s="144" t="n">
        <f aca="false">E24-F24</f>
        <v>5816.16050015</v>
      </c>
      <c r="H24" s="145" t="n">
        <v>0</v>
      </c>
      <c r="I24" s="144" t="n">
        <f aca="false">H24*G24/100</f>
        <v>0</v>
      </c>
      <c r="J24" s="145" t="n">
        <v>20</v>
      </c>
      <c r="K24" s="144" t="n">
        <f aca="false">J24*G24/100</f>
        <v>1163.23210003</v>
      </c>
      <c r="L24" s="145" t="n">
        <v>80</v>
      </c>
      <c r="M24" s="144" t="n">
        <f aca="false">L24*G24/100</f>
        <v>4652.92840012</v>
      </c>
      <c r="N24" s="142" t="n">
        <f aca="false">I24+K24+M24</f>
        <v>5816.16050015</v>
      </c>
      <c r="O24" s="146" t="n">
        <f aca="false">H24+J24+L24</f>
        <v>100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1.25" hidden="false" customHeight="false" outlineLevel="0" collapsed="false">
      <c r="A25" s="130"/>
      <c r="B25" s="139" t="str">
        <f aca="false">ORÇAMENTO!B78</f>
        <v>10.0</v>
      </c>
      <c r="C25" s="140" t="str">
        <f aca="false">VLOOKUP(B25,ORÇAMENTO!$B$17:$L$122,2,0)</f>
        <v>PISO E PAVIMENTAÇÃO (URBANIZAÇÃO)</v>
      </c>
      <c r="D25" s="141" t="n">
        <f aca="false">E25/$E$30</f>
        <v>0.516245118082008</v>
      </c>
      <c r="E25" s="142" t="n">
        <f aca="false">VLOOKUP(B25,ORÇAMENTO!$B$17:$L$122,8,0)</f>
        <v>98901.69639207</v>
      </c>
      <c r="F25" s="143" t="n">
        <v>0</v>
      </c>
      <c r="G25" s="144" t="n">
        <f aca="false">E25-F25</f>
        <v>98901.69639207</v>
      </c>
      <c r="H25" s="145" t="n">
        <v>0</v>
      </c>
      <c r="I25" s="144" t="n">
        <f aca="false">H25*G25/100</f>
        <v>0</v>
      </c>
      <c r="J25" s="145" t="n">
        <v>40</v>
      </c>
      <c r="K25" s="144" t="n">
        <f aca="false">J25*G25/100</f>
        <v>39560.678556828</v>
      </c>
      <c r="L25" s="145" t="n">
        <v>60</v>
      </c>
      <c r="M25" s="144" t="n">
        <f aca="false">L25*G25/100</f>
        <v>59341.017835242</v>
      </c>
      <c r="N25" s="142" t="n">
        <f aca="false">I25+K25+M25</f>
        <v>98901.69639207</v>
      </c>
      <c r="O25" s="146" t="n">
        <f aca="false">H25+J25+L25</f>
        <v>100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1.25" hidden="false" customHeight="false" outlineLevel="0" collapsed="false">
      <c r="A26" s="130"/>
      <c r="B26" s="139" t="str">
        <f aca="false">ORÇAMENTO!B88</f>
        <v>11.0</v>
      </c>
      <c r="C26" s="140" t="str">
        <f aca="false">VLOOKUP(B26,ORÇAMENTO!$B$17:$L$122,2,0)</f>
        <v>INSTALAÇÕES (URBANIZAÇÃO)</v>
      </c>
      <c r="D26" s="141" t="n">
        <f aca="false">E26/$E$30</f>
        <v>0.0346287021135186</v>
      </c>
      <c r="E26" s="142" t="n">
        <f aca="false">VLOOKUP(B26,ORÇAMENTO!$B$17:$L$122,8,0)</f>
        <v>6634.1303054</v>
      </c>
      <c r="F26" s="143" t="n">
        <v>0</v>
      </c>
      <c r="G26" s="144" t="n">
        <f aca="false">E26-F26</f>
        <v>6634.1303054</v>
      </c>
      <c r="H26" s="145" t="n">
        <v>0</v>
      </c>
      <c r="I26" s="144" t="n">
        <f aca="false">H26*G26/100</f>
        <v>0</v>
      </c>
      <c r="J26" s="145" t="n">
        <v>70</v>
      </c>
      <c r="K26" s="144" t="n">
        <f aca="false">J26*G26/100</f>
        <v>4643.89121378</v>
      </c>
      <c r="L26" s="145" t="n">
        <v>30</v>
      </c>
      <c r="M26" s="144" t="n">
        <f aca="false">L26*G26/100</f>
        <v>1990.23909162</v>
      </c>
      <c r="N26" s="142" t="n">
        <f aca="false">I26+K26+M26</f>
        <v>6634.1303054</v>
      </c>
      <c r="O26" s="146" t="n">
        <f aca="false">H26+J26+L26</f>
        <v>100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1.25" hidden="false" customHeight="false" outlineLevel="0" collapsed="false">
      <c r="A27" s="130"/>
      <c r="B27" s="139" t="str">
        <f aca="false">ORÇAMENTO!B105</f>
        <v>12.0</v>
      </c>
      <c r="C27" s="140" t="str">
        <f aca="false">VLOOKUP(B27,ORÇAMENTO!$B$17:$L$122,2,0)</f>
        <v>BANCADAS, LOUÇAS E METAIS (URBANIZAÇÃO)</v>
      </c>
      <c r="D27" s="141" t="n">
        <f aca="false">E27/$E$30</f>
        <v>0.00514453845624955</v>
      </c>
      <c r="E27" s="142" t="n">
        <f aca="false">VLOOKUP(B27,ORÇAMENTO!$B$17:$L$122,8,0)</f>
        <v>985.585263</v>
      </c>
      <c r="F27" s="143" t="n">
        <v>0</v>
      </c>
      <c r="G27" s="144" t="n">
        <f aca="false">E27-F27</f>
        <v>985.585263</v>
      </c>
      <c r="H27" s="145" t="n">
        <v>0</v>
      </c>
      <c r="I27" s="144" t="n">
        <f aca="false">H27*G27/100</f>
        <v>0</v>
      </c>
      <c r="J27" s="145" t="n">
        <v>50</v>
      </c>
      <c r="K27" s="144" t="n">
        <f aca="false">J27*G27/100</f>
        <v>492.7926315</v>
      </c>
      <c r="L27" s="145" t="n">
        <v>50</v>
      </c>
      <c r="M27" s="144" t="n">
        <f aca="false">L27*G27/100</f>
        <v>492.7926315</v>
      </c>
      <c r="N27" s="142" t="n">
        <f aca="false">I27+K27+M27</f>
        <v>985.585263</v>
      </c>
      <c r="O27" s="146" t="n">
        <f aca="false">H27+J27+L27</f>
        <v>100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1.25" hidden="false" customHeight="false" outlineLevel="0" collapsed="false">
      <c r="A28" s="130"/>
      <c r="B28" s="139" t="str">
        <f aca="false">ORÇAMENTO!B117</f>
        <v>13.0</v>
      </c>
      <c r="C28" s="140" t="str">
        <f aca="false">VLOOKUP(B28,ORÇAMENTO!$B$17:$L$122,2,0)</f>
        <v>DIVERSOS (URBANIZAÇÃO)</v>
      </c>
      <c r="D28" s="141" t="n">
        <f aca="false">E28/$E$30</f>
        <v>0.0258409714747166</v>
      </c>
      <c r="E28" s="142" t="n">
        <f aca="false">VLOOKUP(B28,ORÇAMENTO!$B$17:$L$122,8,0)</f>
        <v>4950.5861184</v>
      </c>
      <c r="F28" s="143" t="n">
        <v>0</v>
      </c>
      <c r="G28" s="144" t="n">
        <f aca="false">E28-F28</f>
        <v>4950.5861184</v>
      </c>
      <c r="H28" s="145" t="n">
        <v>30</v>
      </c>
      <c r="I28" s="144" t="n">
        <f aca="false">H28*G28/100</f>
        <v>1485.17583552</v>
      </c>
      <c r="J28" s="145" t="n">
        <v>30</v>
      </c>
      <c r="K28" s="144" t="n">
        <f aca="false">J28*G28/100</f>
        <v>1485.17583552</v>
      </c>
      <c r="L28" s="145" t="n">
        <v>40</v>
      </c>
      <c r="M28" s="144" t="n">
        <f aca="false">L28*G28/100</f>
        <v>1980.23444736</v>
      </c>
      <c r="N28" s="142" t="n">
        <f aca="false">I28+K28+M28</f>
        <v>4950.5861184</v>
      </c>
      <c r="O28" s="146" t="n">
        <f aca="false">H28+J28+L28</f>
        <v>100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1.25" hidden="false" customHeight="false" outlineLevel="0" collapsed="false">
      <c r="A29" s="130"/>
      <c r="B29" s="139"/>
      <c r="C29" s="147" t="s">
        <v>388</v>
      </c>
      <c r="D29" s="148"/>
      <c r="E29" s="149"/>
      <c r="F29" s="0"/>
      <c r="G29" s="144"/>
      <c r="H29" s="150"/>
      <c r="I29" s="144"/>
      <c r="J29" s="150"/>
      <c r="K29" s="144"/>
      <c r="L29" s="150"/>
      <c r="M29" s="144"/>
      <c r="N29" s="144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1.25" hidden="false" customHeight="false" outlineLevel="0" collapsed="false">
      <c r="A30" s="130"/>
      <c r="B30" s="139"/>
      <c r="C30" s="147" t="str">
        <f aca="false">"TOTAL GERAL COM BDI - ("&amp;BDI!$D$45&amp;" %)"</f>
        <v>TOTAL GERAL COM BDI - (24,93 %)</v>
      </c>
      <c r="D30" s="151"/>
      <c r="E30" s="152" t="n">
        <f aca="false">SUM(E16:E28)</f>
        <v>191578.947534684</v>
      </c>
      <c r="F30" s="153" t="n">
        <f aca="false">SUM(F16:F28)</f>
        <v>0</v>
      </c>
      <c r="G30" s="152" t="n">
        <f aca="false">SUM(G16:G28)</f>
        <v>191578.947534684</v>
      </c>
      <c r="H30" s="154"/>
      <c r="I30" s="152" t="n">
        <f aca="false">SUM(I16:I28)</f>
        <v>40331.4405838715</v>
      </c>
      <c r="J30" s="154" t="s">
        <v>18</v>
      </c>
      <c r="K30" s="152" t="n">
        <f aca="false">SUM(K16:K28)</f>
        <v>73202.1971455268</v>
      </c>
      <c r="L30" s="154"/>
      <c r="M30" s="152" t="n">
        <f aca="false">SUM(M16:M28)</f>
        <v>78045.3098052862</v>
      </c>
      <c r="N30" s="152" t="n">
        <f aca="false">SUM(N16:N28)</f>
        <v>191578.947534684</v>
      </c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1.25" hidden="false" customHeight="false" outlineLevel="0" collapsed="false">
      <c r="A31" s="130"/>
      <c r="B31" s="139"/>
      <c r="C31" s="147" t="s">
        <v>389</v>
      </c>
      <c r="D31" s="141" t="n">
        <f aca="false">SUM(D4:D28)</f>
        <v>1</v>
      </c>
      <c r="E31" s="152"/>
      <c r="F31" s="151"/>
      <c r="G31" s="155"/>
      <c r="H31" s="156" t="n">
        <f aca="false">I30/$G$30</f>
        <v>0.210521255612231</v>
      </c>
      <c r="I31" s="157"/>
      <c r="J31" s="156" t="n">
        <f aca="false">K30/$G$30</f>
        <v>0.382099380373065</v>
      </c>
      <c r="K31" s="157"/>
      <c r="L31" s="156" t="n">
        <f aca="false">M30/$G$30</f>
        <v>0.407379364014704</v>
      </c>
      <c r="M31" s="157"/>
      <c r="N31" s="158" t="n">
        <f aca="false">H31+J31+L31</f>
        <v>1</v>
      </c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1.25" hidden="false" customHeight="false" outlineLevel="0" collapsed="false">
      <c r="A32" s="130"/>
      <c r="B32" s="139"/>
      <c r="C32" s="147"/>
      <c r="D32" s="159"/>
      <c r="E32" s="152"/>
      <c r="F32" s="151"/>
      <c r="G32" s="155"/>
      <c r="H32" s="160"/>
      <c r="I32" s="155"/>
      <c r="J32" s="160"/>
      <c r="K32" s="155"/>
      <c r="L32" s="160"/>
      <c r="M32" s="155"/>
      <c r="N32" s="157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1.25" hidden="false" customHeight="false" outlineLevel="0" collapsed="false">
      <c r="A33" s="130"/>
      <c r="B33" s="139" t="str">
        <f aca="false">ORÇAMENTO!B131</f>
        <v>14.0</v>
      </c>
      <c r="C33" s="140" t="str">
        <f aca="false">VLOOKUP(B33,ORÇAMENTO!$B$17:$L$184,2,0)</f>
        <v>SERVIÇOS PRELIMINARES (FACHADA)</v>
      </c>
      <c r="D33" s="141" t="n">
        <f aca="false">E33/$E$42</f>
        <v>0.050218200223332</v>
      </c>
      <c r="E33" s="142" t="n">
        <f aca="false">VLOOKUP(B33,ORÇAMENTO!$B$17:$L$184,8,0)</f>
        <v>15407.4869728</v>
      </c>
      <c r="F33" s="143" t="n">
        <v>0</v>
      </c>
      <c r="G33" s="144" t="n">
        <f aca="false">E33-F33</f>
        <v>15407.4869728</v>
      </c>
      <c r="H33" s="145" t="n">
        <v>100</v>
      </c>
      <c r="I33" s="144" t="n">
        <f aca="false">H33*G33/100</f>
        <v>15407.4869728</v>
      </c>
      <c r="J33" s="145" t="n">
        <v>0</v>
      </c>
      <c r="K33" s="144" t="n">
        <f aca="false">J33*G33/100</f>
        <v>0</v>
      </c>
      <c r="L33" s="145" t="n">
        <v>0</v>
      </c>
      <c r="M33" s="144" t="n">
        <f aca="false">L33*G33/100</f>
        <v>0</v>
      </c>
      <c r="N33" s="142" t="n">
        <f aca="false">I33+K33+M33</f>
        <v>15407.4869728</v>
      </c>
      <c r="O33" s="146" t="n">
        <f aca="false">H33+J33+L33</f>
        <v>100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1.25" hidden="false" customHeight="false" outlineLevel="0" collapsed="false">
      <c r="A34" s="130"/>
      <c r="B34" s="139" t="str">
        <f aca="false">ORÇAMENTO!B136</f>
        <v>15.0</v>
      </c>
      <c r="C34" s="140" t="str">
        <f aca="false">VLOOKUP(B34,ORÇAMENTO!$B$17:$L$184,2,0)</f>
        <v>PAREDES E PAINÉIS (FACHADA)</v>
      </c>
      <c r="D34" s="141" t="n">
        <f aca="false">E34/$E$42</f>
        <v>0.0605576158680767</v>
      </c>
      <c r="E34" s="142" t="n">
        <f aca="false">VLOOKUP(B34,ORÇAMENTO!$B$17:$L$184,8,0)</f>
        <v>18579.73152048</v>
      </c>
      <c r="F34" s="143" t="n">
        <v>0</v>
      </c>
      <c r="G34" s="144" t="n">
        <f aca="false">E34-F34</f>
        <v>18579.73152048</v>
      </c>
      <c r="H34" s="145" t="n">
        <v>100</v>
      </c>
      <c r="I34" s="144" t="n">
        <f aca="false">H34*G34/100</f>
        <v>18579.73152048</v>
      </c>
      <c r="J34" s="145" t="n">
        <v>0</v>
      </c>
      <c r="K34" s="144" t="n">
        <f aca="false">J34*G34/100</f>
        <v>0</v>
      </c>
      <c r="L34" s="145" t="n">
        <v>0</v>
      </c>
      <c r="M34" s="144" t="n">
        <f aca="false">L34*G34/100</f>
        <v>0</v>
      </c>
      <c r="N34" s="142" t="n">
        <f aca="false">I34+K34+M34</f>
        <v>18579.73152048</v>
      </c>
      <c r="O34" s="146" t="n">
        <f aca="false">H34+J34+L34</f>
        <v>100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1.25" hidden="false" customHeight="false" outlineLevel="0" collapsed="false">
      <c r="A35" s="130"/>
      <c r="B35" s="139" t="str">
        <f aca="false">ORÇAMENTO!B139</f>
        <v>16.0</v>
      </c>
      <c r="C35" s="140" t="str">
        <f aca="false">VLOOKUP(B35,ORÇAMENTO!$B$17:$L$184,2,0)</f>
        <v>COBERTURA (FACHADA)</v>
      </c>
      <c r="D35" s="141" t="n">
        <f aca="false">E35/$E$42</f>
        <v>0.493880173550308</v>
      </c>
      <c r="E35" s="142" t="n">
        <f aca="false">VLOOKUP(B35,ORÇAMENTO!$B$17:$L$184,8,0)</f>
        <v>151527.77889808</v>
      </c>
      <c r="F35" s="143" t="n">
        <v>0</v>
      </c>
      <c r="G35" s="144" t="n">
        <f aca="false">E35-F35</f>
        <v>151527.77889808</v>
      </c>
      <c r="H35" s="145" t="n">
        <v>30</v>
      </c>
      <c r="I35" s="144" t="n">
        <f aca="false">H35*G35/100</f>
        <v>45458.333669424</v>
      </c>
      <c r="J35" s="145" t="n">
        <v>50</v>
      </c>
      <c r="K35" s="144" t="n">
        <f aca="false">J35*G35/100</f>
        <v>75763.88944904</v>
      </c>
      <c r="L35" s="145" t="n">
        <v>20</v>
      </c>
      <c r="M35" s="144" t="n">
        <f aca="false">L35*G35/100</f>
        <v>30305.555779616</v>
      </c>
      <c r="N35" s="142" t="n">
        <f aca="false">I35+K35+M35</f>
        <v>151527.77889808</v>
      </c>
      <c r="O35" s="146" t="n">
        <f aca="false">H35+J35+L35</f>
        <v>100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1.25" hidden="false" customHeight="false" outlineLevel="0" collapsed="false">
      <c r="A36" s="130"/>
      <c r="B36" s="139" t="str">
        <f aca="false">ORÇAMENTO!B146</f>
        <v>17.0</v>
      </c>
      <c r="C36" s="140" t="str">
        <f aca="false">VLOOKUP(B36,ORÇAMENTO!$B$17:$L$184,2,0)</f>
        <v>ESQUADRIAS (FACHADA)</v>
      </c>
      <c r="D36" s="141" t="n">
        <f aca="false">E36/$E$42</f>
        <v>0.0280912783335205</v>
      </c>
      <c r="E36" s="142" t="n">
        <f aca="false">VLOOKUP(B36,ORÇAMENTO!$B$17:$L$184,8,0)</f>
        <v>8618.708019168</v>
      </c>
      <c r="F36" s="143" t="n">
        <v>0</v>
      </c>
      <c r="G36" s="144" t="n">
        <f aca="false">E36-F36</f>
        <v>8618.708019168</v>
      </c>
      <c r="H36" s="145" t="n">
        <v>30</v>
      </c>
      <c r="I36" s="144" t="n">
        <f aca="false">H36*G36/100</f>
        <v>2585.6124057504</v>
      </c>
      <c r="J36" s="145" t="n">
        <v>40</v>
      </c>
      <c r="K36" s="144" t="n">
        <f aca="false">J36*G36/100</f>
        <v>3447.4832076672</v>
      </c>
      <c r="L36" s="145" t="n">
        <v>30</v>
      </c>
      <c r="M36" s="144" t="n">
        <f aca="false">L36*G36/100</f>
        <v>2585.6124057504</v>
      </c>
      <c r="N36" s="142" t="n">
        <f aca="false">I36+K36+M36</f>
        <v>8618.708019168</v>
      </c>
      <c r="O36" s="146" t="n">
        <f aca="false">H36+J36+L36</f>
        <v>100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1.25" hidden="false" customHeight="false" outlineLevel="0" collapsed="false">
      <c r="A37" s="130"/>
      <c r="B37" s="139" t="str">
        <f aca="false">ORÇAMENTO!B150</f>
        <v>18.0</v>
      </c>
      <c r="C37" s="140" t="str">
        <f aca="false">VLOOKUP(B37,ORÇAMENTO!$B$17:$L$184,2,0)</f>
        <v>REVESTIMENTO (FACHADA)</v>
      </c>
      <c r="D37" s="141" t="n">
        <f aca="false">E37/$E$42</f>
        <v>0.152309305135287</v>
      </c>
      <c r="E37" s="142" t="n">
        <f aca="false">VLOOKUP(B37,ORÇAMENTO!$B$17:$L$184,8,0)</f>
        <v>46730.142145115</v>
      </c>
      <c r="F37" s="143" t="n">
        <v>0</v>
      </c>
      <c r="G37" s="144" t="n">
        <f aca="false">E37-F37</f>
        <v>46730.142145115</v>
      </c>
      <c r="H37" s="145" t="n">
        <v>0</v>
      </c>
      <c r="I37" s="144" t="n">
        <f aca="false">H37*G37/100</f>
        <v>0</v>
      </c>
      <c r="J37" s="145" t="n">
        <v>0</v>
      </c>
      <c r="K37" s="144" t="n">
        <f aca="false">J37*G37/100</f>
        <v>0</v>
      </c>
      <c r="L37" s="145" t="n">
        <v>100</v>
      </c>
      <c r="M37" s="144" t="n">
        <f aca="false">L37*G37/100</f>
        <v>46730.142145115</v>
      </c>
      <c r="N37" s="142" t="n">
        <f aca="false">I37+K37+M37</f>
        <v>46730.142145115</v>
      </c>
      <c r="O37" s="146" t="n">
        <f aca="false">H37+J37+L37</f>
        <v>100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1.25" hidden="false" customHeight="false" outlineLevel="0" collapsed="false">
      <c r="A38" s="130"/>
      <c r="B38" s="139" t="str">
        <f aca="false">ORÇAMENTO!B156</f>
        <v>19.0</v>
      </c>
      <c r="C38" s="140" t="str">
        <f aca="false">VLOOKUP(B38,ORÇAMENTO!$B$17:$L$184,2,0)</f>
        <v>PINTURA (FACHADA)</v>
      </c>
      <c r="D38" s="141" t="n">
        <f aca="false">E38/$E$42</f>
        <v>0.0454614737000926</v>
      </c>
      <c r="E38" s="142" t="n">
        <f aca="false">VLOOKUP(B38,ORÇAMENTO!$B$17:$L$184,8,0)</f>
        <v>13948.07182821</v>
      </c>
      <c r="F38" s="143" t="n">
        <v>0</v>
      </c>
      <c r="G38" s="144" t="n">
        <f aca="false">E38-F38</f>
        <v>13948.07182821</v>
      </c>
      <c r="H38" s="145" t="n">
        <v>0</v>
      </c>
      <c r="I38" s="144" t="n">
        <f aca="false">H38*G38/100</f>
        <v>0</v>
      </c>
      <c r="J38" s="145" t="n">
        <v>50</v>
      </c>
      <c r="K38" s="144" t="n">
        <f aca="false">J38*G38/100</f>
        <v>6974.035914105</v>
      </c>
      <c r="L38" s="145" t="n">
        <v>50</v>
      </c>
      <c r="M38" s="144" t="n">
        <f aca="false">L38*G38/100</f>
        <v>6974.035914105</v>
      </c>
      <c r="N38" s="142" t="n">
        <f aca="false">I38+K38+M38</f>
        <v>13948.07182821</v>
      </c>
      <c r="O38" s="146" t="n">
        <f aca="false">H38+J38+L38</f>
        <v>100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1.25" hidden="false" customHeight="false" outlineLevel="0" collapsed="false">
      <c r="A39" s="130"/>
      <c r="B39" s="139" t="str">
        <f aca="false">ORÇAMENTO!B162</f>
        <v>20.0</v>
      </c>
      <c r="C39" s="140" t="str">
        <f aca="false">VLOOKUP(B39,ORÇAMENTO!$B$17:$L$184,2,0)</f>
        <v>INSTALAÇÕES (FACHADA)</v>
      </c>
      <c r="D39" s="141" t="n">
        <f aca="false">E39/$E$42</f>
        <v>0.00575488814288549</v>
      </c>
      <c r="E39" s="142" t="n">
        <f aca="false">VLOOKUP(B39,ORÇAMENTO!$B$17:$L$184,8,0)</f>
        <v>1765.6619253</v>
      </c>
      <c r="F39" s="143" t="n">
        <v>0</v>
      </c>
      <c r="G39" s="144" t="n">
        <f aca="false">E39-F39</f>
        <v>1765.6619253</v>
      </c>
      <c r="H39" s="145" t="n">
        <v>0</v>
      </c>
      <c r="I39" s="144" t="n">
        <f aca="false">H39*G39/100</f>
        <v>0</v>
      </c>
      <c r="J39" s="145" t="n">
        <v>0</v>
      </c>
      <c r="K39" s="144" t="n">
        <f aca="false">J39*G39/100</f>
        <v>0</v>
      </c>
      <c r="L39" s="145" t="n">
        <v>100</v>
      </c>
      <c r="M39" s="144" t="n">
        <f aca="false">L39*G39/100</f>
        <v>1765.6619253</v>
      </c>
      <c r="N39" s="142" t="n">
        <f aca="false">I39+K39+M39</f>
        <v>1765.6619253</v>
      </c>
      <c r="O39" s="146" t="n">
        <f aca="false">H39+J39+L39</f>
        <v>100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1.25" hidden="false" customHeight="false" outlineLevel="0" collapsed="false">
      <c r="A40" s="130"/>
      <c r="B40" s="139" t="str">
        <f aca="false">ORÇAMENTO!B167</f>
        <v>21.0</v>
      </c>
      <c r="C40" s="140" t="str">
        <f aca="false">VLOOKUP(B40,ORÇAMENTO!$B$17:$L$184,2,0)</f>
        <v>DIVERSOS (FACHADA)</v>
      </c>
      <c r="D40" s="141" t="n">
        <f aca="false">E40/$E$42</f>
        <v>0.163727065046498</v>
      </c>
      <c r="E40" s="142" t="n">
        <f aca="false">VLOOKUP(B40,ORÇAMENTO!$B$17:$L$184,8,0)</f>
        <v>50233.23437678</v>
      </c>
      <c r="F40" s="143" t="n">
        <v>0</v>
      </c>
      <c r="G40" s="144" t="n">
        <f aca="false">E40-F40</f>
        <v>50233.23437678</v>
      </c>
      <c r="H40" s="145" t="n">
        <v>30</v>
      </c>
      <c r="I40" s="144" t="n">
        <f aca="false">H40*G40/100</f>
        <v>15069.970313034</v>
      </c>
      <c r="J40" s="145" t="n">
        <v>30</v>
      </c>
      <c r="K40" s="144" t="n">
        <f aca="false">J40*G40/100</f>
        <v>15069.970313034</v>
      </c>
      <c r="L40" s="145" t="n">
        <v>40</v>
      </c>
      <c r="M40" s="144" t="n">
        <f aca="false">L40*G40/100</f>
        <v>20093.293750712</v>
      </c>
      <c r="N40" s="142" t="n">
        <f aca="false">I40+K40+M40</f>
        <v>50233.23437678</v>
      </c>
      <c r="O40" s="146" t="n">
        <f aca="false">H40+J40+L40</f>
        <v>100</v>
      </c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1.25" hidden="false" customHeight="false" outlineLevel="0" collapsed="false">
      <c r="A41" s="130"/>
      <c r="B41" s="139"/>
      <c r="C41" s="147" t="s">
        <v>390</v>
      </c>
      <c r="D41" s="148"/>
      <c r="E41" s="149"/>
      <c r="F41" s="0"/>
      <c r="G41" s="144"/>
      <c r="H41" s="150"/>
      <c r="I41" s="144"/>
      <c r="J41" s="150"/>
      <c r="K41" s="144"/>
      <c r="L41" s="150"/>
      <c r="M41" s="144"/>
      <c r="N41" s="161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162" customFormat="true" ht="11.25" hidden="false" customHeight="false" outlineLevel="0" collapsed="false">
      <c r="B42" s="139"/>
      <c r="C42" s="147" t="str">
        <f aca="false">"TOTAL GERAL COM BDI - ("&amp;BDI!$D$45&amp;" %)"</f>
        <v>TOTAL GERAL COM BDI - (24,93 %)</v>
      </c>
      <c r="D42" s="151"/>
      <c r="E42" s="152" t="n">
        <f aca="false">SUM(E33:E40)</f>
        <v>306810.815685933</v>
      </c>
      <c r="F42" s="153" t="n">
        <f aca="false">SUM(F33:F40)</f>
        <v>0</v>
      </c>
      <c r="G42" s="152" t="n">
        <f aca="false">SUM(G33:G40)</f>
        <v>306810.815685933</v>
      </c>
      <c r="H42" s="154"/>
      <c r="I42" s="152" t="n">
        <f aca="false">SUM(I33:I40)</f>
        <v>97101.1348814884</v>
      </c>
      <c r="J42" s="154" t="s">
        <v>18</v>
      </c>
      <c r="K42" s="152" t="n">
        <f aca="false">SUM(K33:K40)</f>
        <v>101255.378883846</v>
      </c>
      <c r="L42" s="154"/>
      <c r="M42" s="152" t="n">
        <f aca="false">SUM(M33:M40)</f>
        <v>108454.301920598</v>
      </c>
      <c r="N42" s="163" t="n">
        <f aca="false">SUM(N33:N40)</f>
        <v>306810.815685933</v>
      </c>
    </row>
    <row r="43" customFormat="false" ht="11.25" hidden="false" customHeight="false" outlineLevel="0" collapsed="false">
      <c r="A43" s="162"/>
      <c r="B43" s="139"/>
      <c r="C43" s="147" t="s">
        <v>389</v>
      </c>
      <c r="D43" s="141" t="n">
        <f aca="false">SUM(D33:D40)</f>
        <v>1</v>
      </c>
      <c r="E43" s="155"/>
      <c r="F43" s="151"/>
      <c r="G43" s="155"/>
      <c r="H43" s="156" t="n">
        <f aca="false">I42/$G$42</f>
        <v>0.316485371170507</v>
      </c>
      <c r="I43" s="157"/>
      <c r="J43" s="156" t="n">
        <f aca="false">K42/$G$42</f>
        <v>0.330025454472558</v>
      </c>
      <c r="K43" s="157"/>
      <c r="L43" s="156" t="n">
        <f aca="false">M42/$G$42</f>
        <v>0.353489174356935</v>
      </c>
      <c r="M43" s="157"/>
      <c r="N43" s="158" t="n">
        <f aca="false">H43+J43+L43</f>
        <v>1</v>
      </c>
      <c r="O43" s="0"/>
    </row>
    <row r="44" customFormat="false" ht="12" hidden="false" customHeight="false" outlineLevel="0" collapsed="false">
      <c r="C44" s="164"/>
      <c r="D44" s="164"/>
      <c r="E44" s="164"/>
      <c r="F44" s="164"/>
      <c r="G44" s="164"/>
      <c r="H44" s="0"/>
      <c r="I44" s="0"/>
      <c r="J44" s="0"/>
      <c r="K44" s="0"/>
      <c r="L44" s="0"/>
      <c r="M44" s="0"/>
      <c r="O44" s="162"/>
    </row>
    <row r="45" customFormat="false" ht="12" hidden="false" customHeight="false" outlineLevel="0" collapsed="false">
      <c r="D45" s="0"/>
      <c r="H45" s="0"/>
      <c r="I45" s="0"/>
      <c r="J45" s="0"/>
      <c r="K45" s="0"/>
      <c r="L45" s="0"/>
      <c r="M45" s="0"/>
      <c r="O45" s="162"/>
    </row>
    <row r="46" customFormat="false" ht="12" hidden="false" customHeight="false" outlineLevel="0" collapsed="false">
      <c r="D46" s="0"/>
      <c r="H46" s="0"/>
      <c r="I46" s="0"/>
      <c r="J46" s="0"/>
      <c r="K46" s="0"/>
      <c r="L46" s="0"/>
      <c r="M46" s="0"/>
    </row>
    <row r="47" customFormat="false" ht="12" hidden="false" customHeight="false" outlineLevel="0" collapsed="false">
      <c r="D47" s="0"/>
      <c r="H47" s="0"/>
      <c r="I47" s="0"/>
      <c r="J47" s="0"/>
      <c r="K47" s="0"/>
      <c r="L47" s="0"/>
      <c r="M47" s="0"/>
    </row>
    <row r="48" customFormat="false" ht="12" hidden="false" customHeight="false" outlineLevel="0" collapsed="false">
      <c r="D48" s="0"/>
      <c r="H48" s="108" t="s">
        <v>18</v>
      </c>
      <c r="I48" s="0"/>
      <c r="J48" s="0"/>
      <c r="K48" s="0"/>
      <c r="L48" s="0"/>
      <c r="M48" s="0"/>
    </row>
  </sheetData>
  <sheetProtection sheet="true" objects="true" scenarios="true" formatCells="false"/>
  <mergeCells count="16">
    <mergeCell ref="B2:C7"/>
    <mergeCell ref="H2:N3"/>
    <mergeCell ref="H4:N5"/>
    <mergeCell ref="H6:N7"/>
    <mergeCell ref="B9:G9"/>
    <mergeCell ref="H9:J9"/>
    <mergeCell ref="K9:N9"/>
    <mergeCell ref="B11:N11"/>
    <mergeCell ref="B13:B14"/>
    <mergeCell ref="C13:C14"/>
    <mergeCell ref="D13:D14"/>
    <mergeCell ref="E13:E14"/>
    <mergeCell ref="G13:G14"/>
    <mergeCell ref="H13:I13"/>
    <mergeCell ref="J13:K13"/>
    <mergeCell ref="L13:M13"/>
  </mergeCells>
  <conditionalFormatting sqref="O16:O28;O33:O40">
    <cfRule type="cellIs" priority="2" operator="greaterThan" aboveAverage="0" equalAverage="0" bottom="0" percent="0" rank="0" text="" dxfId="0">
      <formula>100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" activeCellId="0" sqref="B1"/>
    </sheetView>
  </sheetViews>
  <sheetFormatPr defaultRowHeight="12"/>
  <cols>
    <col collapsed="false" hidden="false" max="1" min="1" style="105" width="2.15816326530612"/>
    <col collapsed="false" hidden="false" max="2" min="2" style="106" width="5.66836734693878"/>
    <col collapsed="false" hidden="false" max="3" min="3" style="105" width="34.8265306122449"/>
    <col collapsed="false" hidden="false" max="4" min="4" style="107" width="6.75"/>
    <col collapsed="false" hidden="false" max="5" min="5" style="105" width="12.5561224489796"/>
    <col collapsed="false" hidden="false" max="6" min="6" style="105" width="10.8010204081633"/>
    <col collapsed="false" hidden="false" max="7" min="7" style="105" width="12.5561224489796"/>
    <col collapsed="false" hidden="false" max="8" min="8" style="107" width="7.1530612244898"/>
    <col collapsed="false" hidden="false" max="9" min="9" style="107" width="12.5561224489796"/>
    <col collapsed="false" hidden="false" max="10" min="10" style="107" width="7.1530612244898"/>
    <col collapsed="false" hidden="false" max="11" min="11" style="107" width="12.5561224489796"/>
    <col collapsed="false" hidden="false" max="12" min="12" style="107" width="7.1530612244898"/>
    <col collapsed="false" hidden="false" max="13" min="13" style="107" width="12.5561224489796"/>
    <col collapsed="false" hidden="false" max="14" min="14" style="105" width="12.5561224489796"/>
    <col collapsed="false" hidden="false" max="250" min="15" style="105" width="11.2040816326531"/>
    <col collapsed="false" hidden="false" max="251" min="251" style="105" width="7.56122448979592"/>
    <col collapsed="false" hidden="false" max="252" min="252" style="105" width="5.66836734693878"/>
    <col collapsed="false" hidden="false" max="253" min="253" style="105" width="22.1377551020408"/>
    <col collapsed="false" hidden="false" max="254" min="254" style="105" width="6.75"/>
    <col collapsed="false" hidden="false" max="257" min="255" style="105" width="10.8010204081633"/>
    <col collapsed="false" hidden="false" max="258" min="258" style="105" width="6.88265306122449"/>
    <col collapsed="false" hidden="false" max="259" min="259" style="105" width="10.530612244898"/>
    <col collapsed="false" hidden="false" max="260" min="260" style="105" width="6.88265306122449"/>
    <col collapsed="false" hidden="false" max="261" min="261" style="105" width="10.530612244898"/>
    <col collapsed="false" hidden="false" max="262" min="262" style="105" width="6.3469387755102"/>
    <col collapsed="false" hidden="false" max="263" min="263" style="105" width="10.530612244898"/>
    <col collapsed="false" hidden="false" max="264" min="264" style="105" width="6.47959183673469"/>
    <col collapsed="false" hidden="false" max="265" min="265" style="105" width="10.530612244898"/>
    <col collapsed="false" hidden="false" max="266" min="266" style="105" width="6.20918367346939"/>
    <col collapsed="false" hidden="false" max="267" min="267" style="105" width="10.530612244898"/>
    <col collapsed="false" hidden="false" max="268" min="268" style="105" width="6.88265306122449"/>
    <col collapsed="false" hidden="false" max="270" min="269" style="105" width="10.530612244898"/>
    <col collapsed="false" hidden="false" max="506" min="271" style="105" width="11.2040816326531"/>
    <col collapsed="false" hidden="false" max="507" min="507" style="105" width="7.56122448979592"/>
    <col collapsed="false" hidden="false" max="508" min="508" style="105" width="5.66836734693878"/>
    <col collapsed="false" hidden="false" max="509" min="509" style="105" width="22.1377551020408"/>
    <col collapsed="false" hidden="false" max="510" min="510" style="105" width="6.75"/>
    <col collapsed="false" hidden="false" max="513" min="511" style="105" width="10.8010204081633"/>
    <col collapsed="false" hidden="false" max="514" min="514" style="105" width="6.88265306122449"/>
    <col collapsed="false" hidden="false" max="515" min="515" style="105" width="10.530612244898"/>
    <col collapsed="false" hidden="false" max="516" min="516" style="105" width="6.88265306122449"/>
    <col collapsed="false" hidden="false" max="517" min="517" style="105" width="10.530612244898"/>
    <col collapsed="false" hidden="false" max="518" min="518" style="105" width="6.3469387755102"/>
    <col collapsed="false" hidden="false" max="519" min="519" style="105" width="10.530612244898"/>
    <col collapsed="false" hidden="false" max="520" min="520" style="105" width="6.47959183673469"/>
    <col collapsed="false" hidden="false" max="521" min="521" style="105" width="10.530612244898"/>
    <col collapsed="false" hidden="false" max="522" min="522" style="105" width="6.20918367346939"/>
    <col collapsed="false" hidden="false" max="523" min="523" style="105" width="10.530612244898"/>
    <col collapsed="false" hidden="false" max="524" min="524" style="105" width="6.88265306122449"/>
    <col collapsed="false" hidden="false" max="526" min="525" style="105" width="10.530612244898"/>
    <col collapsed="false" hidden="false" max="762" min="527" style="105" width="11.2040816326531"/>
    <col collapsed="false" hidden="false" max="763" min="763" style="105" width="7.56122448979592"/>
    <col collapsed="false" hidden="false" max="764" min="764" style="105" width="5.66836734693878"/>
    <col collapsed="false" hidden="false" max="765" min="765" style="105" width="22.1377551020408"/>
    <col collapsed="false" hidden="false" max="766" min="766" style="105" width="6.75"/>
    <col collapsed="false" hidden="false" max="769" min="767" style="105" width="10.8010204081633"/>
    <col collapsed="false" hidden="false" max="770" min="770" style="105" width="6.88265306122449"/>
    <col collapsed="false" hidden="false" max="771" min="771" style="105" width="10.530612244898"/>
    <col collapsed="false" hidden="false" max="772" min="772" style="105" width="6.88265306122449"/>
    <col collapsed="false" hidden="false" max="773" min="773" style="105" width="10.530612244898"/>
    <col collapsed="false" hidden="false" max="774" min="774" style="105" width="6.3469387755102"/>
    <col collapsed="false" hidden="false" max="775" min="775" style="105" width="10.530612244898"/>
    <col collapsed="false" hidden="false" max="776" min="776" style="105" width="6.47959183673469"/>
    <col collapsed="false" hidden="false" max="777" min="777" style="105" width="10.530612244898"/>
    <col collapsed="false" hidden="false" max="778" min="778" style="105" width="6.20918367346939"/>
    <col collapsed="false" hidden="false" max="779" min="779" style="105" width="10.530612244898"/>
    <col collapsed="false" hidden="false" max="780" min="780" style="105" width="6.88265306122449"/>
    <col collapsed="false" hidden="false" max="782" min="781" style="105" width="10.530612244898"/>
    <col collapsed="false" hidden="false" max="1018" min="783" style="105" width="11.2040816326531"/>
    <col collapsed="false" hidden="false" max="1019" min="1019" style="105" width="7.56122448979592"/>
    <col collapsed="false" hidden="false" max="1020" min="1020" style="105" width="5.66836734693878"/>
    <col collapsed="false" hidden="false" max="1021" min="1021" style="105" width="22.1377551020408"/>
    <col collapsed="false" hidden="false" max="1022" min="1022" style="105" width="6.75"/>
    <col collapsed="false" hidden="false" max="1025" min="1023" style="105" width="10.8010204081633"/>
  </cols>
  <sheetData>
    <row r="1" customFormat="false" ht="7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108" t="s">
        <v>18</v>
      </c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.95" hidden="false" customHeight="true" outlineLevel="0" collapsed="false">
      <c r="A2" s="0"/>
      <c r="B2" s="109"/>
      <c r="C2" s="109"/>
      <c r="D2" s="110"/>
      <c r="E2" s="110"/>
      <c r="F2" s="110"/>
      <c r="G2" s="111"/>
      <c r="H2" s="112" t="s">
        <v>19</v>
      </c>
      <c r="I2" s="112"/>
      <c r="J2" s="112"/>
      <c r="K2" s="112"/>
      <c r="L2" s="112"/>
      <c r="M2" s="112"/>
      <c r="N2" s="112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95" hidden="false" customHeight="true" outlineLevel="0" collapsed="false">
      <c r="A3" s="0"/>
      <c r="B3" s="109"/>
      <c r="C3" s="109"/>
      <c r="D3" s="113"/>
      <c r="E3" s="113"/>
      <c r="F3" s="113"/>
      <c r="G3" s="114"/>
      <c r="H3" s="112"/>
      <c r="I3" s="112"/>
      <c r="J3" s="112"/>
      <c r="K3" s="112"/>
      <c r="L3" s="112"/>
      <c r="M3" s="112"/>
      <c r="N3" s="112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95" hidden="false" customHeight="true" outlineLevel="0" collapsed="false">
      <c r="A4" s="0"/>
      <c r="B4" s="109"/>
      <c r="C4" s="109"/>
      <c r="D4" s="113"/>
      <c r="E4" s="113"/>
      <c r="F4" s="113"/>
      <c r="G4" s="115"/>
      <c r="H4" s="116" t="s">
        <v>20</v>
      </c>
      <c r="I4" s="116"/>
      <c r="J4" s="116"/>
      <c r="K4" s="116"/>
      <c r="L4" s="116"/>
      <c r="M4" s="116"/>
      <c r="N4" s="116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.95" hidden="false" customHeight="true" outlineLevel="0" collapsed="false">
      <c r="A5" s="0"/>
      <c r="B5" s="109"/>
      <c r="C5" s="109"/>
      <c r="D5" s="113"/>
      <c r="E5" s="113"/>
      <c r="F5" s="113"/>
      <c r="G5" s="115"/>
      <c r="H5" s="116"/>
      <c r="I5" s="116"/>
      <c r="J5" s="116"/>
      <c r="K5" s="116"/>
      <c r="L5" s="116"/>
      <c r="M5" s="116"/>
      <c r="N5" s="116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.95" hidden="false" customHeight="true" outlineLevel="0" collapsed="false">
      <c r="A6" s="0"/>
      <c r="B6" s="109"/>
      <c r="C6" s="109"/>
      <c r="D6" s="113"/>
      <c r="E6" s="113"/>
      <c r="F6" s="113"/>
      <c r="G6" s="117"/>
      <c r="H6" s="116" t="s">
        <v>21</v>
      </c>
      <c r="I6" s="116"/>
      <c r="J6" s="116"/>
      <c r="K6" s="116"/>
      <c r="L6" s="116"/>
      <c r="M6" s="116"/>
      <c r="N6" s="116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.95" hidden="false" customHeight="true" outlineLevel="0" collapsed="false">
      <c r="A7" s="0"/>
      <c r="B7" s="109"/>
      <c r="C7" s="109"/>
      <c r="D7" s="118"/>
      <c r="E7" s="118"/>
      <c r="F7" s="118"/>
      <c r="G7" s="119"/>
      <c r="H7" s="116"/>
      <c r="I7" s="116"/>
      <c r="J7" s="116"/>
      <c r="K7" s="116"/>
      <c r="L7" s="116"/>
      <c r="M7" s="116"/>
      <c r="N7" s="116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4.25" hidden="false" customHeight="false" outlineLevel="0" collapsed="false">
      <c r="A8" s="0"/>
      <c r="B8" s="120"/>
      <c r="C8" s="120"/>
      <c r="D8" s="120"/>
      <c r="E8" s="120"/>
      <c r="F8" s="120"/>
      <c r="G8" s="120"/>
      <c r="H8" s="121"/>
      <c r="I8" s="121"/>
      <c r="J8" s="121"/>
      <c r="K8" s="122"/>
      <c r="L8" s="122"/>
      <c r="M8" s="122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0" hidden="false" customHeight="true" outlineLevel="0" collapsed="false">
      <c r="A9" s="0"/>
      <c r="B9" s="123" t="str">
        <f aca="false">ORÇAMENTO!B9</f>
        <v>OBRA: REFORMA E URBANIZAÇÃO DA FACHADA E ACESSO PRINCIPAL DO HOSPITAL REGIONAL CHAGAS RODRIGUES</v>
      </c>
      <c r="C9" s="123"/>
      <c r="D9" s="123"/>
      <c r="E9" s="123"/>
      <c r="F9" s="123"/>
      <c r="G9" s="123"/>
      <c r="H9" s="124" t="str">
        <f aca="false">ORÇAMENTO!F9</f>
        <v>MUNICÍPIO: PIRIPIRI - PI</v>
      </c>
      <c r="I9" s="124"/>
      <c r="J9" s="124"/>
      <c r="K9" s="125" t="str">
        <f aca="false">ORÇAMENTO!F10</f>
        <v>DATA BASE: SETEMBRO 2015 - DESONERADA</v>
      </c>
      <c r="L9" s="125"/>
      <c r="M9" s="125"/>
      <c r="N9" s="125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0"/>
      <c r="B10" s="126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false" outlineLevel="0" collapsed="false">
      <c r="A11" s="0"/>
      <c r="B11" s="129" t="s">
        <v>391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130" customFormat="true" ht="12" hidden="false" customHeight="false" outlineLevel="0" collapsed="false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2"/>
    </row>
    <row r="13" customFormat="false" ht="11.25" hidden="false" customHeight="true" outlineLevel="0" collapsed="false">
      <c r="A13" s="130"/>
      <c r="B13" s="133" t="s">
        <v>27</v>
      </c>
      <c r="C13" s="133" t="s">
        <v>379</v>
      </c>
      <c r="D13" s="133" t="s">
        <v>380</v>
      </c>
      <c r="E13" s="133" t="s">
        <v>381</v>
      </c>
      <c r="F13" s="133" t="s">
        <v>382</v>
      </c>
      <c r="G13" s="134" t="s">
        <v>383</v>
      </c>
      <c r="H13" s="133" t="s">
        <v>384</v>
      </c>
      <c r="I13" s="133"/>
      <c r="J13" s="133" t="s">
        <v>385</v>
      </c>
      <c r="K13" s="133"/>
      <c r="L13" s="133" t="s">
        <v>386</v>
      </c>
      <c r="M13" s="133"/>
      <c r="N13" s="135" t="s">
        <v>331</v>
      </c>
      <c r="O13" s="0"/>
    </row>
    <row r="14" customFormat="false" ht="11.25" hidden="false" customHeight="false" outlineLevel="0" collapsed="false">
      <c r="A14" s="130"/>
      <c r="B14" s="133"/>
      <c r="C14" s="133"/>
      <c r="D14" s="133"/>
      <c r="E14" s="133"/>
      <c r="F14" s="133" t="s">
        <v>387</v>
      </c>
      <c r="G14" s="134"/>
      <c r="H14" s="133" t="s">
        <v>33</v>
      </c>
      <c r="I14" s="133" t="s">
        <v>387</v>
      </c>
      <c r="J14" s="133" t="s">
        <v>33</v>
      </c>
      <c r="K14" s="133" t="s">
        <v>387</v>
      </c>
      <c r="L14" s="133" t="s">
        <v>33</v>
      </c>
      <c r="M14" s="133" t="s">
        <v>387</v>
      </c>
      <c r="N14" s="136"/>
      <c r="O14" s="0"/>
    </row>
    <row r="15" customFormat="false" ht="11.25" hidden="false" customHeight="false" outlineLevel="0" collapsed="false">
      <c r="A15" s="130"/>
      <c r="B15" s="137"/>
      <c r="C15" s="0"/>
      <c r="D15" s="138"/>
      <c r="E15" s="0"/>
      <c r="F15" s="0"/>
      <c r="G15" s="0"/>
      <c r="H15" s="138"/>
      <c r="I15" s="138"/>
      <c r="J15" s="138"/>
      <c r="K15" s="138"/>
      <c r="L15" s="138"/>
      <c r="M15" s="138"/>
      <c r="N15" s="136"/>
      <c r="O15" s="0"/>
    </row>
    <row r="16" customFormat="false" ht="11.25" hidden="false" customHeight="false" outlineLevel="0" collapsed="false">
      <c r="A16" s="130"/>
      <c r="B16" s="139" t="s">
        <v>38</v>
      </c>
      <c r="C16" s="140" t="s">
        <v>392</v>
      </c>
      <c r="D16" s="141" t="n">
        <f aca="false">E16/$E$30</f>
        <v>0.0524644855353488</v>
      </c>
      <c r="E16" s="142" t="n">
        <f aca="false">CRONOGRAMA!E16+CRONOGRAMA!E33</f>
        <v>26147.762523454</v>
      </c>
      <c r="F16" s="143" t="n">
        <v>0</v>
      </c>
      <c r="G16" s="144" t="n">
        <f aca="false">E16-F16</f>
        <v>26147.762523454</v>
      </c>
      <c r="H16" s="165" t="n">
        <v>100</v>
      </c>
      <c r="I16" s="144" t="n">
        <f aca="false">H16*G16/100</f>
        <v>26147.762523454</v>
      </c>
      <c r="J16" s="165" t="n">
        <v>0</v>
      </c>
      <c r="K16" s="144" t="n">
        <f aca="false">J16*G16/100</f>
        <v>0</v>
      </c>
      <c r="L16" s="165" t="n">
        <v>0</v>
      </c>
      <c r="M16" s="144" t="n">
        <f aca="false">L16*G16/100</f>
        <v>0</v>
      </c>
      <c r="N16" s="142" t="n">
        <f aca="false">I16+K16+M16</f>
        <v>26147.762523454</v>
      </c>
      <c r="O16" s="146" t="n">
        <f aca="false">H16+J16+L16</f>
        <v>100</v>
      </c>
    </row>
    <row r="17" customFormat="false" ht="11.25" hidden="false" customHeight="false" outlineLevel="0" collapsed="false">
      <c r="A17" s="130"/>
      <c r="B17" s="139" t="s">
        <v>59</v>
      </c>
      <c r="C17" s="140" t="s">
        <v>393</v>
      </c>
      <c r="D17" s="141" t="n">
        <f aca="false">E17/$E$30</f>
        <v>0.0108026420257225</v>
      </c>
      <c r="E17" s="142" t="n">
        <f aca="false">CRONOGRAMA!E17</f>
        <v>5383.92620135695</v>
      </c>
      <c r="F17" s="143" t="n">
        <v>0</v>
      </c>
      <c r="G17" s="144" t="n">
        <f aca="false">E17-F17</f>
        <v>5383.92620135695</v>
      </c>
      <c r="H17" s="165" t="n">
        <v>100</v>
      </c>
      <c r="I17" s="144" t="n">
        <f aca="false">H17*G17/100</f>
        <v>5383.92620135695</v>
      </c>
      <c r="J17" s="165" t="n">
        <v>0</v>
      </c>
      <c r="K17" s="144" t="n">
        <f aca="false">J17*G17/100</f>
        <v>0</v>
      </c>
      <c r="L17" s="165" t="n">
        <v>0</v>
      </c>
      <c r="M17" s="144" t="n">
        <f aca="false">L17*G17/100</f>
        <v>0</v>
      </c>
      <c r="N17" s="142" t="n">
        <f aca="false">I17+K17+M17</f>
        <v>5383.92620135695</v>
      </c>
      <c r="O17" s="146" t="n">
        <f aca="false">H17+J17+L17</f>
        <v>100</v>
      </c>
    </row>
    <row r="18" customFormat="false" ht="11.25" hidden="false" customHeight="false" outlineLevel="0" collapsed="false">
      <c r="A18" s="130"/>
      <c r="B18" s="139" t="s">
        <v>70</v>
      </c>
      <c r="C18" s="140" t="s">
        <v>394</v>
      </c>
      <c r="D18" s="141" t="n">
        <f aca="false">E18/$E$30</f>
        <v>0.0120393947259575</v>
      </c>
      <c r="E18" s="142" t="n">
        <f aca="false">CRONOGRAMA!E18</f>
        <v>6000.3110867895</v>
      </c>
      <c r="F18" s="143" t="n">
        <v>0</v>
      </c>
      <c r="G18" s="144" t="n">
        <f aca="false">E18-F18</f>
        <v>6000.3110867895</v>
      </c>
      <c r="H18" s="165" t="n">
        <v>100</v>
      </c>
      <c r="I18" s="144" t="n">
        <f aca="false">H18*G18/100</f>
        <v>6000.3110867895</v>
      </c>
      <c r="J18" s="165" t="n">
        <v>0</v>
      </c>
      <c r="K18" s="144" t="n">
        <f aca="false">J18*G18/100</f>
        <v>0</v>
      </c>
      <c r="L18" s="165" t="n">
        <v>0</v>
      </c>
      <c r="M18" s="144" t="n">
        <f aca="false">L18*G18/100</f>
        <v>0</v>
      </c>
      <c r="N18" s="142" t="n">
        <f aca="false">I18+K18+M18</f>
        <v>6000.3110867895</v>
      </c>
      <c r="O18" s="146" t="n">
        <f aca="false">H18+J18+L18</f>
        <v>100</v>
      </c>
    </row>
    <row r="19" customFormat="false" ht="11.25" hidden="false" customHeight="false" outlineLevel="0" collapsed="false">
      <c r="A19" s="130"/>
      <c r="B19" s="139" t="s">
        <v>78</v>
      </c>
      <c r="C19" s="140" t="s">
        <v>395</v>
      </c>
      <c r="D19" s="141" t="n">
        <f aca="false">E19/$E$30</f>
        <v>0.00746882248851939</v>
      </c>
      <c r="E19" s="142" t="n">
        <f aca="false">CRONOGRAMA!E19</f>
        <v>3722.38467159</v>
      </c>
      <c r="F19" s="143" t="n">
        <v>0</v>
      </c>
      <c r="G19" s="144" t="n">
        <f aca="false">E19-F19</f>
        <v>3722.38467159</v>
      </c>
      <c r="H19" s="165" t="n">
        <v>60</v>
      </c>
      <c r="I19" s="144" t="n">
        <f aca="false">H19*G19/100</f>
        <v>2233.430802954</v>
      </c>
      <c r="J19" s="165" t="n">
        <v>40</v>
      </c>
      <c r="K19" s="144" t="n">
        <f aca="false">J19*G19/100</f>
        <v>1488.953868636</v>
      </c>
      <c r="L19" s="165" t="n">
        <v>0</v>
      </c>
      <c r="M19" s="144" t="n">
        <f aca="false">L19*G19/100</f>
        <v>0</v>
      </c>
      <c r="N19" s="142" t="n">
        <f aca="false">I19+K19+M19</f>
        <v>3722.38467159</v>
      </c>
      <c r="O19" s="146" t="n">
        <f aca="false">H19+J19+L19</f>
        <v>100</v>
      </c>
    </row>
    <row r="20" customFormat="false" ht="11.25" hidden="false" customHeight="false" outlineLevel="0" collapsed="false">
      <c r="A20" s="130"/>
      <c r="B20" s="139" t="s">
        <v>91</v>
      </c>
      <c r="C20" s="140" t="s">
        <v>396</v>
      </c>
      <c r="D20" s="141" t="n">
        <f aca="false">E20/$E$30</f>
        <v>0.0518488006542005</v>
      </c>
      <c r="E20" s="142" t="n">
        <f aca="false">CRONOGRAMA!E20+CRONOGRAMA!E34</f>
        <v>25840.91148132</v>
      </c>
      <c r="F20" s="143" t="n">
        <v>0</v>
      </c>
      <c r="G20" s="144" t="n">
        <f aca="false">E20-F20</f>
        <v>25840.91148132</v>
      </c>
      <c r="H20" s="165" t="n">
        <v>90</v>
      </c>
      <c r="I20" s="144" t="n">
        <f aca="false">H20*G20/100</f>
        <v>23256.820333188</v>
      </c>
      <c r="J20" s="165" t="n">
        <v>10</v>
      </c>
      <c r="K20" s="144" t="n">
        <f aca="false">J20*G20/100</f>
        <v>2584.091148132</v>
      </c>
      <c r="L20" s="165" t="n">
        <v>0</v>
      </c>
      <c r="M20" s="144" t="n">
        <f aca="false">L20*G20/100</f>
        <v>0</v>
      </c>
      <c r="N20" s="142" t="n">
        <f aca="false">I20+K20+M20</f>
        <v>25840.91148132</v>
      </c>
      <c r="O20" s="146" t="n">
        <f aca="false">H20+J20+L20</f>
        <v>100</v>
      </c>
    </row>
    <row r="21" customFormat="false" ht="11.25" hidden="false" customHeight="false" outlineLevel="0" collapsed="false">
      <c r="A21" s="130"/>
      <c r="B21" s="139" t="s">
        <v>95</v>
      </c>
      <c r="C21" s="140" t="s">
        <v>397</v>
      </c>
      <c r="D21" s="141" t="n">
        <f aca="false">E21/$E$30</f>
        <v>0.322539059949637</v>
      </c>
      <c r="E21" s="142" t="n">
        <f aca="false">CRONOGRAMA!E21+CRONOGRAMA!E35</f>
        <v>160750.1657177</v>
      </c>
      <c r="F21" s="143" t="n">
        <v>0</v>
      </c>
      <c r="G21" s="144" t="n">
        <f aca="false">E21-F21</f>
        <v>160750.1657177</v>
      </c>
      <c r="H21" s="165" t="n">
        <v>40</v>
      </c>
      <c r="I21" s="144" t="n">
        <f aca="false">H21*G21/100</f>
        <v>64300.06628708</v>
      </c>
      <c r="J21" s="165" t="n">
        <v>50</v>
      </c>
      <c r="K21" s="144" t="n">
        <f aca="false">J21*G21/100</f>
        <v>80375.08285885</v>
      </c>
      <c r="L21" s="165" t="n">
        <v>10</v>
      </c>
      <c r="M21" s="144" t="n">
        <f aca="false">L21*G21/100</f>
        <v>16075.01657177</v>
      </c>
      <c r="N21" s="142" t="n">
        <f aca="false">I21+K21+M21</f>
        <v>160750.1657177</v>
      </c>
      <c r="O21" s="146" t="n">
        <f aca="false">H21+J21+L21</f>
        <v>100</v>
      </c>
    </row>
    <row r="22" customFormat="false" ht="11.25" hidden="false" customHeight="false" outlineLevel="0" collapsed="false">
      <c r="A22" s="130"/>
      <c r="B22" s="139" t="s">
        <v>113</v>
      </c>
      <c r="C22" s="140" t="s">
        <v>398</v>
      </c>
      <c r="D22" s="141" t="n">
        <f aca="false">E22/$E$30</f>
        <v>0.0445019582723654</v>
      </c>
      <c r="E22" s="142" t="n">
        <f aca="false">CRONOGRAMA!E22+CRONOGRAMA!E36</f>
        <v>22179.320446218</v>
      </c>
      <c r="F22" s="143" t="n">
        <v>0</v>
      </c>
      <c r="G22" s="144" t="n">
        <f aca="false">E22-F22</f>
        <v>22179.320446218</v>
      </c>
      <c r="H22" s="165" t="n">
        <v>30</v>
      </c>
      <c r="I22" s="144" t="n">
        <f aca="false">H22*G22/100</f>
        <v>6653.7961338654</v>
      </c>
      <c r="J22" s="165" t="n">
        <v>40</v>
      </c>
      <c r="K22" s="144" t="n">
        <f aca="false">J22*G22/100</f>
        <v>8871.7281784872</v>
      </c>
      <c r="L22" s="165" t="n">
        <v>30</v>
      </c>
      <c r="M22" s="144" t="n">
        <f aca="false">L22*G22/100</f>
        <v>6653.7961338654</v>
      </c>
      <c r="N22" s="142" t="n">
        <f aca="false">I22+K22+M22</f>
        <v>22179.320446218</v>
      </c>
      <c r="O22" s="146" t="n">
        <f aca="false">H22+J22+L22</f>
        <v>100</v>
      </c>
    </row>
    <row r="23" customFormat="false" ht="11.25" hidden="false" customHeight="false" outlineLevel="0" collapsed="false">
      <c r="A23" s="130"/>
      <c r="B23" s="139" t="s">
        <v>127</v>
      </c>
      <c r="C23" s="140" t="s">
        <v>399</v>
      </c>
      <c r="D23" s="141" t="n">
        <f aca="false">E23/$E$30</f>
        <v>0.130680562060518</v>
      </c>
      <c r="E23" s="142" t="n">
        <f aca="false">CRONOGRAMA!E23+CRONOGRAMA!E37</f>
        <v>65129.854382879</v>
      </c>
      <c r="F23" s="143" t="n">
        <v>0</v>
      </c>
      <c r="G23" s="144" t="n">
        <f aca="false">E23-F23</f>
        <v>65129.854382879</v>
      </c>
      <c r="H23" s="165" t="n">
        <v>0</v>
      </c>
      <c r="I23" s="144" t="n">
        <f aca="false">H23*G23/100</f>
        <v>0</v>
      </c>
      <c r="J23" s="165" t="n">
        <v>35</v>
      </c>
      <c r="K23" s="144" t="n">
        <f aca="false">J23*G23/100</f>
        <v>22795.4490340077</v>
      </c>
      <c r="L23" s="165" t="n">
        <v>65</v>
      </c>
      <c r="M23" s="144" t="n">
        <f aca="false">L23*G23/100</f>
        <v>42334.4053488713</v>
      </c>
      <c r="N23" s="142" t="n">
        <f aca="false">I23+K23+M23</f>
        <v>65129.854382879</v>
      </c>
      <c r="O23" s="146" t="n">
        <f aca="false">H23+J23+L23</f>
        <v>100</v>
      </c>
    </row>
    <row r="24" customFormat="false" ht="11.25" hidden="false" customHeight="false" outlineLevel="0" collapsed="false">
      <c r="A24" s="130"/>
      <c r="B24" s="139" t="s">
        <v>146</v>
      </c>
      <c r="C24" s="140" t="s">
        <v>400</v>
      </c>
      <c r="D24" s="141" t="n">
        <f aca="false">E24/$E$30</f>
        <v>0.0396561763240132</v>
      </c>
      <c r="E24" s="142" t="n">
        <f aca="false">CRONOGRAMA!E24+CRONOGRAMA!E38</f>
        <v>19764.23232836</v>
      </c>
      <c r="F24" s="143" t="n">
        <v>0</v>
      </c>
      <c r="G24" s="144" t="n">
        <f aca="false">E24-F24</f>
        <v>19764.23232836</v>
      </c>
      <c r="H24" s="165" t="n">
        <v>0</v>
      </c>
      <c r="I24" s="144" t="n">
        <f aca="false">H24*G24/100</f>
        <v>0</v>
      </c>
      <c r="J24" s="165" t="n">
        <v>35</v>
      </c>
      <c r="K24" s="144" t="n">
        <f aca="false">J24*G24/100</f>
        <v>6917.481314926</v>
      </c>
      <c r="L24" s="165" t="n">
        <v>65</v>
      </c>
      <c r="M24" s="144" t="n">
        <f aca="false">L24*G24/100</f>
        <v>12846.751013434</v>
      </c>
      <c r="N24" s="142" t="n">
        <f aca="false">I24+K24+M24</f>
        <v>19764.23232836</v>
      </c>
      <c r="O24" s="146" t="n">
        <f aca="false">H24+J24+L24</f>
        <v>100</v>
      </c>
    </row>
    <row r="25" customFormat="false" ht="11.25" hidden="false" customHeight="false" outlineLevel="0" collapsed="false">
      <c r="A25" s="130"/>
      <c r="B25" s="139" t="s">
        <v>166</v>
      </c>
      <c r="C25" s="140" t="s">
        <v>401</v>
      </c>
      <c r="D25" s="141" t="n">
        <f aca="false">E25/$E$30</f>
        <v>0.198442471516595</v>
      </c>
      <c r="E25" s="142" t="n">
        <f aca="false">CRONOGRAMA!E25</f>
        <v>98901.69639207</v>
      </c>
      <c r="F25" s="143" t="n">
        <v>0</v>
      </c>
      <c r="G25" s="144" t="n">
        <f aca="false">E25-F25</f>
        <v>98901.69639207</v>
      </c>
      <c r="H25" s="165" t="n">
        <v>0</v>
      </c>
      <c r="I25" s="144" t="n">
        <f aca="false">H25*G25/100</f>
        <v>0</v>
      </c>
      <c r="J25" s="165" t="n">
        <v>40</v>
      </c>
      <c r="K25" s="144" t="n">
        <f aca="false">J25*G25/100</f>
        <v>39560.678556828</v>
      </c>
      <c r="L25" s="165" t="n">
        <v>60</v>
      </c>
      <c r="M25" s="144" t="n">
        <f aca="false">L25*G25/100</f>
        <v>59341.017835242</v>
      </c>
      <c r="N25" s="142" t="n">
        <f aca="false">I25+K25+M25</f>
        <v>98901.69639207</v>
      </c>
      <c r="O25" s="146" t="n">
        <f aca="false">H25+J25+L25</f>
        <v>100</v>
      </c>
    </row>
    <row r="26" customFormat="false" ht="11.25" hidden="false" customHeight="false" outlineLevel="0" collapsed="false">
      <c r="A26" s="130"/>
      <c r="B26" s="139" t="s">
        <v>182</v>
      </c>
      <c r="C26" s="140" t="s">
        <v>402</v>
      </c>
      <c r="D26" s="141" t="n">
        <f aca="false">E26/$E$30</f>
        <v>0.016853861877941</v>
      </c>
      <c r="E26" s="142" t="n">
        <f aca="false">CRONOGRAMA!E26+CRONOGRAMA!E39</f>
        <v>8399.7922307</v>
      </c>
      <c r="F26" s="143" t="n">
        <v>0</v>
      </c>
      <c r="G26" s="144" t="n">
        <f aca="false">E26-F26</f>
        <v>8399.7922307</v>
      </c>
      <c r="H26" s="165" t="n">
        <v>0</v>
      </c>
      <c r="I26" s="144" t="n">
        <f aca="false">H26*G26/100</f>
        <v>0</v>
      </c>
      <c r="J26" s="165" t="n">
        <v>35</v>
      </c>
      <c r="K26" s="144" t="n">
        <f aca="false">J26*G26/100</f>
        <v>2939.927280745</v>
      </c>
      <c r="L26" s="165" t="n">
        <v>65</v>
      </c>
      <c r="M26" s="144" t="n">
        <f aca="false">L26*G26/100</f>
        <v>5459.864949955</v>
      </c>
      <c r="N26" s="142" t="n">
        <f aca="false">I26+K26+M26</f>
        <v>8399.7922307</v>
      </c>
      <c r="O26" s="146" t="n">
        <f aca="false">H26+J26+L26</f>
        <v>100</v>
      </c>
    </row>
    <row r="27" customFormat="false" ht="11.25" hidden="false" customHeight="false" outlineLevel="0" collapsed="false">
      <c r="A27" s="130"/>
      <c r="B27" s="139" t="s">
        <v>223</v>
      </c>
      <c r="C27" s="140" t="s">
        <v>403</v>
      </c>
      <c r="D27" s="141" t="n">
        <f aca="false">E27/$E$30</f>
        <v>0.00197753913850699</v>
      </c>
      <c r="E27" s="142" t="n">
        <f aca="false">CRONOGRAMA!E27</f>
        <v>985.585263</v>
      </c>
      <c r="F27" s="143" t="n">
        <v>0</v>
      </c>
      <c r="G27" s="144" t="n">
        <f aca="false">E27-F27</f>
        <v>985.585263</v>
      </c>
      <c r="H27" s="165" t="n">
        <v>0</v>
      </c>
      <c r="I27" s="144" t="n">
        <f aca="false">H27*G27/100</f>
        <v>0</v>
      </c>
      <c r="J27" s="165" t="n">
        <v>50</v>
      </c>
      <c r="K27" s="144" t="n">
        <f aca="false">J27*G27/100</f>
        <v>492.7926315</v>
      </c>
      <c r="L27" s="165" t="n">
        <v>50</v>
      </c>
      <c r="M27" s="144" t="n">
        <f aca="false">L27*G27/100</f>
        <v>492.7926315</v>
      </c>
      <c r="N27" s="142" t="n">
        <f aca="false">I27+K27+M27</f>
        <v>985.585263</v>
      </c>
      <c r="O27" s="146" t="n">
        <f aca="false">H27+J27+L27</f>
        <v>100</v>
      </c>
    </row>
    <row r="28" customFormat="false" ht="11.25" hidden="false" customHeight="false" outlineLevel="0" collapsed="false">
      <c r="A28" s="130"/>
      <c r="B28" s="139" t="s">
        <v>245</v>
      </c>
      <c r="C28" s="140" t="s">
        <v>404</v>
      </c>
      <c r="D28" s="141" t="n">
        <f aca="false">E28/$E$30</f>
        <v>0.110724225430674</v>
      </c>
      <c r="E28" s="142" t="n">
        <f aca="false">CRONOGRAMA!E28+CRONOGRAMA!E40</f>
        <v>55183.82049518</v>
      </c>
      <c r="F28" s="143" t="n">
        <v>0</v>
      </c>
      <c r="G28" s="144" t="n">
        <f aca="false">E28-F28</f>
        <v>55183.82049518</v>
      </c>
      <c r="H28" s="165" t="n">
        <v>30</v>
      </c>
      <c r="I28" s="144" t="n">
        <f aca="false">H28*G28/100</f>
        <v>16555.146148554</v>
      </c>
      <c r="J28" s="165" t="n">
        <v>30</v>
      </c>
      <c r="K28" s="144" t="n">
        <f aca="false">J28*G28/100</f>
        <v>16555.146148554</v>
      </c>
      <c r="L28" s="165" t="n">
        <v>40</v>
      </c>
      <c r="M28" s="144" t="n">
        <f aca="false">L28*G28/100</f>
        <v>22073.528198072</v>
      </c>
      <c r="N28" s="142" t="n">
        <f aca="false">I28+K28+M28</f>
        <v>55183.82049518</v>
      </c>
      <c r="O28" s="146" t="n">
        <f aca="false">H28+J28+L28</f>
        <v>100</v>
      </c>
    </row>
    <row r="29" customFormat="false" ht="11.25" hidden="false" customHeight="false" outlineLevel="0" collapsed="false">
      <c r="A29" s="130"/>
      <c r="B29" s="139"/>
      <c r="C29" s="140"/>
      <c r="D29" s="148"/>
      <c r="E29" s="144"/>
      <c r="F29" s="143"/>
      <c r="G29" s="144"/>
      <c r="H29" s="150"/>
      <c r="I29" s="144"/>
      <c r="J29" s="150"/>
      <c r="K29" s="144"/>
      <c r="L29" s="150"/>
      <c r="M29" s="144"/>
      <c r="N29" s="144"/>
      <c r="O29" s="146"/>
    </row>
    <row r="30" customFormat="false" ht="11.25" hidden="false" customHeight="false" outlineLevel="0" collapsed="false">
      <c r="A30" s="130"/>
      <c r="B30" s="139"/>
      <c r="C30" s="147" t="str">
        <f aca="false">"TOTAL GERAL COM BDI - ("&amp;BDI!$D$45&amp;" %)"</f>
        <v>TOTAL GERAL COM BDI - (24,93 %)</v>
      </c>
      <c r="D30" s="151"/>
      <c r="E30" s="152" t="n">
        <f aca="false">SUM(E16:E28)</f>
        <v>498389.763220617</v>
      </c>
      <c r="F30" s="152" t="n">
        <f aca="false">SUM(F16:F28)</f>
        <v>0</v>
      </c>
      <c r="G30" s="152" t="n">
        <f aca="false">SUM(G16:G28)</f>
        <v>498389.763220617</v>
      </c>
      <c r="H30" s="154"/>
      <c r="I30" s="152" t="n">
        <f aca="false">SUM(I16:I28)</f>
        <v>150531.259517242</v>
      </c>
      <c r="J30" s="154" t="s">
        <v>18</v>
      </c>
      <c r="K30" s="152" t="n">
        <f aca="false">SUM(K16:K28)</f>
        <v>182581.331020666</v>
      </c>
      <c r="L30" s="154"/>
      <c r="M30" s="152" t="n">
        <f aca="false">SUM(M16:M28)</f>
        <v>165277.17268271</v>
      </c>
      <c r="N30" s="152" t="n">
        <f aca="false">SUM(N16:N28)</f>
        <v>498389.763220617</v>
      </c>
      <c r="O30" s="0"/>
    </row>
    <row r="31" customFormat="false" ht="11.25" hidden="false" customHeight="false" outlineLevel="0" collapsed="false">
      <c r="A31" s="130"/>
      <c r="B31" s="139"/>
      <c r="C31" s="147" t="s">
        <v>389</v>
      </c>
      <c r="D31" s="166" t="n">
        <f aca="false">SUM(D4:D28)</f>
        <v>1</v>
      </c>
      <c r="E31" s="151"/>
      <c r="F31" s="151"/>
      <c r="G31" s="151"/>
      <c r="H31" s="156" t="n">
        <f aca="false">I30/$G$30</f>
        <v>0.302035215459688</v>
      </c>
      <c r="I31" s="158"/>
      <c r="J31" s="156" t="n">
        <f aca="false">K30/$G$30</f>
        <v>0.366342458241552</v>
      </c>
      <c r="K31" s="158"/>
      <c r="L31" s="156" t="n">
        <f aca="false">M30/$G$30</f>
        <v>0.331622326298761</v>
      </c>
      <c r="M31" s="158"/>
      <c r="N31" s="158" t="n">
        <f aca="false">H31+J31+L31</f>
        <v>1</v>
      </c>
      <c r="O31" s="0"/>
    </row>
    <row r="32" customFormat="false" ht="12" hidden="false" customHeight="false" outlineLevel="0" collapsed="false">
      <c r="C32" s="164"/>
      <c r="D32" s="164"/>
      <c r="E32" s="164"/>
      <c r="F32" s="164"/>
      <c r="G32" s="164"/>
      <c r="H32" s="0"/>
      <c r="I32" s="0"/>
      <c r="J32" s="0"/>
      <c r="K32" s="0"/>
      <c r="L32" s="0"/>
      <c r="M32" s="0"/>
      <c r="O32" s="162"/>
    </row>
    <row r="33" customFormat="false" ht="12" hidden="false" customHeight="false" outlineLevel="0" collapsed="false">
      <c r="D33" s="0"/>
      <c r="H33" s="0"/>
      <c r="I33" s="0"/>
      <c r="J33" s="0"/>
      <c r="K33" s="0"/>
      <c r="L33" s="0"/>
      <c r="M33" s="0"/>
      <c r="O33" s="162"/>
    </row>
    <row r="34" customFormat="false" ht="12" hidden="false" customHeight="false" outlineLevel="0" collapsed="false">
      <c r="D34" s="0"/>
      <c r="H34" s="0"/>
      <c r="I34" s="0"/>
      <c r="J34" s="0"/>
      <c r="K34" s="0"/>
      <c r="L34" s="0"/>
      <c r="M34" s="0"/>
    </row>
    <row r="35" customFormat="false" ht="12" hidden="false" customHeight="false" outlineLevel="0" collapsed="false">
      <c r="D35" s="0"/>
      <c r="H35" s="0"/>
      <c r="I35" s="0"/>
      <c r="J35" s="0"/>
      <c r="K35" s="0"/>
      <c r="L35" s="0"/>
      <c r="M35" s="0"/>
    </row>
    <row r="36" customFormat="false" ht="12" hidden="false" customHeight="false" outlineLevel="0" collapsed="false">
      <c r="D36" s="0"/>
      <c r="H36" s="108" t="s">
        <v>18</v>
      </c>
      <c r="I36" s="0"/>
      <c r="J36" s="0"/>
      <c r="K36" s="0"/>
      <c r="L36" s="0"/>
      <c r="M36" s="0"/>
    </row>
  </sheetData>
  <sheetProtection sheet="true" objects="true" scenarios="true" formatCells="false"/>
  <mergeCells count="16">
    <mergeCell ref="B2:C7"/>
    <mergeCell ref="H2:N3"/>
    <mergeCell ref="H4:N5"/>
    <mergeCell ref="H6:N7"/>
    <mergeCell ref="B9:G9"/>
    <mergeCell ref="H9:J9"/>
    <mergeCell ref="K9:N9"/>
    <mergeCell ref="B11:N11"/>
    <mergeCell ref="B13:B14"/>
    <mergeCell ref="C13:C14"/>
    <mergeCell ref="D13:D14"/>
    <mergeCell ref="E13:E14"/>
    <mergeCell ref="G13:G14"/>
    <mergeCell ref="H13:I13"/>
    <mergeCell ref="J13:K13"/>
    <mergeCell ref="L13:M13"/>
  </mergeCells>
  <conditionalFormatting sqref="O16:O29">
    <cfRule type="cellIs" priority="2" operator="greaterThan" aboveAverage="0" equalAverage="0" bottom="0" percent="0" rank="0" text="" dxfId="0">
      <formula>100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33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C22" activeCellId="0" sqref="C22"/>
    </sheetView>
  </sheetViews>
  <sheetFormatPr defaultRowHeight="15"/>
  <cols>
    <col collapsed="false" hidden="false" max="1" min="1" style="167" width="9.04591836734694"/>
    <col collapsed="false" hidden="false" max="2" min="2" style="167" width="10.530612244898"/>
    <col collapsed="false" hidden="false" max="3" min="3" style="167" width="112.040816326531"/>
    <col collapsed="false" hidden="false" max="5" min="4" style="167" width="10.530612244898"/>
    <col collapsed="false" hidden="false" max="7" min="6" style="167" width="12.5561224489796"/>
    <col collapsed="false" hidden="false" max="256" min="8" style="167" width="9.04591836734694"/>
    <col collapsed="false" hidden="false" max="257" min="257" style="167" width="34.9642857142857"/>
    <col collapsed="false" hidden="false" max="258" min="258" style="167" width="13.3622448979592"/>
    <col collapsed="false" hidden="false" max="259" min="259" style="167" width="9.04591836734694"/>
    <col collapsed="false" hidden="false" max="260" min="260" style="167" width="9.85204081632653"/>
    <col collapsed="false" hidden="false" max="261" min="261" style="167" width="13.9030612244898"/>
    <col collapsed="false" hidden="false" max="262" min="262" style="167" width="11.3418367346939"/>
    <col collapsed="false" hidden="false" max="512" min="263" style="167" width="9.04591836734694"/>
    <col collapsed="false" hidden="false" max="513" min="513" style="167" width="34.9642857142857"/>
    <col collapsed="false" hidden="false" max="514" min="514" style="167" width="13.3622448979592"/>
    <col collapsed="false" hidden="false" max="515" min="515" style="167" width="9.04591836734694"/>
    <col collapsed="false" hidden="false" max="516" min="516" style="167" width="9.85204081632653"/>
    <col collapsed="false" hidden="false" max="517" min="517" style="167" width="13.9030612244898"/>
    <col collapsed="false" hidden="false" max="518" min="518" style="167" width="11.3418367346939"/>
    <col collapsed="false" hidden="false" max="768" min="519" style="167" width="9.04591836734694"/>
    <col collapsed="false" hidden="false" max="769" min="769" style="167" width="34.9642857142857"/>
    <col collapsed="false" hidden="false" max="770" min="770" style="167" width="13.3622448979592"/>
    <col collapsed="false" hidden="false" max="771" min="771" style="167" width="9.04591836734694"/>
    <col collapsed="false" hidden="false" max="772" min="772" style="167" width="9.85204081632653"/>
    <col collapsed="false" hidden="false" max="773" min="773" style="167" width="13.9030612244898"/>
    <col collapsed="false" hidden="false" max="774" min="774" style="167" width="11.3418367346939"/>
    <col collapsed="false" hidden="false" max="1025" min="775" style="167" width="9.04591836734694"/>
  </cols>
  <sheetData>
    <row r="1" s="169" customFormat="true" ht="7.5" hidden="false" customHeight="true" outlineLevel="0" collapsed="false">
      <c r="A1" s="168"/>
    </row>
    <row r="2" customFormat="false" ht="15" hidden="false" customHeight="true" outlineLevel="0" collapsed="false">
      <c r="A2" s="168"/>
      <c r="B2" s="170"/>
      <c r="C2" s="171"/>
      <c r="D2" s="171"/>
      <c r="E2" s="171"/>
      <c r="F2" s="171"/>
      <c r="G2" s="172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173" t="s">
        <v>405</v>
      </c>
      <c r="C3" s="173"/>
      <c r="D3" s="173"/>
      <c r="E3" s="173"/>
      <c r="F3" s="173"/>
      <c r="G3" s="173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0"/>
      <c r="B4" s="174"/>
      <c r="C4" s="175"/>
      <c r="D4" s="175"/>
      <c r="E4" s="175"/>
      <c r="F4" s="175"/>
      <c r="G4" s="176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68" customFormat="true" ht="15" hidden="false" customHeight="true" outlineLevel="0" collapsed="false">
      <c r="B5" s="177"/>
      <c r="C5" s="177"/>
      <c r="D5" s="177"/>
      <c r="E5" s="177"/>
      <c r="F5" s="177"/>
      <c r="G5" s="177"/>
      <c r="J5" s="177"/>
    </row>
    <row r="6" s="168" customFormat="true" ht="15" hidden="false" customHeight="true" outlineLevel="0" collapsed="false">
      <c r="B6" s="177"/>
      <c r="C6" s="177"/>
      <c r="D6" s="177"/>
      <c r="E6" s="177"/>
      <c r="F6" s="177"/>
      <c r="G6" s="177"/>
      <c r="J6" s="177"/>
    </row>
    <row r="7" s="180" customFormat="true" ht="18" hidden="false" customHeight="true" outlineLevel="0" collapsed="false">
      <c r="A7" s="178"/>
      <c r="B7" s="179" t="s">
        <v>301</v>
      </c>
      <c r="C7" s="179"/>
      <c r="D7" s="179"/>
      <c r="E7" s="179"/>
      <c r="F7" s="179"/>
      <c r="G7" s="179"/>
      <c r="H7" s="180" t="s">
        <v>18</v>
      </c>
    </row>
    <row r="8" customFormat="false" ht="18" hidden="false" customHeight="true" outlineLevel="0" collapsed="false">
      <c r="A8" s="178"/>
      <c r="B8" s="181" t="s">
        <v>18</v>
      </c>
      <c r="C8" s="181"/>
      <c r="D8" s="182" t="s">
        <v>18</v>
      </c>
      <c r="E8" s="182"/>
      <c r="F8" s="183" t="s">
        <v>406</v>
      </c>
      <c r="G8" s="184" t="s">
        <v>54</v>
      </c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" hidden="false" customHeight="true" outlineLevel="0" collapsed="false">
      <c r="A9" s="178"/>
      <c r="B9" s="185" t="s">
        <v>407</v>
      </c>
      <c r="C9" s="185" t="s">
        <v>408</v>
      </c>
      <c r="D9" s="185" t="s">
        <v>409</v>
      </c>
      <c r="E9" s="185" t="s">
        <v>410</v>
      </c>
      <c r="F9" s="185" t="s">
        <v>411</v>
      </c>
      <c r="G9" s="185" t="s">
        <v>331</v>
      </c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8" hidden="false" customHeight="true" outlineLevel="0" collapsed="false">
      <c r="A10" s="178"/>
      <c r="B10" s="186" t="s">
        <v>412</v>
      </c>
      <c r="C10" s="186"/>
      <c r="D10" s="186"/>
      <c r="E10" s="186"/>
      <c r="F10" s="186"/>
      <c r="G10" s="186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92" customFormat="true" ht="18" hidden="false" customHeight="true" outlineLevel="0" collapsed="false">
      <c r="A11" s="187" t="s">
        <v>18</v>
      </c>
      <c r="B11" s="188" t="n">
        <v>88264</v>
      </c>
      <c r="C11" s="189" t="s">
        <v>413</v>
      </c>
      <c r="D11" s="190" t="s">
        <v>414</v>
      </c>
      <c r="E11" s="190" t="n">
        <v>2.5</v>
      </c>
      <c r="F11" s="191" t="n">
        <v>13.19</v>
      </c>
      <c r="G11" s="191" t="n">
        <f aca="false">E11*F11</f>
        <v>32.975</v>
      </c>
    </row>
    <row r="12" s="192" customFormat="true" ht="18" hidden="false" customHeight="true" outlineLevel="0" collapsed="false">
      <c r="A12" s="187" t="s">
        <v>18</v>
      </c>
      <c r="B12" s="188" t="n">
        <v>88247</v>
      </c>
      <c r="C12" s="189" t="s">
        <v>415</v>
      </c>
      <c r="D12" s="190" t="s">
        <v>414</v>
      </c>
      <c r="E12" s="190" t="n">
        <v>3</v>
      </c>
      <c r="F12" s="191" t="n">
        <v>10.86</v>
      </c>
      <c r="G12" s="191" t="n">
        <f aca="false">E12*F12</f>
        <v>32.58</v>
      </c>
    </row>
    <row r="13" s="192" customFormat="true" ht="18" hidden="false" customHeight="true" outlineLevel="0" collapsed="false">
      <c r="A13" s="187"/>
      <c r="B13" s="188" t="n">
        <v>88316</v>
      </c>
      <c r="C13" s="189" t="s">
        <v>416</v>
      </c>
      <c r="D13" s="190" t="s">
        <v>414</v>
      </c>
      <c r="E13" s="190" t="n">
        <v>3</v>
      </c>
      <c r="F13" s="191" t="n">
        <v>10.36</v>
      </c>
      <c r="G13" s="191" t="n">
        <f aca="false">E13*F13</f>
        <v>31.08</v>
      </c>
    </row>
    <row r="14" customFormat="false" ht="18" hidden="false" customHeight="true" outlineLevel="0" collapsed="false">
      <c r="A14" s="187"/>
      <c r="B14" s="188" t="str">
        <f aca="false">"SUBTOTAL DO ITEM "&amp;B10</f>
        <v>SUBTOTAL DO ITEM MÃO DE OBRA</v>
      </c>
      <c r="C14" s="188"/>
      <c r="D14" s="188"/>
      <c r="E14" s="188"/>
      <c r="F14" s="188"/>
      <c r="G14" s="191" t="n">
        <f aca="false">SUM(G11:G13)</f>
        <v>96.635</v>
      </c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3.95" hidden="false" customHeight="true" outlineLevel="0" collapsed="false">
      <c r="A15" s="187"/>
      <c r="B15" s="190"/>
      <c r="C15" s="190"/>
      <c r="D15" s="190"/>
      <c r="E15" s="190"/>
      <c r="F15" s="190"/>
      <c r="G15" s="19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80" customFormat="true" ht="18" hidden="false" customHeight="true" outlineLevel="0" collapsed="false">
      <c r="A16" s="178"/>
      <c r="B16" s="186" t="s">
        <v>417</v>
      </c>
      <c r="C16" s="186"/>
      <c r="D16" s="186"/>
      <c r="E16" s="186"/>
      <c r="F16" s="186"/>
      <c r="G16" s="186"/>
    </row>
    <row r="17" s="192" customFormat="true" ht="18" hidden="false" customHeight="true" outlineLevel="0" collapsed="false">
      <c r="A17" s="187" t="s">
        <v>18</v>
      </c>
      <c r="B17" s="188" t="n">
        <v>1879</v>
      </c>
      <c r="C17" s="189" t="s">
        <v>418</v>
      </c>
      <c r="D17" s="193" t="s">
        <v>54</v>
      </c>
      <c r="E17" s="190" t="n">
        <v>1</v>
      </c>
      <c r="F17" s="191" t="n">
        <v>1.99</v>
      </c>
      <c r="G17" s="191" t="n">
        <f aca="false">E17*F17</f>
        <v>1.99</v>
      </c>
      <c r="I17" s="192" t="s">
        <v>18</v>
      </c>
    </row>
    <row r="18" s="192" customFormat="true" ht="18" hidden="false" customHeight="true" outlineLevel="0" collapsed="false">
      <c r="A18" s="187" t="s">
        <v>18</v>
      </c>
      <c r="B18" s="188" t="n">
        <v>7549</v>
      </c>
      <c r="C18" s="189" t="s">
        <v>419</v>
      </c>
      <c r="D18" s="193" t="s">
        <v>54</v>
      </c>
      <c r="E18" s="190" t="n">
        <v>1</v>
      </c>
      <c r="F18" s="191" t="n">
        <v>1.8</v>
      </c>
      <c r="G18" s="191" t="n">
        <f aca="false">E18*F18</f>
        <v>1.8</v>
      </c>
      <c r="I18" s="0"/>
    </row>
    <row r="19" s="192" customFormat="true" ht="18" hidden="false" customHeight="true" outlineLevel="0" collapsed="false">
      <c r="A19" s="187"/>
      <c r="B19" s="188" t="n">
        <v>1872</v>
      </c>
      <c r="C19" s="189" t="s">
        <v>420</v>
      </c>
      <c r="D19" s="193" t="s">
        <v>54</v>
      </c>
      <c r="E19" s="190" t="n">
        <v>1</v>
      </c>
      <c r="F19" s="191" t="n">
        <v>1.49</v>
      </c>
      <c r="G19" s="191" t="n">
        <f aca="false">E19*F19</f>
        <v>1.49</v>
      </c>
      <c r="I19" s="0"/>
    </row>
    <row r="20" s="192" customFormat="true" ht="18" hidden="false" customHeight="true" outlineLevel="0" collapsed="false">
      <c r="A20" s="187"/>
      <c r="B20" s="188" t="n">
        <v>20009</v>
      </c>
      <c r="C20" s="189" t="s">
        <v>421</v>
      </c>
      <c r="D20" s="193" t="s">
        <v>54</v>
      </c>
      <c r="E20" s="190" t="n">
        <v>0.1</v>
      </c>
      <c r="F20" s="191" t="n">
        <v>9.72</v>
      </c>
      <c r="G20" s="191" t="n">
        <f aca="false">E20*F20</f>
        <v>0.972</v>
      </c>
      <c r="I20" s="192" t="s">
        <v>18</v>
      </c>
    </row>
    <row r="21" s="192" customFormat="true" ht="18" hidden="false" customHeight="true" outlineLevel="0" collapsed="false">
      <c r="A21" s="187"/>
      <c r="B21" s="188" t="n">
        <v>21127</v>
      </c>
      <c r="C21" s="189" t="s">
        <v>422</v>
      </c>
      <c r="D21" s="193" t="s">
        <v>54</v>
      </c>
      <c r="E21" s="190" t="n">
        <v>0.6</v>
      </c>
      <c r="F21" s="191" t="n">
        <v>1.9</v>
      </c>
      <c r="G21" s="191" t="n">
        <f aca="false">E21*F21</f>
        <v>1.14</v>
      </c>
      <c r="I21" s="0"/>
    </row>
    <row r="22" s="192" customFormat="true" ht="18" hidden="false" customHeight="true" outlineLevel="0" collapsed="false">
      <c r="A22" s="187"/>
      <c r="B22" s="188" t="n">
        <v>2674</v>
      </c>
      <c r="C22" s="189" t="s">
        <v>423</v>
      </c>
      <c r="D22" s="193" t="s">
        <v>107</v>
      </c>
      <c r="E22" s="190" t="n">
        <v>3</v>
      </c>
      <c r="F22" s="191" t="n">
        <v>1.97</v>
      </c>
      <c r="G22" s="191" t="n">
        <f aca="false">E22*F22</f>
        <v>5.91</v>
      </c>
      <c r="I22" s="0"/>
    </row>
    <row r="23" s="192" customFormat="true" ht="18" hidden="false" customHeight="true" outlineLevel="0" collapsed="false">
      <c r="A23" s="187"/>
      <c r="B23" s="188" t="n">
        <v>1891</v>
      </c>
      <c r="C23" s="189" t="s">
        <v>424</v>
      </c>
      <c r="D23" s="193" t="s">
        <v>54</v>
      </c>
      <c r="E23" s="190" t="n">
        <v>2</v>
      </c>
      <c r="F23" s="191" t="n">
        <v>1.15</v>
      </c>
      <c r="G23" s="191" t="n">
        <f aca="false">E23*F23</f>
        <v>2.3</v>
      </c>
      <c r="I23" s="0"/>
    </row>
    <row r="24" s="192" customFormat="true" ht="18" hidden="false" customHeight="true" outlineLevel="0" collapsed="false">
      <c r="A24" s="187" t="s">
        <v>18</v>
      </c>
      <c r="B24" s="188" t="n">
        <v>939</v>
      </c>
      <c r="C24" s="189" t="s">
        <v>425</v>
      </c>
      <c r="D24" s="193" t="s">
        <v>107</v>
      </c>
      <c r="E24" s="190" t="n">
        <v>12</v>
      </c>
      <c r="F24" s="191" t="n">
        <v>0.99</v>
      </c>
      <c r="G24" s="191" t="n">
        <f aca="false">E24*F24</f>
        <v>11.88</v>
      </c>
      <c r="I24" s="0"/>
    </row>
    <row r="25" customFormat="false" ht="18" hidden="false" customHeight="true" outlineLevel="0" collapsed="false">
      <c r="A25" s="187"/>
      <c r="B25" s="188" t="str">
        <f aca="false">"SUBTOTAL DO ITEM "&amp;B16</f>
        <v>SUBTOTAL DO ITEM MATERIAL</v>
      </c>
      <c r="C25" s="188"/>
      <c r="D25" s="188"/>
      <c r="E25" s="188"/>
      <c r="F25" s="188"/>
      <c r="G25" s="191" t="n">
        <f aca="false">SUM(G17:G24)</f>
        <v>27.482</v>
      </c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.95" hidden="false" customHeight="true" outlineLevel="0" collapsed="false">
      <c r="A26" s="0"/>
      <c r="B26" s="194"/>
      <c r="C26" s="194"/>
      <c r="D26" s="194"/>
      <c r="E26" s="194"/>
      <c r="F26" s="194"/>
      <c r="G26" s="194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80" customFormat="true" ht="18" hidden="false" customHeight="true" outlineLevel="0" collapsed="false">
      <c r="A27" s="178"/>
      <c r="B27" s="186" t="s">
        <v>426</v>
      </c>
      <c r="C27" s="186"/>
      <c r="D27" s="186"/>
      <c r="E27" s="186"/>
      <c r="F27" s="186"/>
      <c r="G27" s="186"/>
    </row>
    <row r="28" s="192" customFormat="true" ht="18" hidden="false" customHeight="true" outlineLevel="0" collapsed="false">
      <c r="A28" s="187"/>
      <c r="B28" s="188" t="s">
        <v>18</v>
      </c>
      <c r="C28" s="189" t="s">
        <v>18</v>
      </c>
      <c r="D28" s="190" t="s">
        <v>18</v>
      </c>
      <c r="E28" s="190" t="s">
        <v>18</v>
      </c>
      <c r="F28" s="191" t="s">
        <v>18</v>
      </c>
      <c r="G28" s="191" t="s">
        <v>18</v>
      </c>
    </row>
    <row r="29" customFormat="false" ht="18" hidden="false" customHeight="true" outlineLevel="0" collapsed="false">
      <c r="A29" s="187"/>
      <c r="B29" s="188" t="str">
        <f aca="false">"SUBTOTAL DO ITEM "&amp;B27</f>
        <v>SUBTOTAL DO ITEM SERVIÇO</v>
      </c>
      <c r="C29" s="188"/>
      <c r="D29" s="188"/>
      <c r="E29" s="188"/>
      <c r="F29" s="188"/>
      <c r="G29" s="191" t="n">
        <f aca="false">SUM(G28:G28)</f>
        <v>0</v>
      </c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3.95" hidden="false" customHeight="true" outlineLevel="0" collapsed="false">
      <c r="A30" s="0"/>
      <c r="B30" s="194"/>
      <c r="C30" s="194"/>
      <c r="D30" s="194"/>
      <c r="E30" s="194"/>
      <c r="F30" s="194"/>
      <c r="G30" s="194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192" customFormat="true" ht="18" hidden="false" customHeight="true" outlineLevel="0" collapsed="false">
      <c r="A31" s="187"/>
      <c r="B31" s="188" t="s">
        <v>427</v>
      </c>
      <c r="C31" s="188"/>
      <c r="D31" s="188"/>
      <c r="E31" s="188"/>
      <c r="F31" s="195" t="n">
        <v>0</v>
      </c>
      <c r="G31" s="191" t="n">
        <f aca="false">G14*F31</f>
        <v>0</v>
      </c>
    </row>
    <row r="32" customFormat="false" ht="3.95" hidden="false" customHeight="true" outlineLevel="0" collapsed="false">
      <c r="A32" s="0"/>
      <c r="B32" s="194"/>
      <c r="C32" s="194"/>
      <c r="D32" s="194"/>
      <c r="E32" s="194"/>
      <c r="F32" s="194"/>
      <c r="G32" s="194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180" customFormat="true" ht="18" hidden="false" customHeight="true" outlineLevel="0" collapsed="false">
      <c r="A33" s="178"/>
      <c r="B33" s="196" t="s">
        <v>428</v>
      </c>
      <c r="C33" s="196"/>
      <c r="D33" s="196"/>
      <c r="E33" s="196"/>
      <c r="F33" s="196"/>
      <c r="G33" s="197" t="n">
        <f aca="false">G14+G25+G29+G31</f>
        <v>124.117</v>
      </c>
    </row>
  </sheetData>
  <sheetProtection sheet="true" objects="true" scenarios="true"/>
  <mergeCells count="15">
    <mergeCell ref="B3:G3"/>
    <mergeCell ref="B7:G7"/>
    <mergeCell ref="B8:C8"/>
    <mergeCell ref="B10:G10"/>
    <mergeCell ref="B14:F14"/>
    <mergeCell ref="B15:G15"/>
    <mergeCell ref="B16:G16"/>
    <mergeCell ref="B25:F25"/>
    <mergeCell ref="B26:G26"/>
    <mergeCell ref="B27:G27"/>
    <mergeCell ref="B29:F29"/>
    <mergeCell ref="B30:G30"/>
    <mergeCell ref="B31:E31"/>
    <mergeCell ref="B32:G32"/>
    <mergeCell ref="B33:F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L69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9" activeCellId="0" sqref="A9"/>
    </sheetView>
  </sheetViews>
  <sheetFormatPr defaultRowHeight="15"/>
  <cols>
    <col collapsed="false" hidden="false" max="1" min="1" style="198" width="9.04591836734694"/>
    <col collapsed="false" hidden="false" max="2" min="2" style="198" width="38.4744897959184"/>
    <col collapsed="false" hidden="false" max="3" min="3" style="198" width="20.25"/>
    <col collapsed="false" hidden="false" max="4" min="4" style="198" width="9.04591836734694"/>
    <col collapsed="false" hidden="false" max="5" min="5" style="198" width="18.765306122449"/>
    <col collapsed="false" hidden="false" max="6" min="6" style="198" width="9.04591836734694"/>
    <col collapsed="false" hidden="false" max="7" min="7" style="198" width="12.4183673469388"/>
    <col collapsed="false" hidden="false" max="257" min="8" style="198" width="9.04591836734694"/>
    <col collapsed="false" hidden="false" max="258" min="258" style="198" width="38.4744897959184"/>
    <col collapsed="false" hidden="false" max="259" min="259" style="198" width="20.25"/>
    <col collapsed="false" hidden="false" max="260" min="260" style="198" width="9.04591836734694"/>
    <col collapsed="false" hidden="false" max="261" min="261" style="198" width="18.765306122449"/>
    <col collapsed="false" hidden="false" max="262" min="262" style="198" width="9.04591836734694"/>
    <col collapsed="false" hidden="false" max="263" min="263" style="198" width="12.4183673469388"/>
    <col collapsed="false" hidden="false" max="513" min="264" style="198" width="9.04591836734694"/>
    <col collapsed="false" hidden="false" max="514" min="514" style="198" width="38.4744897959184"/>
    <col collapsed="false" hidden="false" max="515" min="515" style="198" width="20.25"/>
    <col collapsed="false" hidden="false" max="516" min="516" style="198" width="9.04591836734694"/>
    <col collapsed="false" hidden="false" max="517" min="517" style="198" width="18.765306122449"/>
    <col collapsed="false" hidden="false" max="518" min="518" style="198" width="9.04591836734694"/>
    <col collapsed="false" hidden="false" max="519" min="519" style="198" width="12.4183673469388"/>
    <col collapsed="false" hidden="false" max="769" min="520" style="198" width="9.04591836734694"/>
    <col collapsed="false" hidden="false" max="770" min="770" style="198" width="38.4744897959184"/>
    <col collapsed="false" hidden="false" max="771" min="771" style="198" width="20.25"/>
    <col collapsed="false" hidden="false" max="772" min="772" style="198" width="9.04591836734694"/>
    <col collapsed="false" hidden="false" max="773" min="773" style="198" width="18.765306122449"/>
    <col collapsed="false" hidden="false" max="774" min="774" style="198" width="9.04591836734694"/>
    <col collapsed="false" hidden="false" max="775" min="775" style="198" width="12.4183673469388"/>
    <col collapsed="false" hidden="false" max="1025" min="776" style="198" width="9.04591836734694"/>
  </cols>
  <sheetData>
    <row r="1" customFormat="false" ht="7.5" hidden="false" customHeight="tru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5" hidden="false" customHeight="true" outlineLevel="0" collapsed="false">
      <c r="B2" s="199"/>
      <c r="C2" s="200"/>
      <c r="D2" s="201" t="s">
        <v>19</v>
      </c>
      <c r="E2" s="201"/>
      <c r="F2" s="201"/>
      <c r="G2" s="201"/>
      <c r="H2" s="115"/>
      <c r="I2" s="115"/>
      <c r="J2" s="115"/>
      <c r="K2" s="115"/>
      <c r="L2" s="115"/>
    </row>
    <row r="3" customFormat="false" ht="15" hidden="false" customHeight="true" outlineLevel="0" collapsed="false">
      <c r="B3" s="202"/>
      <c r="C3" s="203"/>
      <c r="D3" s="201"/>
      <c r="E3" s="201"/>
      <c r="F3" s="201"/>
      <c r="G3" s="201"/>
      <c r="H3" s="115"/>
      <c r="I3" s="115"/>
      <c r="J3" s="115"/>
      <c r="K3" s="115"/>
      <c r="L3" s="115"/>
    </row>
    <row r="4" customFormat="false" ht="15" hidden="false" customHeight="true" outlineLevel="0" collapsed="false">
      <c r="B4" s="202"/>
      <c r="C4" s="203"/>
      <c r="D4" s="204" t="s">
        <v>20</v>
      </c>
      <c r="E4" s="204"/>
      <c r="F4" s="204"/>
      <c r="G4" s="204"/>
      <c r="H4" s="205"/>
      <c r="I4" s="205"/>
      <c r="J4" s="205"/>
      <c r="K4" s="205"/>
      <c r="L4" s="205"/>
    </row>
    <row r="5" customFormat="false" ht="15" hidden="false" customHeight="true" outlineLevel="0" collapsed="false">
      <c r="B5" s="202"/>
      <c r="C5" s="203"/>
      <c r="D5" s="204"/>
      <c r="E5" s="204"/>
      <c r="F5" s="204"/>
      <c r="G5" s="204"/>
      <c r="H5" s="205"/>
      <c r="I5" s="205"/>
      <c r="J5" s="205"/>
      <c r="K5" s="205"/>
      <c r="L5" s="205"/>
    </row>
    <row r="6" customFormat="false" ht="15" hidden="false" customHeight="true" outlineLevel="0" collapsed="false">
      <c r="B6" s="202"/>
      <c r="C6" s="203"/>
      <c r="D6" s="206" t="s">
        <v>21</v>
      </c>
      <c r="E6" s="206"/>
      <c r="F6" s="206"/>
      <c r="G6" s="206"/>
      <c r="H6" s="205"/>
      <c r="I6" s="205"/>
      <c r="J6" s="205"/>
      <c r="K6" s="205"/>
      <c r="L6" s="205"/>
    </row>
    <row r="7" customFormat="false" ht="15" hidden="false" customHeight="true" outlineLevel="0" collapsed="false">
      <c r="B7" s="207"/>
      <c r="C7" s="208"/>
      <c r="D7" s="206"/>
      <c r="E7" s="206"/>
      <c r="F7" s="206"/>
      <c r="G7" s="206"/>
      <c r="H7" s="205"/>
      <c r="I7" s="205"/>
      <c r="J7" s="205"/>
      <c r="K7" s="205"/>
      <c r="L7" s="205"/>
    </row>
    <row r="8" customFormat="false" ht="5.1" hidden="false" customHeight="true" outlineLevel="0" collapsed="false">
      <c r="B8" s="209"/>
      <c r="C8" s="210"/>
      <c r="D8" s="210"/>
      <c r="E8" s="210"/>
      <c r="F8" s="209"/>
      <c r="G8" s="211"/>
      <c r="H8" s="211"/>
      <c r="I8" s="211"/>
      <c r="J8" s="211"/>
      <c r="K8" s="212"/>
      <c r="L8" s="213"/>
    </row>
    <row r="9" customFormat="false" ht="27" hidden="false" customHeight="true" outlineLevel="0" collapsed="false">
      <c r="B9" s="214" t="str">
        <f aca="false">ORÇAMENTO!B9</f>
        <v>OBRA: REFORMA E URBANIZAÇÃO DA FACHADA E ACESSO PRINCIPAL DO HOSPITAL REGIONAL CHAGAS RODRIGUES</v>
      </c>
      <c r="C9" s="214"/>
      <c r="D9" s="214" t="str">
        <f aca="false">ORÇAMENTO!F9</f>
        <v>MUNICÍPIO: PIRIPIRI - PI</v>
      </c>
      <c r="E9" s="214"/>
      <c r="F9" s="214"/>
      <c r="G9" s="214"/>
      <c r="H9" s="215"/>
      <c r="I9" s="215"/>
      <c r="J9" s="215"/>
      <c r="K9" s="215"/>
      <c r="L9" s="215"/>
    </row>
    <row r="10" customFormat="false" ht="18" hidden="false" customHeight="true" outlineLevel="0" collapsed="false">
      <c r="B10" s="214" t="str">
        <f aca="false">ORÇAMENTO!B10</f>
        <v>ENDEREÇO: PIRIPIRI - PI</v>
      </c>
      <c r="C10" s="214"/>
      <c r="D10" s="214" t="str">
        <f aca="false">ORÇAMENTO!F10</f>
        <v>DATA BASE: SETEMBRO 2015 - DESONERADA</v>
      </c>
      <c r="E10" s="214"/>
      <c r="F10" s="214"/>
      <c r="G10" s="214"/>
      <c r="H10" s="216"/>
      <c r="I10" s="216"/>
      <c r="J10" s="216"/>
      <c r="K10" s="216"/>
      <c r="L10" s="216"/>
    </row>
    <row r="11" customFormat="false" ht="5.1" hidden="false" customHeight="true" outlineLevel="0" collapsed="false">
      <c r="B11" s="217"/>
      <c r="C11" s="217"/>
      <c r="D11" s="218"/>
      <c r="E11" s="218"/>
      <c r="F11" s="217"/>
      <c r="G11" s="219"/>
      <c r="H11" s="220"/>
      <c r="I11" s="219"/>
      <c r="J11" s="219"/>
      <c r="K11" s="221"/>
      <c r="L11" s="222"/>
    </row>
    <row r="12" customFormat="false" ht="18.75" hidden="false" customHeight="true" outlineLevel="0" collapsed="false">
      <c r="B12" s="223" t="s">
        <v>429</v>
      </c>
      <c r="C12" s="223"/>
      <c r="D12" s="223"/>
      <c r="E12" s="223"/>
      <c r="F12" s="223"/>
      <c r="G12" s="223"/>
      <c r="H12" s="216"/>
      <c r="I12" s="216"/>
      <c r="J12" s="216"/>
      <c r="K12" s="216"/>
      <c r="L12" s="216"/>
    </row>
    <row r="13" customFormat="false" ht="5.1" hidden="false" customHeight="true" outlineLevel="0" collapsed="false">
      <c r="B13" s="224"/>
      <c r="C13" s="225"/>
      <c r="D13" s="225"/>
      <c r="E13" s="225"/>
      <c r="F13" s="226"/>
      <c r="G13" s="227"/>
      <c r="H13" s="227"/>
      <c r="I13" s="227"/>
      <c r="J13" s="227"/>
      <c r="K13" s="228"/>
      <c r="L13" s="229"/>
    </row>
    <row r="14" customFormat="false" ht="16.5" hidden="false" customHeight="true" outlineLevel="0" collapsed="false">
      <c r="B14" s="230" t="s">
        <v>408</v>
      </c>
      <c r="C14" s="230"/>
      <c r="D14" s="230"/>
      <c r="E14" s="231" t="s">
        <v>430</v>
      </c>
      <c r="F14" s="231"/>
      <c r="G14" s="231"/>
      <c r="H14" s="0"/>
    </row>
    <row r="15" customFormat="false" ht="16.5" hidden="false" customHeight="true" outlineLevel="0" collapsed="false">
      <c r="B15" s="232" t="s">
        <v>431</v>
      </c>
      <c r="C15" s="232"/>
      <c r="D15" s="232"/>
      <c r="E15" s="233" t="n">
        <v>7.3</v>
      </c>
      <c r="F15" s="233"/>
      <c r="G15" s="233"/>
      <c r="H15" s="234" t="n">
        <f aca="false">E15/100</f>
        <v>0.073</v>
      </c>
    </row>
    <row r="16" customFormat="false" ht="16.5" hidden="false" customHeight="true" outlineLevel="0" collapsed="false">
      <c r="B16" s="232" t="s">
        <v>432</v>
      </c>
      <c r="C16" s="232"/>
      <c r="D16" s="232"/>
      <c r="E16" s="235" t="n">
        <v>3</v>
      </c>
      <c r="F16" s="235"/>
      <c r="G16" s="235"/>
      <c r="H16" s="234" t="n">
        <f aca="false">E16/100</f>
        <v>0.03</v>
      </c>
    </row>
    <row r="17" customFormat="false" ht="16.5" hidden="false" customHeight="true" outlineLevel="0" collapsed="false">
      <c r="B17" s="232" t="s">
        <v>433</v>
      </c>
      <c r="C17" s="232"/>
      <c r="D17" s="232"/>
      <c r="E17" s="233" t="n">
        <v>1.23</v>
      </c>
      <c r="F17" s="233"/>
      <c r="G17" s="233"/>
      <c r="H17" s="234" t="n">
        <f aca="false">E17/100</f>
        <v>0.0123</v>
      </c>
    </row>
    <row r="18" customFormat="false" ht="16.5" hidden="false" customHeight="true" outlineLevel="0" collapsed="false">
      <c r="B18" s="232" t="s">
        <v>434</v>
      </c>
      <c r="C18" s="232"/>
      <c r="D18" s="232"/>
      <c r="E18" s="235" t="n">
        <v>3</v>
      </c>
      <c r="F18" s="235"/>
      <c r="G18" s="235"/>
      <c r="H18" s="234" t="n">
        <f aca="false">E18/100</f>
        <v>0.03</v>
      </c>
    </row>
    <row r="19" customFormat="false" ht="16.5" hidden="false" customHeight="true" outlineLevel="0" collapsed="false">
      <c r="B19" s="232" t="s">
        <v>435</v>
      </c>
      <c r="C19" s="232"/>
      <c r="D19" s="232"/>
      <c r="E19" s="235" t="n">
        <v>0.65</v>
      </c>
      <c r="F19" s="235"/>
      <c r="G19" s="235"/>
      <c r="H19" s="234" t="n">
        <f aca="false">E19/100</f>
        <v>0.0065</v>
      </c>
    </row>
    <row r="20" customFormat="false" ht="16.5" hidden="false" customHeight="true" outlineLevel="0" collapsed="false">
      <c r="B20" s="232" t="s">
        <v>436</v>
      </c>
      <c r="C20" s="232"/>
      <c r="D20" s="232"/>
      <c r="E20" s="235" t="n">
        <v>2</v>
      </c>
      <c r="F20" s="235"/>
      <c r="G20" s="235"/>
      <c r="H20" s="234" t="n">
        <f aca="false">E20/100</f>
        <v>0.02</v>
      </c>
    </row>
    <row r="21" customFormat="false" ht="16.5" hidden="false" customHeight="true" outlineLevel="0" collapsed="false">
      <c r="B21" s="232" t="s">
        <v>437</v>
      </c>
      <c r="C21" s="232"/>
      <c r="D21" s="232"/>
      <c r="E21" s="235" t="n">
        <v>3</v>
      </c>
      <c r="F21" s="235"/>
      <c r="G21" s="235"/>
      <c r="H21" s="234" t="n">
        <f aca="false">E21/100</f>
        <v>0.03</v>
      </c>
    </row>
    <row r="22" customFormat="false" ht="16.5" hidden="false" customHeight="true" outlineLevel="0" collapsed="false">
      <c r="B22" s="232" t="s">
        <v>438</v>
      </c>
      <c r="C22" s="232"/>
      <c r="D22" s="232"/>
      <c r="E22" s="235" t="n">
        <f aca="false">0.8+1.27</f>
        <v>2.07</v>
      </c>
      <c r="F22" s="235"/>
      <c r="G22" s="235"/>
      <c r="H22" s="234" t="n">
        <f aca="false">E22/100</f>
        <v>0.0207</v>
      </c>
    </row>
    <row r="23" customFormat="false" ht="15.75" hidden="false" customHeight="false" outlineLevel="0" collapsed="false">
      <c r="B23" s="236"/>
      <c r="C23" s="237"/>
      <c r="D23" s="238"/>
      <c r="E23" s="239"/>
      <c r="F23" s="239"/>
      <c r="G23" s="239"/>
      <c r="H23" s="240"/>
    </row>
    <row r="24" customFormat="false" ht="15.75" hidden="false" customHeight="false" outlineLevel="0" collapsed="false">
      <c r="B24" s="236"/>
      <c r="C24" s="241"/>
      <c r="D24" s="241"/>
      <c r="E24" s="241"/>
      <c r="F24" s="239"/>
      <c r="G24" s="239"/>
      <c r="H24" s="240"/>
    </row>
    <row r="25" customFormat="false" ht="15.75" hidden="false" customHeight="false" outlineLevel="0" collapsed="false">
      <c r="B25" s="236"/>
      <c r="C25" s="237"/>
      <c r="D25" s="238"/>
      <c r="E25" s="239"/>
      <c r="F25" s="239"/>
      <c r="G25" s="239"/>
      <c r="H25" s="240"/>
    </row>
    <row r="26" customFormat="false" ht="15.75" hidden="false" customHeight="false" outlineLevel="0" collapsed="false">
      <c r="B26" s="236"/>
      <c r="C26" s="237"/>
      <c r="D26" s="238"/>
      <c r="E26" s="239"/>
      <c r="F26" s="239"/>
      <c r="G26" s="239"/>
      <c r="H26" s="240"/>
    </row>
    <row r="27" customFormat="false" ht="15" hidden="false" customHeight="false" outlineLevel="0" collapsed="false">
      <c r="B27" s="242"/>
      <c r="C27" s="243"/>
      <c r="D27" s="238"/>
      <c r="E27" s="239"/>
      <c r="F27" s="239"/>
      <c r="G27" s="239"/>
      <c r="H27" s="240"/>
    </row>
    <row r="28" customFormat="false" ht="15" hidden="false" customHeight="false" outlineLevel="0" collapsed="false">
      <c r="B28" s="242"/>
      <c r="C28" s="243"/>
      <c r="D28" s="238"/>
      <c r="E28" s="239"/>
      <c r="F28" s="239"/>
      <c r="G28" s="239"/>
      <c r="H28" s="240"/>
    </row>
    <row r="29" customFormat="false" ht="18.75" hidden="false" customHeight="false" outlineLevel="0" collapsed="false">
      <c r="B29" s="242"/>
      <c r="C29" s="243"/>
      <c r="D29" s="238"/>
      <c r="E29" s="239"/>
      <c r="F29" s="239"/>
      <c r="G29" s="239"/>
      <c r="H29" s="244"/>
    </row>
    <row r="30" customFormat="false" ht="18.75" hidden="false" customHeight="false" outlineLevel="0" collapsed="false">
      <c r="B30" s="245"/>
      <c r="C30" s="246"/>
      <c r="D30" s="239"/>
      <c r="E30" s="239"/>
      <c r="F30" s="239"/>
      <c r="G30" s="239"/>
      <c r="H30" s="244"/>
    </row>
    <row r="31" customFormat="false" ht="18.75" hidden="false" customHeight="false" outlineLevel="0" collapsed="false">
      <c r="B31" s="245"/>
      <c r="C31" s="246"/>
      <c r="D31" s="239"/>
      <c r="E31" s="239"/>
      <c r="F31" s="239"/>
      <c r="G31" s="239"/>
      <c r="H31" s="244"/>
    </row>
    <row r="32" customFormat="false" ht="18.75" hidden="false" customHeight="false" outlineLevel="0" collapsed="false">
      <c r="B32" s="245"/>
      <c r="C32" s="246"/>
      <c r="D32" s="239"/>
      <c r="E32" s="239"/>
      <c r="F32" s="239"/>
      <c r="G32" s="239"/>
      <c r="H32" s="244"/>
    </row>
    <row r="33" customFormat="false" ht="18.75" hidden="false" customHeight="false" outlineLevel="0" collapsed="false">
      <c r="B33" s="245"/>
      <c r="C33" s="246"/>
      <c r="D33" s="239"/>
      <c r="E33" s="239"/>
      <c r="F33" s="239"/>
      <c r="G33" s="239"/>
      <c r="H33" s="244"/>
    </row>
    <row r="34" customFormat="false" ht="18.75" hidden="false" customHeight="false" outlineLevel="0" collapsed="false">
      <c r="B34" s="245"/>
      <c r="C34" s="246"/>
      <c r="D34" s="239"/>
      <c r="E34" s="239"/>
      <c r="F34" s="239"/>
      <c r="G34" s="239"/>
      <c r="H34" s="244"/>
    </row>
    <row r="35" customFormat="false" ht="18.75" hidden="false" customHeight="false" outlineLevel="0" collapsed="false">
      <c r="B35" s="245"/>
      <c r="C35" s="246"/>
      <c r="D35" s="239"/>
      <c r="E35" s="239"/>
      <c r="F35" s="239"/>
      <c r="G35" s="239"/>
      <c r="H35" s="244"/>
    </row>
    <row r="36" customFormat="false" ht="18.75" hidden="false" customHeight="false" outlineLevel="0" collapsed="false">
      <c r="B36" s="245"/>
      <c r="C36" s="246"/>
      <c r="D36" s="239"/>
      <c r="E36" s="239"/>
      <c r="F36" s="239"/>
      <c r="G36" s="239"/>
      <c r="H36" s="244"/>
    </row>
    <row r="37" customFormat="false" ht="18.75" hidden="false" customHeight="false" outlineLevel="0" collapsed="false">
      <c r="B37" s="245"/>
      <c r="C37" s="246"/>
      <c r="D37" s="239"/>
      <c r="E37" s="239"/>
      <c r="F37" s="239"/>
      <c r="G37" s="239"/>
      <c r="H37" s="244"/>
    </row>
    <row r="38" customFormat="false" ht="18.75" hidden="false" customHeight="false" outlineLevel="0" collapsed="false">
      <c r="B38" s="245"/>
      <c r="C38" s="246"/>
      <c r="D38" s="239"/>
      <c r="E38" s="239"/>
      <c r="F38" s="239"/>
      <c r="G38" s="239"/>
      <c r="H38" s="244"/>
    </row>
    <row r="39" customFormat="false" ht="18.75" hidden="false" customHeight="false" outlineLevel="0" collapsed="false">
      <c r="B39" s="247" t="s">
        <v>439</v>
      </c>
      <c r="C39" s="248" t="n">
        <f aca="false">(E16+E22)</f>
        <v>5.07</v>
      </c>
      <c r="D39" s="239"/>
      <c r="E39" s="239"/>
      <c r="F39" s="239"/>
      <c r="G39" s="239"/>
      <c r="H39" s="244"/>
    </row>
    <row r="40" customFormat="false" ht="18.75" hidden="false" customHeight="false" outlineLevel="0" collapsed="false">
      <c r="B40" s="247" t="s">
        <v>440</v>
      </c>
      <c r="C40" s="248" t="n">
        <f aca="false">E17</f>
        <v>1.23</v>
      </c>
      <c r="D40" s="239"/>
      <c r="E40" s="239"/>
      <c r="F40" s="239"/>
      <c r="G40" s="239"/>
      <c r="H40" s="244"/>
    </row>
    <row r="41" customFormat="false" ht="18.75" hidden="false" customHeight="false" outlineLevel="0" collapsed="false">
      <c r="B41" s="247" t="s">
        <v>441</v>
      </c>
      <c r="C41" s="248" t="n">
        <f aca="false">E15</f>
        <v>7.3</v>
      </c>
      <c r="D41" s="239"/>
      <c r="E41" s="239"/>
      <c r="F41" s="239"/>
      <c r="G41" s="239"/>
      <c r="H41" s="244"/>
    </row>
    <row r="42" customFormat="false" ht="18.75" hidden="false" customHeight="false" outlineLevel="0" collapsed="false">
      <c r="B42" s="247" t="s">
        <v>442</v>
      </c>
      <c r="C42" s="248" t="n">
        <f aca="false">(E18+E19+E20+E21)</f>
        <v>8.65</v>
      </c>
      <c r="D42" s="239"/>
      <c r="E42" s="239"/>
      <c r="F42" s="239"/>
      <c r="G42" s="239"/>
      <c r="H42" s="244"/>
    </row>
    <row r="43" customFormat="false" ht="18.75" hidden="false" customHeight="false" outlineLevel="0" collapsed="false">
      <c r="B43" s="239" t="s">
        <v>443</v>
      </c>
      <c r="C43" s="239"/>
      <c r="D43" s="239"/>
      <c r="E43" s="239"/>
      <c r="F43" s="239"/>
      <c r="G43" s="239"/>
      <c r="H43" s="244"/>
    </row>
    <row r="44" customFormat="false" ht="19.5" hidden="false" customHeight="false" outlineLevel="0" collapsed="false">
      <c r="B44" s="239"/>
      <c r="C44" s="239"/>
      <c r="D44" s="239"/>
      <c r="E44" s="239"/>
      <c r="F44" s="239"/>
      <c r="G44" s="239"/>
      <c r="H44" s="244"/>
    </row>
    <row r="45" customFormat="false" ht="19.5" hidden="false" customHeight="false" outlineLevel="0" collapsed="false">
      <c r="B45" s="249"/>
      <c r="C45" s="250" t="s">
        <v>444</v>
      </c>
      <c r="D45" s="251" t="n">
        <f aca="false">ROUND((((((1+H16+H22)*(1+H17)*(1+H15))/(1-(H18+H19+H20+H21)))-1))*100,2)</f>
        <v>24.93</v>
      </c>
      <c r="E45" s="252"/>
      <c r="F45" s="252"/>
      <c r="G45" s="253"/>
      <c r="H45" s="244"/>
    </row>
    <row r="46" customFormat="false" ht="18.75" hidden="false" customHeight="false" outlineLevel="0" collapsed="false">
      <c r="B46" s="239"/>
      <c r="C46" s="239"/>
      <c r="D46" s="239"/>
      <c r="E46" s="239"/>
      <c r="F46" s="239"/>
      <c r="G46" s="239"/>
      <c r="H46" s="244"/>
    </row>
    <row r="47" customFormat="false" ht="15" hidden="false" customHeight="false" outlineLevel="0" collapsed="false">
      <c r="B47" s="239"/>
      <c r="C47" s="239"/>
      <c r="D47" s="239"/>
      <c r="E47" s="239"/>
      <c r="F47" s="239"/>
      <c r="G47" s="239"/>
      <c r="H47" s="0"/>
    </row>
    <row r="48" customFormat="false" ht="18.75" hidden="false" customHeight="false" outlineLevel="0" collapsed="false">
      <c r="B48" s="239"/>
      <c r="C48" s="239"/>
      <c r="D48" s="239"/>
      <c r="E48" s="239"/>
      <c r="F48" s="239"/>
      <c r="G48" s="239"/>
      <c r="H48" s="244"/>
    </row>
    <row r="49" customFormat="false" ht="18.75" hidden="false" customHeight="false" outlineLevel="0" collapsed="false">
      <c r="B49" s="239"/>
      <c r="C49" s="239"/>
      <c r="D49" s="239"/>
      <c r="E49" s="239"/>
      <c r="F49" s="239"/>
      <c r="G49" s="239"/>
      <c r="H49" s="244"/>
    </row>
    <row r="50" customFormat="false" ht="18.75" hidden="false" customHeight="false" outlineLevel="0" collapsed="false">
      <c r="B50" s="239"/>
      <c r="C50" s="239"/>
      <c r="D50" s="239"/>
      <c r="E50" s="239"/>
      <c r="F50" s="239"/>
      <c r="G50" s="239"/>
      <c r="H50" s="244"/>
    </row>
    <row r="51" customFormat="false" ht="18.75" hidden="false" customHeight="false" outlineLevel="0" collapsed="false">
      <c r="B51" s="239"/>
      <c r="C51" s="239"/>
      <c r="D51" s="239"/>
      <c r="E51" s="239"/>
      <c r="F51" s="239"/>
      <c r="G51" s="239"/>
      <c r="H51" s="244"/>
    </row>
    <row r="52" customFormat="false" ht="18.75" hidden="false" customHeight="true" outlineLevel="0" collapsed="false">
      <c r="B52" s="254" t="s">
        <v>445</v>
      </c>
      <c r="C52" s="254"/>
      <c r="D52" s="239"/>
      <c r="E52" s="239"/>
      <c r="F52" s="239"/>
      <c r="G52" s="239"/>
      <c r="H52" s="244"/>
    </row>
    <row r="53" customFormat="false" ht="18.75" hidden="false" customHeight="false" outlineLevel="0" collapsed="false">
      <c r="B53" s="239"/>
      <c r="C53" s="239"/>
      <c r="D53" s="239"/>
      <c r="E53" s="239"/>
      <c r="F53" s="239"/>
      <c r="G53" s="239"/>
      <c r="H53" s="244"/>
    </row>
    <row r="54" customFormat="false" ht="18.75" hidden="false" customHeight="false" outlineLevel="0" collapsed="false">
      <c r="B54" s="239"/>
      <c r="C54" s="239"/>
      <c r="D54" s="239"/>
      <c r="E54" s="239"/>
      <c r="F54" s="239"/>
      <c r="G54" s="239"/>
      <c r="H54" s="244"/>
    </row>
    <row r="55" customFormat="false" ht="18.75" hidden="false" customHeight="false" outlineLevel="0" collapsed="false">
      <c r="B55" s="239"/>
      <c r="C55" s="239"/>
      <c r="D55" s="239"/>
      <c r="E55" s="239"/>
      <c r="F55" s="239"/>
      <c r="G55" s="239"/>
      <c r="H55" s="244"/>
    </row>
    <row r="56" customFormat="false" ht="18.75" hidden="false" customHeight="false" outlineLevel="0" collapsed="false">
      <c r="B56" s="239"/>
      <c r="C56" s="239"/>
      <c r="D56" s="239"/>
      <c r="E56" s="239"/>
      <c r="F56" s="239"/>
      <c r="G56" s="239"/>
      <c r="H56" s="244"/>
    </row>
    <row r="57" customFormat="false" ht="18.75" hidden="false" customHeight="false" outlineLevel="0" collapsed="false">
      <c r="B57" s="239"/>
      <c r="C57" s="239"/>
      <c r="D57" s="239"/>
      <c r="E57" s="239"/>
      <c r="F57" s="239"/>
      <c r="G57" s="239"/>
      <c r="H57" s="244"/>
    </row>
    <row r="58" customFormat="false" ht="18.75" hidden="false" customHeight="false" outlineLevel="0" collapsed="false">
      <c r="B58" s="239"/>
      <c r="C58" s="239"/>
      <c r="D58" s="239"/>
      <c r="E58" s="239"/>
      <c r="F58" s="239"/>
      <c r="G58" s="239"/>
      <c r="H58" s="244"/>
    </row>
    <row r="59" customFormat="false" ht="18.75" hidden="false" customHeight="false" outlineLevel="0" collapsed="false">
      <c r="H59" s="244"/>
    </row>
    <row r="60" customFormat="false" ht="18.75" hidden="false" customHeight="false" outlineLevel="0" collapsed="false">
      <c r="H60" s="244"/>
    </row>
    <row r="61" customFormat="false" ht="18.75" hidden="false" customHeight="false" outlineLevel="0" collapsed="false">
      <c r="H61" s="244"/>
    </row>
    <row r="62" customFormat="false" ht="18.75" hidden="false" customHeight="false" outlineLevel="0" collapsed="false">
      <c r="H62" s="244"/>
    </row>
    <row r="63" customFormat="false" ht="18.75" hidden="false" customHeight="false" outlineLevel="0" collapsed="false">
      <c r="H63" s="244"/>
    </row>
    <row r="64" customFormat="false" ht="18.75" hidden="false" customHeight="false" outlineLevel="0" collapsed="false">
      <c r="H64" s="244"/>
    </row>
    <row r="65" customFormat="false" ht="18.75" hidden="false" customHeight="false" outlineLevel="0" collapsed="false">
      <c r="H65" s="244"/>
    </row>
    <row r="66" customFormat="false" ht="18.75" hidden="false" customHeight="false" outlineLevel="0" collapsed="false">
      <c r="H66" s="244"/>
    </row>
    <row r="67" customFormat="false" ht="18.75" hidden="false" customHeight="false" outlineLevel="0" collapsed="false">
      <c r="H67" s="244"/>
    </row>
    <row r="69" customFormat="false" ht="18.75" hidden="false" customHeight="false" outlineLevel="0" collapsed="false"/>
    <row r="70" customFormat="false" ht="18.75" hidden="false" customHeight="false" outlineLevel="0" collapsed="false"/>
    <row r="71" customFormat="false" ht="18.75" hidden="false" customHeight="false" outlineLevel="0" collapsed="false"/>
  </sheetData>
  <sheetProtection sheet="true" objects="true" scenarios="true" formatCells="false"/>
  <mergeCells count="33">
    <mergeCell ref="D2:G3"/>
    <mergeCell ref="D4:G5"/>
    <mergeCell ref="H4:K5"/>
    <mergeCell ref="L4:L5"/>
    <mergeCell ref="D6:G7"/>
    <mergeCell ref="H6:K7"/>
    <mergeCell ref="L6:L7"/>
    <mergeCell ref="B9:C9"/>
    <mergeCell ref="D9:G9"/>
    <mergeCell ref="B10:C10"/>
    <mergeCell ref="D10:G10"/>
    <mergeCell ref="B11:C11"/>
    <mergeCell ref="B12:G12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C24:E24"/>
    <mergeCell ref="B52:C5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2014-08-16T00:41:40Z</dcterms:created>
  <dc:creator>Edivan D'Brito</dc:creator>
  <dc:language>pt-BR</dc:language>
  <cp:lastModifiedBy>Edivan D'Brito</cp:lastModifiedBy>
  <cp:lastPrinted>2015-11-18T12:39:29Z</cp:lastPrinted>
  <dcterms:modified xsi:type="dcterms:W3CDTF">2016-03-07T16:49:07Z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