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8430" yWindow="-30" windowWidth="9525" windowHeight="8160" tabRatio="771" activeTab="1"/>
  </bookViews>
  <sheets>
    <sheet name="Orç_Hemo Floriano_Rev1" sheetId="10" r:id="rId1"/>
    <sheet name="Crono_Hemo Floriano_Rev1" sheetId="9" r:id="rId2"/>
    <sheet name="Memo Calc_Hemo Floriano_Rev1" sheetId="8" r:id="rId3"/>
  </sheets>
  <definedNames>
    <definedName name="_xlnm.Print_Area" localSheetId="0">'Orç_Hemo Floriano_Rev1'!$1:$961</definedName>
    <definedName name="_xlnm.Print_Titles" localSheetId="0">'Orç_Hemo Floriano_Rev1'!$1:$11</definedName>
  </definedNames>
  <calcPr calcId="124519"/>
</workbook>
</file>

<file path=xl/calcChain.xml><?xml version="1.0" encoding="utf-8"?>
<calcChain xmlns="http://schemas.openxmlformats.org/spreadsheetml/2006/main">
  <c r="G957" i="10"/>
  <c r="H957" s="1"/>
  <c r="E956"/>
  <c r="G956"/>
  <c r="H956" s="1"/>
  <c r="G955"/>
  <c r="H955" s="1"/>
  <c r="E954"/>
  <c r="G954"/>
  <c r="H954" s="1"/>
  <c r="G953"/>
  <c r="H953" s="1"/>
  <c r="G952"/>
  <c r="H952" s="1"/>
  <c r="E950"/>
  <c r="E951" s="1"/>
  <c r="H951" s="1"/>
  <c r="G950"/>
  <c r="H950" s="1"/>
  <c r="G949"/>
  <c r="H949" s="1"/>
  <c r="G948"/>
  <c r="H948" s="1"/>
  <c r="G947"/>
  <c r="H947" s="1"/>
  <c r="E946"/>
  <c r="G946"/>
  <c r="H946"/>
  <c r="G945"/>
  <c r="H945"/>
  <c r="E944"/>
  <c r="G944"/>
  <c r="H944" s="1"/>
  <c r="G943"/>
  <c r="H943" s="1"/>
  <c r="E942"/>
  <c r="G942"/>
  <c r="H942"/>
  <c r="G941"/>
  <c r="H941"/>
  <c r="G940"/>
  <c r="H940"/>
  <c r="G939"/>
  <c r="H939"/>
  <c r="E938"/>
  <c r="G938"/>
  <c r="H938" s="1"/>
  <c r="G937"/>
  <c r="H937" s="1"/>
  <c r="G936"/>
  <c r="H936" s="1"/>
  <c r="E932"/>
  <c r="E934"/>
  <c r="E935"/>
  <c r="G935"/>
  <c r="H935"/>
  <c r="G934"/>
  <c r="H934"/>
  <c r="G933"/>
  <c r="H933"/>
  <c r="G932"/>
  <c r="H932"/>
  <c r="G931"/>
  <c r="H931"/>
  <c r="G930"/>
  <c r="H930"/>
  <c r="E929"/>
  <c r="G929"/>
  <c r="H929" s="1"/>
  <c r="G928"/>
  <c r="H928" s="1"/>
  <c r="E927"/>
  <c r="G927"/>
  <c r="H927"/>
  <c r="G926"/>
  <c r="H926"/>
  <c r="G923"/>
  <c r="H923"/>
  <c r="G922"/>
  <c r="H922"/>
  <c r="G920"/>
  <c r="H920"/>
  <c r="E918"/>
  <c r="E919"/>
  <c r="G919"/>
  <c r="H919"/>
  <c r="G918"/>
  <c r="H918"/>
  <c r="G917"/>
  <c r="H917"/>
  <c r="G916"/>
  <c r="H916"/>
  <c r="E908"/>
  <c r="E909"/>
  <c r="E910"/>
  <c r="E911"/>
  <c r="E912"/>
  <c r="E913"/>
  <c r="G907"/>
  <c r="H907"/>
  <c r="E906"/>
  <c r="G906"/>
  <c r="H906" s="1"/>
  <c r="E905"/>
  <c r="G905"/>
  <c r="H905" s="1"/>
  <c r="G904"/>
  <c r="H904"/>
  <c r="G903"/>
  <c r="H903"/>
  <c r="E889"/>
  <c r="E891"/>
  <c r="E893"/>
  <c r="E895"/>
  <c r="E897"/>
  <c r="E899"/>
  <c r="E901"/>
  <c r="E902"/>
  <c r="G902"/>
  <c r="H902"/>
  <c r="G901"/>
  <c r="H901"/>
  <c r="G900"/>
  <c r="H900"/>
  <c r="G899"/>
  <c r="H899"/>
  <c r="G898"/>
  <c r="H898"/>
  <c r="G897"/>
  <c r="H897"/>
  <c r="G896"/>
  <c r="H896"/>
  <c r="G895"/>
  <c r="H895"/>
  <c r="G894"/>
  <c r="H894"/>
  <c r="G893"/>
  <c r="H893"/>
  <c r="G892"/>
  <c r="H892"/>
  <c r="G891"/>
  <c r="H891"/>
  <c r="G890"/>
  <c r="H890"/>
  <c r="G889"/>
  <c r="H889"/>
  <c r="G888"/>
  <c r="H888"/>
  <c r="G887"/>
  <c r="H887"/>
  <c r="G886"/>
  <c r="H886"/>
  <c r="E880"/>
  <c r="E882"/>
  <c r="E884"/>
  <c r="E885"/>
  <c r="G885"/>
  <c r="H885"/>
  <c r="G884"/>
  <c r="H884"/>
  <c r="G883"/>
  <c r="H883"/>
  <c r="G882"/>
  <c r="H882"/>
  <c r="G881"/>
  <c r="H881"/>
  <c r="G880"/>
  <c r="H880"/>
  <c r="G879"/>
  <c r="H879"/>
  <c r="G878"/>
  <c r="H878"/>
  <c r="E866"/>
  <c r="E868"/>
  <c r="E870"/>
  <c r="E872"/>
  <c r="E874"/>
  <c r="E876"/>
  <c r="G877"/>
  <c r="G876"/>
  <c r="G875"/>
  <c r="H875" s="1"/>
  <c r="G874"/>
  <c r="H874" s="1"/>
  <c r="G873"/>
  <c r="H873" s="1"/>
  <c r="G872"/>
  <c r="G871"/>
  <c r="H871" s="1"/>
  <c r="G870"/>
  <c r="H870" s="1"/>
  <c r="G869"/>
  <c r="H869" s="1"/>
  <c r="G868"/>
  <c r="G867"/>
  <c r="H867" s="1"/>
  <c r="G866"/>
  <c r="H866" s="1"/>
  <c r="G865"/>
  <c r="H865" s="1"/>
  <c r="G864"/>
  <c r="H864" s="1"/>
  <c r="G863"/>
  <c r="H863" s="1"/>
  <c r="G851"/>
  <c r="H851" s="1"/>
  <c r="E850"/>
  <c r="G850"/>
  <c r="H850" s="1"/>
  <c r="G849"/>
  <c r="H849" s="1"/>
  <c r="G848"/>
  <c r="H848" s="1"/>
  <c r="E312"/>
  <c r="E847"/>
  <c r="G847"/>
  <c r="H847" s="1"/>
  <c r="G846"/>
  <c r="H846" s="1"/>
  <c r="E845"/>
  <c r="G845"/>
  <c r="G844"/>
  <c r="H844" s="1"/>
  <c r="E314"/>
  <c r="E838"/>
  <c r="E843"/>
  <c r="G843"/>
  <c r="H843" s="1"/>
  <c r="G842"/>
  <c r="H842" s="1"/>
  <c r="E841"/>
  <c r="G841"/>
  <c r="G840"/>
  <c r="H840" s="1"/>
  <c r="G839"/>
  <c r="H839" s="1"/>
  <c r="G838"/>
  <c r="H838" s="1"/>
  <c r="G837"/>
  <c r="H837" s="1"/>
  <c r="E835"/>
  <c r="E834"/>
  <c r="E836"/>
  <c r="G836"/>
  <c r="H836"/>
  <c r="G835"/>
  <c r="H835"/>
  <c r="G834"/>
  <c r="H834"/>
  <c r="G833"/>
  <c r="H833"/>
  <c r="E832"/>
  <c r="G832"/>
  <c r="H832" s="1"/>
  <c r="G831"/>
  <c r="H831" s="1"/>
  <c r="G828"/>
  <c r="H828" s="1"/>
  <c r="G827"/>
  <c r="H827" s="1"/>
  <c r="G826"/>
  <c r="H826" s="1"/>
  <c r="G825"/>
  <c r="H825" s="1"/>
  <c r="G824"/>
  <c r="H824" s="1"/>
  <c r="G823"/>
  <c r="H823" s="1"/>
  <c r="G822"/>
  <c r="H822" s="1"/>
  <c r="G821"/>
  <c r="H821" s="1"/>
  <c r="G804"/>
  <c r="H804" s="1"/>
  <c r="E803"/>
  <c r="G803"/>
  <c r="H803" s="1"/>
  <c r="G802"/>
  <c r="H802" s="1"/>
  <c r="G801"/>
  <c r="H801" s="1"/>
  <c r="G800"/>
  <c r="H800" s="1"/>
  <c r="G799"/>
  <c r="H799" s="1"/>
  <c r="G798"/>
  <c r="H798" s="1"/>
  <c r="G797"/>
  <c r="H797" s="1"/>
  <c r="G796"/>
  <c r="H796" s="1"/>
  <c r="E795"/>
  <c r="G795"/>
  <c r="G794"/>
  <c r="H794" s="1"/>
  <c r="G793"/>
  <c r="H793" s="1"/>
  <c r="G792"/>
  <c r="H792" s="1"/>
  <c r="G791"/>
  <c r="H791" s="1"/>
  <c r="G790"/>
  <c r="H790" s="1"/>
  <c r="E789"/>
  <c r="G789"/>
  <c r="H789" s="1"/>
  <c r="G788"/>
  <c r="H788" s="1"/>
  <c r="G787"/>
  <c r="H787" s="1"/>
  <c r="G786"/>
  <c r="H786" s="1"/>
  <c r="G785"/>
  <c r="H785" s="1"/>
  <c r="G784"/>
  <c r="H784" s="1"/>
  <c r="G783"/>
  <c r="H783" s="1"/>
  <c r="G782"/>
  <c r="H782" s="1"/>
  <c r="G781"/>
  <c r="H781" s="1"/>
  <c r="G780"/>
  <c r="H780" s="1"/>
  <c r="G779"/>
  <c r="H779" s="1"/>
  <c r="G778"/>
  <c r="H778" s="1"/>
  <c r="G777"/>
  <c r="H777" s="1"/>
  <c r="G776"/>
  <c r="H776" s="1"/>
  <c r="G775"/>
  <c r="H775" s="1"/>
  <c r="G774"/>
  <c r="H774" s="1"/>
  <c r="E773"/>
  <c r="G773"/>
  <c r="G772"/>
  <c r="H772" s="1"/>
  <c r="G771"/>
  <c r="H771" s="1"/>
  <c r="G770"/>
  <c r="H770" s="1"/>
  <c r="E769"/>
  <c r="G769"/>
  <c r="H769" s="1"/>
  <c r="G768"/>
  <c r="H768" s="1"/>
  <c r="G767"/>
  <c r="H767" s="1"/>
  <c r="G766"/>
  <c r="H766" s="1"/>
  <c r="G765"/>
  <c r="H765" s="1"/>
  <c r="G764"/>
  <c r="H764" s="1"/>
  <c r="E763"/>
  <c r="G763"/>
  <c r="G762"/>
  <c r="H762" s="1"/>
  <c r="G761"/>
  <c r="H761" s="1"/>
  <c r="G760"/>
  <c r="H760" s="1"/>
  <c r="G759"/>
  <c r="H759" s="1"/>
  <c r="G758"/>
  <c r="H758" s="1"/>
  <c r="G757"/>
  <c r="H757" s="1"/>
  <c r="G756"/>
  <c r="H756" s="1"/>
  <c r="E755"/>
  <c r="G755"/>
  <c r="H755" s="1"/>
  <c r="G754"/>
  <c r="H754" s="1"/>
  <c r="G753"/>
  <c r="H753" s="1"/>
  <c r="G752"/>
  <c r="H752" s="1"/>
  <c r="E751"/>
  <c r="G751"/>
  <c r="G750"/>
  <c r="H750" s="1"/>
  <c r="G749"/>
  <c r="H749" s="1"/>
  <c r="G748"/>
  <c r="H748" s="1"/>
  <c r="G747"/>
  <c r="H747" s="1"/>
  <c r="G746"/>
  <c r="H746" s="1"/>
  <c r="E745"/>
  <c r="G745"/>
  <c r="H745" s="1"/>
  <c r="G744"/>
  <c r="H744" s="1"/>
  <c r="G743"/>
  <c r="H743" s="1"/>
  <c r="G742"/>
  <c r="H742" s="1"/>
  <c r="G741"/>
  <c r="H741" s="1"/>
  <c r="G740"/>
  <c r="H740" s="1"/>
  <c r="G735"/>
  <c r="H735" s="1"/>
  <c r="E734"/>
  <c r="G734"/>
  <c r="G733"/>
  <c r="H733" s="1"/>
  <c r="G732"/>
  <c r="H732" s="1"/>
  <c r="G731"/>
  <c r="H731" s="1"/>
  <c r="G730"/>
  <c r="H730" s="1"/>
  <c r="G729"/>
  <c r="H729" s="1"/>
  <c r="E728"/>
  <c r="G728"/>
  <c r="H728" s="1"/>
  <c r="G727"/>
  <c r="H727" s="1"/>
  <c r="G726"/>
  <c r="H726" s="1"/>
  <c r="G725"/>
  <c r="H725" s="1"/>
  <c r="G724"/>
  <c r="H724" s="1"/>
  <c r="G723"/>
  <c r="H723" s="1"/>
  <c r="G722"/>
  <c r="H722" s="1"/>
  <c r="G721"/>
  <c r="H721" s="1"/>
  <c r="G720"/>
  <c r="H720" s="1"/>
  <c r="G719"/>
  <c r="H719" s="1"/>
  <c r="G718"/>
  <c r="H718" s="1"/>
  <c r="G717"/>
  <c r="H717" s="1"/>
  <c r="G716"/>
  <c r="H716" s="1"/>
  <c r="G715"/>
  <c r="H715" s="1"/>
  <c r="G714"/>
  <c r="H714" s="1"/>
  <c r="G713"/>
  <c r="H713" s="1"/>
  <c r="E712"/>
  <c r="G712"/>
  <c r="G711"/>
  <c r="H711" s="1"/>
  <c r="G710"/>
  <c r="H710" s="1"/>
  <c r="G709"/>
  <c r="H709" s="1"/>
  <c r="E708"/>
  <c r="G708"/>
  <c r="H708" s="1"/>
  <c r="G707"/>
  <c r="H707" s="1"/>
  <c r="G706"/>
  <c r="H706" s="1"/>
  <c r="G705"/>
  <c r="H705" s="1"/>
  <c r="G704"/>
  <c r="H704" s="1"/>
  <c r="G703"/>
  <c r="H703" s="1"/>
  <c r="G702"/>
  <c r="H702" s="1"/>
  <c r="G701"/>
  <c r="H701" s="1"/>
  <c r="E700"/>
  <c r="G700"/>
  <c r="G699"/>
  <c r="H699" s="1"/>
  <c r="G698"/>
  <c r="H698" s="1"/>
  <c r="G697"/>
  <c r="H697" s="1"/>
  <c r="G696"/>
  <c r="H696" s="1"/>
  <c r="E695"/>
  <c r="G695"/>
  <c r="H695"/>
  <c r="G694"/>
  <c r="H694"/>
  <c r="G693"/>
  <c r="H693"/>
  <c r="G692"/>
  <c r="H692"/>
  <c r="E691"/>
  <c r="G691"/>
  <c r="H691" s="1"/>
  <c r="G690"/>
  <c r="H690" s="1"/>
  <c r="G689"/>
  <c r="H689" s="1"/>
  <c r="G688"/>
  <c r="H688" s="1"/>
  <c r="G687"/>
  <c r="H687" s="1"/>
  <c r="G686"/>
  <c r="H686" s="1"/>
  <c r="G685"/>
  <c r="H685" s="1"/>
  <c r="G684"/>
  <c r="H684" s="1"/>
  <c r="G683"/>
  <c r="H683" s="1"/>
  <c r="G682"/>
  <c r="H682" s="1"/>
  <c r="G681"/>
  <c r="H681" s="1"/>
  <c r="E680"/>
  <c r="G680"/>
  <c r="H680" s="1"/>
  <c r="G679"/>
  <c r="H679" s="1"/>
  <c r="G678"/>
  <c r="H678" s="1"/>
  <c r="G677"/>
  <c r="H677" s="1"/>
  <c r="G676"/>
  <c r="H676" s="1"/>
  <c r="G675"/>
  <c r="H675" s="1"/>
  <c r="G674"/>
  <c r="H674" s="1"/>
  <c r="G673"/>
  <c r="H673" s="1"/>
  <c r="G672"/>
  <c r="H672" s="1"/>
  <c r="G671"/>
  <c r="H671" s="1"/>
  <c r="G670"/>
  <c r="H670" s="1"/>
  <c r="G669"/>
  <c r="H669" s="1"/>
  <c r="G668"/>
  <c r="H668" s="1"/>
  <c r="G667"/>
  <c r="H667" s="1"/>
  <c r="G666"/>
  <c r="H666" s="1"/>
  <c r="G665"/>
  <c r="H665" s="1"/>
  <c r="E664"/>
  <c r="G664"/>
  <c r="G663"/>
  <c r="H663" s="1"/>
  <c r="G662"/>
  <c r="H662" s="1"/>
  <c r="G661"/>
  <c r="H661" s="1"/>
  <c r="G660"/>
  <c r="H660" s="1"/>
  <c r="G659"/>
  <c r="H659" s="1"/>
  <c r="G658"/>
  <c r="H658" s="1"/>
  <c r="G657"/>
  <c r="H657" s="1"/>
  <c r="G656"/>
  <c r="H656" s="1"/>
  <c r="G655"/>
  <c r="H655" s="1"/>
  <c r="E654"/>
  <c r="G654"/>
  <c r="H654" s="1"/>
  <c r="G653"/>
  <c r="H653" s="1"/>
  <c r="G652"/>
  <c r="H652" s="1"/>
  <c r="G651"/>
  <c r="H651" s="1"/>
  <c r="G650"/>
  <c r="H650" s="1"/>
  <c r="G649"/>
  <c r="H649" s="1"/>
  <c r="G648"/>
  <c r="H648" s="1"/>
  <c r="G647"/>
  <c r="H647" s="1"/>
  <c r="G646"/>
  <c r="H646" s="1"/>
  <c r="G645"/>
  <c r="H645" s="1"/>
  <c r="E644"/>
  <c r="G644"/>
  <c r="G643"/>
  <c r="H643" s="1"/>
  <c r="G642"/>
  <c r="H642" s="1"/>
  <c r="G641"/>
  <c r="H641" s="1"/>
  <c r="G640"/>
  <c r="H640" s="1"/>
  <c r="G639"/>
  <c r="H639" s="1"/>
  <c r="G638"/>
  <c r="H638" s="1"/>
  <c r="G637"/>
  <c r="H637" s="1"/>
  <c r="G636"/>
  <c r="H636" s="1"/>
  <c r="G635"/>
  <c r="H635" s="1"/>
  <c r="E634"/>
  <c r="G634"/>
  <c r="H634" s="1"/>
  <c r="G633"/>
  <c r="H633" s="1"/>
  <c r="G632"/>
  <c r="H632" s="1"/>
  <c r="G631"/>
  <c r="H631" s="1"/>
  <c r="G630"/>
  <c r="H630" s="1"/>
  <c r="G629"/>
  <c r="H629" s="1"/>
  <c r="G628"/>
  <c r="H628" s="1"/>
  <c r="G627"/>
  <c r="H627" s="1"/>
  <c r="G626"/>
  <c r="H626" s="1"/>
  <c r="G625"/>
  <c r="H625" s="1"/>
  <c r="G618"/>
  <c r="H618" s="1"/>
  <c r="E617"/>
  <c r="G617"/>
  <c r="G616"/>
  <c r="H616" s="1"/>
  <c r="G615"/>
  <c r="H615" s="1"/>
  <c r="G614"/>
  <c r="H614" s="1"/>
  <c r="G613"/>
  <c r="H613" s="1"/>
  <c r="G612"/>
  <c r="H612" s="1"/>
  <c r="G611"/>
  <c r="H611" s="1"/>
  <c r="G610"/>
  <c r="H610" s="1"/>
  <c r="G609"/>
  <c r="H609" s="1"/>
  <c r="G608"/>
  <c r="H608" s="1"/>
  <c r="G607"/>
  <c r="H607" s="1"/>
  <c r="G606"/>
  <c r="H606" s="1"/>
  <c r="G605"/>
  <c r="H605" s="1"/>
  <c r="G604"/>
  <c r="H604" s="1"/>
  <c r="G603"/>
  <c r="H603" s="1"/>
  <c r="G602"/>
  <c r="H602" s="1"/>
  <c r="E601"/>
  <c r="G601"/>
  <c r="H601" s="1"/>
  <c r="G600"/>
  <c r="H600" s="1"/>
  <c r="G599"/>
  <c r="H599" s="1"/>
  <c r="G598"/>
  <c r="H598" s="1"/>
  <c r="G597"/>
  <c r="H597" s="1"/>
  <c r="G596"/>
  <c r="H596" s="1"/>
  <c r="G595"/>
  <c r="H595" s="1"/>
  <c r="G594"/>
  <c r="H594" s="1"/>
  <c r="G593"/>
  <c r="H593" s="1"/>
  <c r="G592"/>
  <c r="H592" s="1"/>
  <c r="E591"/>
  <c r="G591"/>
  <c r="G590"/>
  <c r="H590" s="1"/>
  <c r="G589"/>
  <c r="H589" s="1"/>
  <c r="G588"/>
  <c r="H588" s="1"/>
  <c r="G587"/>
  <c r="H587" s="1"/>
  <c r="G586"/>
  <c r="H586" s="1"/>
  <c r="G585"/>
  <c r="H585" s="1"/>
  <c r="G584"/>
  <c r="H584" s="1"/>
  <c r="G583"/>
  <c r="H583" s="1"/>
  <c r="G582"/>
  <c r="H582" s="1"/>
  <c r="G581"/>
  <c r="H581" s="1"/>
  <c r="G580"/>
  <c r="H580" s="1"/>
  <c r="G579"/>
  <c r="H579" s="1"/>
  <c r="G572"/>
  <c r="H572" s="1"/>
  <c r="E571"/>
  <c r="G571"/>
  <c r="H571" s="1"/>
  <c r="G570"/>
  <c r="H570" s="1"/>
  <c r="G569"/>
  <c r="H569" s="1"/>
  <c r="G568"/>
  <c r="H568" s="1"/>
  <c r="G567"/>
  <c r="H567" s="1"/>
  <c r="G566"/>
  <c r="H566" s="1"/>
  <c r="G565"/>
  <c r="H565" s="1"/>
  <c r="G564"/>
  <c r="H564" s="1"/>
  <c r="E563"/>
  <c r="G563"/>
  <c r="G562"/>
  <c r="H562" s="1"/>
  <c r="G561"/>
  <c r="H561" s="1"/>
  <c r="G560"/>
  <c r="H560" s="1"/>
  <c r="G559"/>
  <c r="H559" s="1"/>
  <c r="G558"/>
  <c r="H558" s="1"/>
  <c r="G557"/>
  <c r="H557" s="1"/>
  <c r="G556"/>
  <c r="H556" s="1"/>
  <c r="G555"/>
  <c r="H555" s="1"/>
  <c r="G554"/>
  <c r="H554" s="1"/>
  <c r="G553"/>
  <c r="H553" s="1"/>
  <c r="G552"/>
  <c r="H552" s="1"/>
  <c r="G551"/>
  <c r="H551" s="1"/>
  <c r="G550"/>
  <c r="H550" s="1"/>
  <c r="G547"/>
  <c r="H547" s="1"/>
  <c r="G546"/>
  <c r="H546" s="1"/>
  <c r="G545"/>
  <c r="H545" s="1"/>
  <c r="G544"/>
  <c r="H544" s="1"/>
  <c r="G541"/>
  <c r="H541" s="1"/>
  <c r="E540"/>
  <c r="G540"/>
  <c r="H540"/>
  <c r="G539"/>
  <c r="H539"/>
  <c r="G538"/>
  <c r="H538"/>
  <c r="G537"/>
  <c r="H537"/>
  <c r="G536"/>
  <c r="H536"/>
  <c r="G535"/>
  <c r="H535"/>
  <c r="G534"/>
  <c r="H534"/>
  <c r="G533"/>
  <c r="H533"/>
  <c r="G532"/>
  <c r="H532"/>
  <c r="G531"/>
  <c r="H531"/>
  <c r="G530"/>
  <c r="H530"/>
  <c r="G529"/>
  <c r="H529"/>
  <c r="G528"/>
  <c r="H528"/>
  <c r="G527"/>
  <c r="H527"/>
  <c r="G526"/>
  <c r="H526"/>
  <c r="G525"/>
  <c r="H525"/>
  <c r="G524"/>
  <c r="H524"/>
  <c r="G523"/>
  <c r="H523"/>
  <c r="E522"/>
  <c r="G522"/>
  <c r="H522" s="1"/>
  <c r="G521"/>
  <c r="H521" s="1"/>
  <c r="G520"/>
  <c r="H520" s="1"/>
  <c r="G519"/>
  <c r="H519" s="1"/>
  <c r="G518"/>
  <c r="H518" s="1"/>
  <c r="G517"/>
  <c r="H517" s="1"/>
  <c r="G516"/>
  <c r="H516" s="1"/>
  <c r="G515"/>
  <c r="H515" s="1"/>
  <c r="G514"/>
  <c r="H514" s="1"/>
  <c r="G513"/>
  <c r="H513" s="1"/>
  <c r="G512"/>
  <c r="H512" s="1"/>
  <c r="G511"/>
  <c r="H511" s="1"/>
  <c r="G510"/>
  <c r="H510" s="1"/>
  <c r="G509"/>
  <c r="H509" s="1"/>
  <c r="G508"/>
  <c r="H508" s="1"/>
  <c r="G507"/>
  <c r="H507" s="1"/>
  <c r="G506"/>
  <c r="H506" s="1"/>
  <c r="G505"/>
  <c r="H505" s="1"/>
  <c r="G504"/>
  <c r="H504" s="1"/>
  <c r="G503"/>
  <c r="H503" s="1"/>
  <c r="G502"/>
  <c r="H502" s="1"/>
  <c r="G501"/>
  <c r="H501" s="1"/>
  <c r="G500"/>
  <c r="H500" s="1"/>
  <c r="G499"/>
  <c r="H499" s="1"/>
  <c r="G498"/>
  <c r="H498" s="1"/>
  <c r="G497"/>
  <c r="H497" s="1"/>
  <c r="G496"/>
  <c r="H496" s="1"/>
  <c r="E495"/>
  <c r="G495"/>
  <c r="H495" s="1"/>
  <c r="G494"/>
  <c r="H494" s="1"/>
  <c r="G493"/>
  <c r="H493" s="1"/>
  <c r="G492"/>
  <c r="H492" s="1"/>
  <c r="G491"/>
  <c r="H491" s="1"/>
  <c r="G490"/>
  <c r="H490" s="1"/>
  <c r="G489"/>
  <c r="H489" s="1"/>
  <c r="E488"/>
  <c r="G488"/>
  <c r="G487"/>
  <c r="H487" s="1"/>
  <c r="G486"/>
  <c r="H486" s="1"/>
  <c r="G485"/>
  <c r="H485" s="1"/>
  <c r="G484"/>
  <c r="H484" s="1"/>
  <c r="G483"/>
  <c r="H483" s="1"/>
  <c r="G482"/>
  <c r="H482" s="1"/>
  <c r="G481"/>
  <c r="H481" s="1"/>
  <c r="G480"/>
  <c r="H480" s="1"/>
  <c r="G479"/>
  <c r="H479" s="1"/>
  <c r="G478"/>
  <c r="H478" s="1"/>
  <c r="G477"/>
  <c r="H477" s="1"/>
  <c r="G476"/>
  <c r="H476" s="1"/>
  <c r="G475"/>
  <c r="H475" s="1"/>
  <c r="G474"/>
  <c r="H474" s="1"/>
  <c r="G473"/>
  <c r="H473" s="1"/>
  <c r="G472"/>
  <c r="H472" s="1"/>
  <c r="G471"/>
  <c r="H471" s="1"/>
  <c r="G470"/>
  <c r="H470" s="1"/>
  <c r="G469"/>
  <c r="H469" s="1"/>
  <c r="G468"/>
  <c r="H468" s="1"/>
  <c r="G467"/>
  <c r="H467" s="1"/>
  <c r="G466"/>
  <c r="H466" s="1"/>
  <c r="G465"/>
  <c r="H465" s="1"/>
  <c r="G464"/>
  <c r="H464" s="1"/>
  <c r="G463"/>
  <c r="H463" s="1"/>
  <c r="G462"/>
  <c r="H462" s="1"/>
  <c r="G461"/>
  <c r="H461" s="1"/>
  <c r="G460"/>
  <c r="H460" s="1"/>
  <c r="G459"/>
  <c r="H459" s="1"/>
  <c r="G458"/>
  <c r="H458" s="1"/>
  <c r="G457"/>
  <c r="H457" s="1"/>
  <c r="G456"/>
  <c r="H456" s="1"/>
  <c r="G455"/>
  <c r="H455" s="1"/>
  <c r="G454"/>
  <c r="H454" s="1"/>
  <c r="G453"/>
  <c r="H453" s="1"/>
  <c r="G452"/>
  <c r="H452" s="1"/>
  <c r="G451"/>
  <c r="H451" s="1"/>
  <c r="G450"/>
  <c r="H450" s="1"/>
  <c r="E449"/>
  <c r="G449"/>
  <c r="H449"/>
  <c r="G448"/>
  <c r="H448"/>
  <c r="G447"/>
  <c r="H447"/>
  <c r="E446"/>
  <c r="G446"/>
  <c r="H446" s="1"/>
  <c r="G445"/>
  <c r="H445" s="1"/>
  <c r="E444"/>
  <c r="G444"/>
  <c r="H444"/>
  <c r="G443"/>
  <c r="H443"/>
  <c r="E442"/>
  <c r="G442"/>
  <c r="H442" s="1"/>
  <c r="G441"/>
  <c r="H441" s="1"/>
  <c r="G435"/>
  <c r="H435" s="1"/>
  <c r="E433"/>
  <c r="G434"/>
  <c r="G433"/>
  <c r="G432"/>
  <c r="H432" s="1"/>
  <c r="G431"/>
  <c r="H431" s="1"/>
  <c r="E423"/>
  <c r="E425"/>
  <c r="E427"/>
  <c r="E429"/>
  <c r="E430"/>
  <c r="G430"/>
  <c r="H430"/>
  <c r="G429"/>
  <c r="H429"/>
  <c r="G428"/>
  <c r="H428"/>
  <c r="G427"/>
  <c r="H427"/>
  <c r="G426"/>
  <c r="H426"/>
  <c r="G425"/>
  <c r="H425"/>
  <c r="G424"/>
  <c r="H424"/>
  <c r="G423"/>
  <c r="H423"/>
  <c r="G422"/>
  <c r="H422"/>
  <c r="G421"/>
  <c r="H421"/>
  <c r="E411"/>
  <c r="E413"/>
  <c r="E415"/>
  <c r="E417"/>
  <c r="E419"/>
  <c r="E420"/>
  <c r="G420"/>
  <c r="H420"/>
  <c r="G419"/>
  <c r="H419"/>
  <c r="G418"/>
  <c r="H418"/>
  <c r="G417"/>
  <c r="H417"/>
  <c r="G416"/>
  <c r="H416"/>
  <c r="G415"/>
  <c r="H415"/>
  <c r="G414"/>
  <c r="H414"/>
  <c r="G413"/>
  <c r="H413"/>
  <c r="G412"/>
  <c r="H412"/>
  <c r="G411"/>
  <c r="H411"/>
  <c r="G410"/>
  <c r="H410"/>
  <c r="G409"/>
  <c r="H409"/>
  <c r="E403"/>
  <c r="E405"/>
  <c r="E407"/>
  <c r="E408"/>
  <c r="G408"/>
  <c r="H408"/>
  <c r="G407"/>
  <c r="H407"/>
  <c r="G406"/>
  <c r="H406"/>
  <c r="G405"/>
  <c r="H405"/>
  <c r="G404"/>
  <c r="H404"/>
  <c r="G403"/>
  <c r="H403"/>
  <c r="G402"/>
  <c r="H402"/>
  <c r="G401"/>
  <c r="H401"/>
  <c r="G400"/>
  <c r="H400"/>
  <c r="G399"/>
  <c r="H399"/>
  <c r="G398"/>
  <c r="H398"/>
  <c r="G397"/>
  <c r="H397"/>
  <c r="G396"/>
  <c r="H396"/>
  <c r="G395"/>
  <c r="H395"/>
  <c r="E394"/>
  <c r="G394"/>
  <c r="H394" s="1"/>
  <c r="G393"/>
  <c r="H393" s="1"/>
  <c r="G392"/>
  <c r="H392" s="1"/>
  <c r="G391"/>
  <c r="H391" s="1"/>
  <c r="G390"/>
  <c r="H390" s="1"/>
  <c r="G389"/>
  <c r="H389" s="1"/>
  <c r="E388"/>
  <c r="G388"/>
  <c r="H388"/>
  <c r="G387"/>
  <c r="H387"/>
  <c r="G386"/>
  <c r="H386"/>
  <c r="G385"/>
  <c r="H385"/>
  <c r="G384"/>
  <c r="H384"/>
  <c r="G383"/>
  <c r="H383"/>
  <c r="G382"/>
  <c r="H382"/>
  <c r="G381"/>
  <c r="H381"/>
  <c r="G380"/>
  <c r="H380"/>
  <c r="G379"/>
  <c r="H379"/>
  <c r="G378"/>
  <c r="H378"/>
  <c r="G377"/>
  <c r="H377"/>
  <c r="G376"/>
  <c r="H376"/>
  <c r="G375"/>
  <c r="H375"/>
  <c r="G374"/>
  <c r="H374"/>
  <c r="G373"/>
  <c r="H373"/>
  <c r="G372"/>
  <c r="H372"/>
  <c r="G371"/>
  <c r="H371"/>
  <c r="G370"/>
  <c r="H370"/>
  <c r="G369"/>
  <c r="H369"/>
  <c r="E368"/>
  <c r="G368"/>
  <c r="H368" s="1"/>
  <c r="G367"/>
  <c r="H367" s="1"/>
  <c r="G366"/>
  <c r="H366" s="1"/>
  <c r="G365"/>
  <c r="H365" s="1"/>
  <c r="G364"/>
  <c r="H364" s="1"/>
  <c r="G363"/>
  <c r="H363" s="1"/>
  <c r="E360"/>
  <c r="E348"/>
  <c r="E350"/>
  <c r="E359" s="1"/>
  <c r="H359" s="1"/>
  <c r="E352"/>
  <c r="E354"/>
  <c r="H354" s="1"/>
  <c r="E356"/>
  <c r="E358"/>
  <c r="H358" s="1"/>
  <c r="G359"/>
  <c r="G358"/>
  <c r="G357"/>
  <c r="H357" s="1"/>
  <c r="G356"/>
  <c r="H356" s="1"/>
  <c r="G355"/>
  <c r="H355" s="1"/>
  <c r="G354"/>
  <c r="G353"/>
  <c r="H353" s="1"/>
  <c r="G352"/>
  <c r="H352" s="1"/>
  <c r="G351"/>
  <c r="H351" s="1"/>
  <c r="G350"/>
  <c r="G349"/>
  <c r="H349" s="1"/>
  <c r="G348"/>
  <c r="H348" s="1"/>
  <c r="G347"/>
  <c r="H347" s="1"/>
  <c r="G346"/>
  <c r="H346" s="1"/>
  <c r="E344"/>
  <c r="E345" s="1"/>
  <c r="H345" s="1"/>
  <c r="G345"/>
  <c r="G344"/>
  <c r="G343"/>
  <c r="H343" s="1"/>
  <c r="G342"/>
  <c r="H342" s="1"/>
  <c r="E322"/>
  <c r="E341" s="1"/>
  <c r="H341" s="1"/>
  <c r="G341"/>
  <c r="G340"/>
  <c r="H340" s="1"/>
  <c r="G339"/>
  <c r="H339" s="1"/>
  <c r="G338"/>
  <c r="H338" s="1"/>
  <c r="G337"/>
  <c r="H337" s="1"/>
  <c r="G336"/>
  <c r="H336" s="1"/>
  <c r="G335"/>
  <c r="H335" s="1"/>
  <c r="G334"/>
  <c r="H334" s="1"/>
  <c r="G333"/>
  <c r="H333" s="1"/>
  <c r="G332"/>
  <c r="H332" s="1"/>
  <c r="G331"/>
  <c r="H331" s="1"/>
  <c r="G330"/>
  <c r="H330" s="1"/>
  <c r="G329"/>
  <c r="H329" s="1"/>
  <c r="G328"/>
  <c r="H328" s="1"/>
  <c r="G327"/>
  <c r="H327" s="1"/>
  <c r="G326"/>
  <c r="H326" s="1"/>
  <c r="G325"/>
  <c r="H325" s="1"/>
  <c r="G324"/>
  <c r="H324" s="1"/>
  <c r="G323"/>
  <c r="H323" s="1"/>
  <c r="G322"/>
  <c r="G321"/>
  <c r="H321" s="1"/>
  <c r="G320"/>
  <c r="H320" s="1"/>
  <c r="E316"/>
  <c r="G315"/>
  <c r="H315" s="1"/>
  <c r="G314"/>
  <c r="H314" s="1"/>
  <c r="G313"/>
  <c r="H313" s="1"/>
  <c r="G312"/>
  <c r="H312" s="1"/>
  <c r="G311"/>
  <c r="H311" s="1"/>
  <c r="E309"/>
  <c r="E310" s="1"/>
  <c r="H310" s="1"/>
  <c r="G310"/>
  <c r="G309"/>
  <c r="G308"/>
  <c r="H308" s="1"/>
  <c r="G307"/>
  <c r="H307" s="1"/>
  <c r="E295"/>
  <c r="E297"/>
  <c r="E306" s="1"/>
  <c r="H306" s="1"/>
  <c r="E299"/>
  <c r="E301"/>
  <c r="H301" s="1"/>
  <c r="E303"/>
  <c r="E305"/>
  <c r="H305" s="1"/>
  <c r="G306"/>
  <c r="G305"/>
  <c r="G304"/>
  <c r="H304" s="1"/>
  <c r="G303"/>
  <c r="H303" s="1"/>
  <c r="G302"/>
  <c r="H302" s="1"/>
  <c r="G301"/>
  <c r="G300"/>
  <c r="H300" s="1"/>
  <c r="G299"/>
  <c r="H299" s="1"/>
  <c r="G298"/>
  <c r="H298" s="1"/>
  <c r="G297"/>
  <c r="G296"/>
  <c r="H296" s="1"/>
  <c r="G295"/>
  <c r="H295" s="1"/>
  <c r="G294"/>
  <c r="H294" s="1"/>
  <c r="G293"/>
  <c r="H293" s="1"/>
  <c r="E263"/>
  <c r="E292" s="1"/>
  <c r="H292" s="1"/>
  <c r="G292"/>
  <c r="G291"/>
  <c r="H291" s="1"/>
  <c r="G290"/>
  <c r="H290" s="1"/>
  <c r="G289"/>
  <c r="H289" s="1"/>
  <c r="G288"/>
  <c r="H288" s="1"/>
  <c r="G287"/>
  <c r="H287" s="1"/>
  <c r="G286"/>
  <c r="H286" s="1"/>
  <c r="G285"/>
  <c r="H285" s="1"/>
  <c r="G284"/>
  <c r="H284" s="1"/>
  <c r="G283"/>
  <c r="H283" s="1"/>
  <c r="G282"/>
  <c r="H282" s="1"/>
  <c r="G281"/>
  <c r="H281" s="1"/>
  <c r="G280"/>
  <c r="H280" s="1"/>
  <c r="G279"/>
  <c r="H279" s="1"/>
  <c r="G278"/>
  <c r="H278" s="1"/>
  <c r="G277"/>
  <c r="H277" s="1"/>
  <c r="G276"/>
  <c r="H276" s="1"/>
  <c r="G275"/>
  <c r="H275" s="1"/>
  <c r="G274"/>
  <c r="H274" s="1"/>
  <c r="G273"/>
  <c r="H273" s="1"/>
  <c r="G272"/>
  <c r="H272" s="1"/>
  <c r="G271"/>
  <c r="H271" s="1"/>
  <c r="G270"/>
  <c r="H270" s="1"/>
  <c r="G269"/>
  <c r="H269" s="1"/>
  <c r="G268"/>
  <c r="H268" s="1"/>
  <c r="G267"/>
  <c r="H267" s="1"/>
  <c r="G266"/>
  <c r="H266" s="1"/>
  <c r="G265"/>
  <c r="H265" s="1"/>
  <c r="G264"/>
  <c r="H264" s="1"/>
  <c r="G263"/>
  <c r="G262"/>
  <c r="H262" s="1"/>
  <c r="G261"/>
  <c r="H261" s="1"/>
  <c r="E257"/>
  <c r="E259"/>
  <c r="G260"/>
  <c r="G259"/>
  <c r="G258"/>
  <c r="H258" s="1"/>
  <c r="G257"/>
  <c r="G256"/>
  <c r="H256" s="1"/>
  <c r="G255"/>
  <c r="H255" s="1"/>
  <c r="E225"/>
  <c r="E227"/>
  <c r="E229"/>
  <c r="E231"/>
  <c r="E233"/>
  <c r="E235"/>
  <c r="E237"/>
  <c r="E239"/>
  <c r="E241"/>
  <c r="E243"/>
  <c r="E245"/>
  <c r="E247"/>
  <c r="E249"/>
  <c r="E251"/>
  <c r="E253"/>
  <c r="G254"/>
  <c r="G253"/>
  <c r="G252"/>
  <c r="H252" s="1"/>
  <c r="G251"/>
  <c r="H251" s="1"/>
  <c r="G250"/>
  <c r="H250" s="1"/>
  <c r="G249"/>
  <c r="G248"/>
  <c r="H248" s="1"/>
  <c r="G247"/>
  <c r="H247" s="1"/>
  <c r="G246"/>
  <c r="H246" s="1"/>
  <c r="G245"/>
  <c r="G244"/>
  <c r="H244" s="1"/>
  <c r="G243"/>
  <c r="H243" s="1"/>
  <c r="G242"/>
  <c r="H242" s="1"/>
  <c r="G241"/>
  <c r="G240"/>
  <c r="H240" s="1"/>
  <c r="G239"/>
  <c r="H239" s="1"/>
  <c r="G238"/>
  <c r="H238" s="1"/>
  <c r="G237"/>
  <c r="G236"/>
  <c r="H236" s="1"/>
  <c r="G235"/>
  <c r="H235" s="1"/>
  <c r="G234"/>
  <c r="H234" s="1"/>
  <c r="G233"/>
  <c r="G232"/>
  <c r="H232" s="1"/>
  <c r="G231"/>
  <c r="H231" s="1"/>
  <c r="G230"/>
  <c r="H230" s="1"/>
  <c r="G229"/>
  <c r="G228"/>
  <c r="H228" s="1"/>
  <c r="G227"/>
  <c r="H227" s="1"/>
  <c r="G226"/>
  <c r="H226" s="1"/>
  <c r="G225"/>
  <c r="G224"/>
  <c r="H224" s="1"/>
  <c r="G223"/>
  <c r="H223" s="1"/>
  <c r="G219"/>
  <c r="H219" s="1"/>
  <c r="E217"/>
  <c r="E218" s="1"/>
  <c r="H218" s="1"/>
  <c r="G218"/>
  <c r="G217"/>
  <c r="G216"/>
  <c r="H216" s="1"/>
  <c r="E215"/>
  <c r="G215"/>
  <c r="H215"/>
  <c r="G214"/>
  <c r="H214"/>
  <c r="E212"/>
  <c r="E213"/>
  <c r="G213"/>
  <c r="H213"/>
  <c r="G212"/>
  <c r="H212"/>
  <c r="G211"/>
  <c r="H211"/>
  <c r="G210"/>
  <c r="H210"/>
  <c r="E208"/>
  <c r="E209"/>
  <c r="G209"/>
  <c r="H209"/>
  <c r="G208"/>
  <c r="H208"/>
  <c r="G207"/>
  <c r="H207"/>
  <c r="G206"/>
  <c r="H206"/>
  <c r="E204"/>
  <c r="E205"/>
  <c r="G205"/>
  <c r="H205"/>
  <c r="G204"/>
  <c r="H204"/>
  <c r="G203"/>
  <c r="H203"/>
  <c r="G202"/>
  <c r="H202"/>
  <c r="G195"/>
  <c r="H195"/>
  <c r="E172"/>
  <c r="E174"/>
  <c r="E176"/>
  <c r="E178"/>
  <c r="E180"/>
  <c r="E182"/>
  <c r="E184"/>
  <c r="E187"/>
  <c r="E189"/>
  <c r="E191"/>
  <c r="E193"/>
  <c r="E194"/>
  <c r="G194"/>
  <c r="H194"/>
  <c r="G193"/>
  <c r="H193"/>
  <c r="G192"/>
  <c r="H192"/>
  <c r="G191"/>
  <c r="H191"/>
  <c r="G190"/>
  <c r="H190"/>
  <c r="G189"/>
  <c r="H189"/>
  <c r="G188"/>
  <c r="H188"/>
  <c r="G187"/>
  <c r="H187"/>
  <c r="G186"/>
  <c r="H186"/>
  <c r="G185"/>
  <c r="H185"/>
  <c r="G184"/>
  <c r="H184"/>
  <c r="G183"/>
  <c r="H183"/>
  <c r="G182"/>
  <c r="H182"/>
  <c r="G181"/>
  <c r="H181"/>
  <c r="G180"/>
  <c r="H180"/>
  <c r="G179"/>
  <c r="H179"/>
  <c r="G178"/>
  <c r="H178"/>
  <c r="G177"/>
  <c r="H177"/>
  <c r="G176"/>
  <c r="H176"/>
  <c r="G175"/>
  <c r="H175"/>
  <c r="G174"/>
  <c r="H174"/>
  <c r="G173"/>
  <c r="H173"/>
  <c r="G172"/>
  <c r="H172"/>
  <c r="G171"/>
  <c r="H171"/>
  <c r="G170"/>
  <c r="H170"/>
  <c r="G169"/>
  <c r="H169"/>
  <c r="G168"/>
  <c r="H168"/>
  <c r="E164"/>
  <c r="E166"/>
  <c r="E167" s="1"/>
  <c r="H167" s="1"/>
  <c r="G167"/>
  <c r="G166"/>
  <c r="G165"/>
  <c r="H165" s="1"/>
  <c r="G164"/>
  <c r="H164" s="1"/>
  <c r="G163"/>
  <c r="H163" s="1"/>
  <c r="G162"/>
  <c r="H162" s="1"/>
  <c r="H200" s="1"/>
  <c r="G143"/>
  <c r="H143" s="1"/>
  <c r="H160" s="1"/>
  <c r="G129"/>
  <c r="H129" s="1"/>
  <c r="E127"/>
  <c r="E128" s="1"/>
  <c r="G128"/>
  <c r="G127"/>
  <c r="G126"/>
  <c r="H126" s="1"/>
  <c r="G125"/>
  <c r="H125" s="1"/>
  <c r="E123"/>
  <c r="E124" s="1"/>
  <c r="H124" s="1"/>
  <c r="G124"/>
  <c r="G123"/>
  <c r="G122"/>
  <c r="H122" s="1"/>
  <c r="G121"/>
  <c r="H121" s="1"/>
  <c r="E113"/>
  <c r="E115"/>
  <c r="E117"/>
  <c r="E119"/>
  <c r="G120"/>
  <c r="G119"/>
  <c r="G118"/>
  <c r="H118" s="1"/>
  <c r="G117"/>
  <c r="H117" s="1"/>
  <c r="G116"/>
  <c r="H116" s="1"/>
  <c r="G115"/>
  <c r="G114"/>
  <c r="H114" s="1"/>
  <c r="G113"/>
  <c r="H113" s="1"/>
  <c r="G112"/>
  <c r="H112" s="1"/>
  <c r="G111"/>
  <c r="H111" s="1"/>
  <c r="G110"/>
  <c r="H110" s="1"/>
  <c r="E102"/>
  <c r="E104"/>
  <c r="E106"/>
  <c r="E108"/>
  <c r="G109"/>
  <c r="G108"/>
  <c r="G107"/>
  <c r="H107" s="1"/>
  <c r="G106"/>
  <c r="G105"/>
  <c r="H105" s="1"/>
  <c r="G104"/>
  <c r="G103"/>
  <c r="H103" s="1"/>
  <c r="G102"/>
  <c r="G101"/>
  <c r="H101" s="1"/>
  <c r="G100"/>
  <c r="H100" s="1"/>
  <c r="G99"/>
  <c r="H99" s="1"/>
  <c r="G87"/>
  <c r="H87" s="1"/>
  <c r="E79"/>
  <c r="E81"/>
  <c r="E83"/>
  <c r="E85"/>
  <c r="E86"/>
  <c r="G86"/>
  <c r="H86"/>
  <c r="G85"/>
  <c r="H85"/>
  <c r="G84"/>
  <c r="H84"/>
  <c r="G83"/>
  <c r="H83"/>
  <c r="G82"/>
  <c r="H82"/>
  <c r="G81"/>
  <c r="H81"/>
  <c r="G80"/>
  <c r="H80"/>
  <c r="G79"/>
  <c r="H79"/>
  <c r="G78"/>
  <c r="H78"/>
  <c r="G77"/>
  <c r="H77"/>
  <c r="E69"/>
  <c r="E71"/>
  <c r="E73"/>
  <c r="E75"/>
  <c r="G76"/>
  <c r="G75"/>
  <c r="G74"/>
  <c r="H74" s="1"/>
  <c r="G73"/>
  <c r="H73" s="1"/>
  <c r="G72"/>
  <c r="H72" s="1"/>
  <c r="G71"/>
  <c r="G70"/>
  <c r="H70" s="1"/>
  <c r="G69"/>
  <c r="H69" s="1"/>
  <c r="G68"/>
  <c r="H68" s="1"/>
  <c r="G67"/>
  <c r="H67" s="1"/>
  <c r="G66"/>
  <c r="H66" s="1"/>
  <c r="H97" s="1"/>
  <c r="G60"/>
  <c r="H60" s="1"/>
  <c r="E59"/>
  <c r="G59"/>
  <c r="H59" s="1"/>
  <c r="G58"/>
  <c r="H58" s="1"/>
  <c r="G57"/>
  <c r="H57" s="1"/>
  <c r="E55"/>
  <c r="E56" s="1"/>
  <c r="H56" s="1"/>
  <c r="G56"/>
  <c r="G55"/>
  <c r="G54"/>
  <c r="H54" s="1"/>
  <c r="G53"/>
  <c r="H53" s="1"/>
  <c r="E29"/>
  <c r="E31"/>
  <c r="E33"/>
  <c r="E35"/>
  <c r="E37"/>
  <c r="E39"/>
  <c r="E41"/>
  <c r="E43"/>
  <c r="E45"/>
  <c r="E47"/>
  <c r="E49"/>
  <c r="E51"/>
  <c r="G52"/>
  <c r="G51"/>
  <c r="G50"/>
  <c r="H50" s="1"/>
  <c r="G49"/>
  <c r="G48"/>
  <c r="H48" s="1"/>
  <c r="G47"/>
  <c r="G46"/>
  <c r="H46" s="1"/>
  <c r="G45"/>
  <c r="G44"/>
  <c r="H44" s="1"/>
  <c r="G43"/>
  <c r="G42"/>
  <c r="H42" s="1"/>
  <c r="G41"/>
  <c r="H41" s="1"/>
  <c r="G40"/>
  <c r="H40" s="1"/>
  <c r="G39"/>
  <c r="G38"/>
  <c r="H38" s="1"/>
  <c r="G37"/>
  <c r="H37" s="1"/>
  <c r="G36"/>
  <c r="H36" s="1"/>
  <c r="G35"/>
  <c r="G34"/>
  <c r="H34" s="1"/>
  <c r="G33"/>
  <c r="H33" s="1"/>
  <c r="G32"/>
  <c r="H32" s="1"/>
  <c r="G31"/>
  <c r="G30"/>
  <c r="H30" s="1"/>
  <c r="G29"/>
  <c r="H29" s="1"/>
  <c r="G28"/>
  <c r="H28" s="1"/>
  <c r="G27"/>
  <c r="H27" s="1"/>
  <c r="G26"/>
  <c r="H26" s="1"/>
  <c r="E24"/>
  <c r="E25" s="1"/>
  <c r="G25"/>
  <c r="G24"/>
  <c r="G23"/>
  <c r="H23" s="1"/>
  <c r="G22"/>
  <c r="H22" s="1"/>
  <c r="E16"/>
  <c r="E18"/>
  <c r="E20"/>
  <c r="G21"/>
  <c r="G20"/>
  <c r="G19"/>
  <c r="H19" s="1"/>
  <c r="G18"/>
  <c r="H18" s="1"/>
  <c r="G17"/>
  <c r="H17" s="1"/>
  <c r="G16"/>
  <c r="G15"/>
  <c r="H15" s="1"/>
  <c r="G14"/>
  <c r="H14" s="1"/>
  <c r="H924"/>
  <c r="H829"/>
  <c r="H576"/>
  <c r="H548"/>
  <c r="H542"/>
  <c r="H439"/>
  <c r="G13"/>
  <c r="H13" s="1"/>
  <c r="H959"/>
  <c r="G130"/>
  <c r="G131"/>
  <c r="G132"/>
  <c r="G133"/>
  <c r="G134"/>
  <c r="G135"/>
  <c r="G136"/>
  <c r="G137"/>
  <c r="G138"/>
  <c r="G139"/>
  <c r="G140"/>
  <c r="G619"/>
  <c r="G620"/>
  <c r="G621"/>
  <c r="G622"/>
  <c r="G623"/>
  <c r="G736"/>
  <c r="H736" s="1"/>
  <c r="G737"/>
  <c r="G738"/>
  <c r="G805"/>
  <c r="H805" s="1"/>
  <c r="G806"/>
  <c r="G807"/>
  <c r="H807" s="1"/>
  <c r="G808"/>
  <c r="G809"/>
  <c r="H809" s="1"/>
  <c r="G810"/>
  <c r="G811"/>
  <c r="H811" s="1"/>
  <c r="G812"/>
  <c r="G813"/>
  <c r="H813" s="1"/>
  <c r="G814"/>
  <c r="G815"/>
  <c r="H815" s="1"/>
  <c r="G816"/>
  <c r="G817"/>
  <c r="H817" s="1"/>
  <c r="G818"/>
  <c r="G819"/>
  <c r="G852"/>
  <c r="G853"/>
  <c r="G854"/>
  <c r="G855"/>
  <c r="G856"/>
  <c r="G857"/>
  <c r="G858"/>
  <c r="G859"/>
  <c r="G860"/>
  <c r="G908"/>
  <c r="G909"/>
  <c r="G910"/>
  <c r="G911"/>
  <c r="G912"/>
  <c r="G913"/>
  <c r="G958"/>
  <c r="G436"/>
  <c r="G437"/>
  <c r="G438"/>
  <c r="H619"/>
  <c r="H620"/>
  <c r="H621"/>
  <c r="H622"/>
  <c r="H737"/>
  <c r="H806"/>
  <c r="H808"/>
  <c r="H810"/>
  <c r="H812"/>
  <c r="H814"/>
  <c r="H816"/>
  <c r="H818"/>
  <c r="G830" i="8"/>
  <c r="G923"/>
  <c r="G922"/>
  <c r="G543"/>
  <c r="E958"/>
  <c r="E957"/>
  <c r="G957" s="1"/>
  <c r="E956"/>
  <c r="E955" s="1"/>
  <c r="G955" s="1"/>
  <c r="E954"/>
  <c r="E952" s="1"/>
  <c r="G952" s="1"/>
  <c r="E950"/>
  <c r="E951" s="1"/>
  <c r="E948" s="1"/>
  <c r="G948" s="1"/>
  <c r="G947"/>
  <c r="E946"/>
  <c r="E945" s="1"/>
  <c r="G945" s="1"/>
  <c r="E944"/>
  <c r="E943" s="1"/>
  <c r="G943" s="1"/>
  <c r="E942"/>
  <c r="E941" s="1"/>
  <c r="G941" s="1"/>
  <c r="E939"/>
  <c r="G939" s="1"/>
  <c r="E938"/>
  <c r="E936" s="1"/>
  <c r="G936" s="1"/>
  <c r="E934"/>
  <c r="E932"/>
  <c r="E929"/>
  <c r="E928" s="1"/>
  <c r="G928" s="1"/>
  <c r="E927"/>
  <c r="E926" s="1"/>
  <c r="G926" s="1"/>
  <c r="G920"/>
  <c r="G919"/>
  <c r="E907"/>
  <c r="E908"/>
  <c r="E905" s="1"/>
  <c r="G905" s="1"/>
  <c r="E903"/>
  <c r="E901"/>
  <c r="E899"/>
  <c r="E897"/>
  <c r="E895"/>
  <c r="E893"/>
  <c r="E891"/>
  <c r="E904" s="1"/>
  <c r="E888" s="1"/>
  <c r="G888" s="1"/>
  <c r="E886"/>
  <c r="E884"/>
  <c r="E882"/>
  <c r="E887" s="1"/>
  <c r="E880" s="1"/>
  <c r="G880" s="1"/>
  <c r="E878"/>
  <c r="E876"/>
  <c r="E874"/>
  <c r="E872"/>
  <c r="E870"/>
  <c r="E868"/>
  <c r="E879" s="1"/>
  <c r="E865" s="1"/>
  <c r="G865" s="1"/>
  <c r="E861"/>
  <c r="E859"/>
  <c r="E857"/>
  <c r="E855"/>
  <c r="E852"/>
  <c r="E850" s="1"/>
  <c r="G850" s="1"/>
  <c r="E843"/>
  <c r="E841" s="1"/>
  <c r="G829"/>
  <c r="G828"/>
  <c r="G827"/>
  <c r="G826"/>
  <c r="G825"/>
  <c r="G824"/>
  <c r="G823"/>
  <c r="E821"/>
  <c r="E806" s="1"/>
  <c r="G806" s="1"/>
  <c r="E805"/>
  <c r="E798" s="1"/>
  <c r="G798" s="1"/>
  <c r="E797"/>
  <c r="E792" s="1"/>
  <c r="G792" s="1"/>
  <c r="E791"/>
  <c r="E776"/>
  <c r="G776" s="1"/>
  <c r="E775"/>
  <c r="E772" s="1"/>
  <c r="G772" s="1"/>
  <c r="E771"/>
  <c r="E766" s="1"/>
  <c r="G766" s="1"/>
  <c r="E765"/>
  <c r="E758" s="1"/>
  <c r="G758" s="1"/>
  <c r="E757"/>
  <c r="E754"/>
  <c r="G754" s="1"/>
  <c r="E753"/>
  <c r="E748" s="1"/>
  <c r="G748" s="1"/>
  <c r="E747"/>
  <c r="E742" s="1"/>
  <c r="G742" s="1"/>
  <c r="E740"/>
  <c r="E737" s="1"/>
  <c r="G737" s="1"/>
  <c r="E736"/>
  <c r="E731"/>
  <c r="G731" s="1"/>
  <c r="E730"/>
  <c r="E715" s="1"/>
  <c r="G715" s="1"/>
  <c r="E714"/>
  <c r="E711" s="1"/>
  <c r="G711" s="1"/>
  <c r="E710"/>
  <c r="E703" s="1"/>
  <c r="G703" s="1"/>
  <c r="E702"/>
  <c r="E699"/>
  <c r="G699" s="1"/>
  <c r="G698"/>
  <c r="E697"/>
  <c r="E694" s="1"/>
  <c r="G694" s="1"/>
  <c r="E693"/>
  <c r="E686" s="1"/>
  <c r="G686" s="1"/>
  <c r="G685"/>
  <c r="G684"/>
  <c r="G683"/>
  <c r="E682"/>
  <c r="E667" s="1"/>
  <c r="G667" s="1"/>
  <c r="E666"/>
  <c r="E657" s="1"/>
  <c r="G657" s="1"/>
  <c r="E656"/>
  <c r="E647" s="1"/>
  <c r="G647" s="1"/>
  <c r="E646"/>
  <c r="E637"/>
  <c r="G637" s="1"/>
  <c r="E636"/>
  <c r="E627" s="1"/>
  <c r="G627" s="1"/>
  <c r="E625"/>
  <c r="E620" s="1"/>
  <c r="G620" s="1"/>
  <c r="E619"/>
  <c r="E604" s="1"/>
  <c r="G604" s="1"/>
  <c r="E603"/>
  <c r="E594"/>
  <c r="G594" s="1"/>
  <c r="E593"/>
  <c r="E584" s="1"/>
  <c r="G584" s="1"/>
  <c r="G583"/>
  <c r="G582"/>
  <c r="G581"/>
  <c r="E577"/>
  <c r="E574" s="1"/>
  <c r="G574"/>
  <c r="E573"/>
  <c r="E566"/>
  <c r="G566" s="1"/>
  <c r="E565"/>
  <c r="E552" s="1"/>
  <c r="G552"/>
  <c r="G549"/>
  <c r="G548"/>
  <c r="G547"/>
  <c r="G550"/>
  <c r="G546"/>
  <c r="E542"/>
  <c r="E525" s="1"/>
  <c r="G525" s="1"/>
  <c r="E524"/>
  <c r="E499"/>
  <c r="G499" s="1"/>
  <c r="E497"/>
  <c r="E492" s="1"/>
  <c r="E490"/>
  <c r="E459" s="1"/>
  <c r="G458"/>
  <c r="G457"/>
  <c r="G456"/>
  <c r="G455"/>
  <c r="G454"/>
  <c r="E452"/>
  <c r="G452" s="1"/>
  <c r="E451"/>
  <c r="E449" s="1"/>
  <c r="G449" s="1"/>
  <c r="E448"/>
  <c r="E447" s="1"/>
  <c r="G447" s="1"/>
  <c r="E446"/>
  <c r="E445" s="1"/>
  <c r="G445" s="1"/>
  <c r="E444"/>
  <c r="E443" s="1"/>
  <c r="G443" s="1"/>
  <c r="E439"/>
  <c r="E440" s="1"/>
  <c r="E437" s="1"/>
  <c r="E435"/>
  <c r="E436" s="1"/>
  <c r="E433" s="1"/>
  <c r="E431"/>
  <c r="E429"/>
  <c r="E427"/>
  <c r="E432" s="1"/>
  <c r="E425"/>
  <c r="E421"/>
  <c r="E419"/>
  <c r="E417"/>
  <c r="E415"/>
  <c r="E413"/>
  <c r="E422" s="1"/>
  <c r="E411" s="1"/>
  <c r="E409"/>
  <c r="E407"/>
  <c r="E405"/>
  <c r="E410"/>
  <c r="E403" s="1"/>
  <c r="E400"/>
  <c r="G400" s="1"/>
  <c r="E397"/>
  <c r="G397" s="1"/>
  <c r="E396"/>
  <c r="E391" s="1"/>
  <c r="G391"/>
  <c r="E390"/>
  <c r="E371"/>
  <c r="G371" s="1"/>
  <c r="E370"/>
  <c r="E365" s="1"/>
  <c r="G365"/>
  <c r="E359"/>
  <c r="E357"/>
  <c r="E355"/>
  <c r="E353"/>
  <c r="E351"/>
  <c r="E349"/>
  <c r="E360" s="1"/>
  <c r="E347" s="1"/>
  <c r="E345"/>
  <c r="E346"/>
  <c r="E343" s="1"/>
  <c r="G343" s="1"/>
  <c r="E323"/>
  <c r="E342"/>
  <c r="E321" s="1"/>
  <c r="G321" s="1"/>
  <c r="E309"/>
  <c r="E310" s="1"/>
  <c r="E307" s="1"/>
  <c r="E305"/>
  <c r="E303"/>
  <c r="E301"/>
  <c r="E299"/>
  <c r="E297"/>
  <c r="E295"/>
  <c r="E263"/>
  <c r="E292" s="1"/>
  <c r="E261" s="1"/>
  <c r="E259"/>
  <c r="E257"/>
  <c r="E253"/>
  <c r="E251"/>
  <c r="E249"/>
  <c r="E247"/>
  <c r="E245"/>
  <c r="E243"/>
  <c r="E241"/>
  <c r="E239"/>
  <c r="E237"/>
  <c r="E235"/>
  <c r="E233"/>
  <c r="E231"/>
  <c r="E229"/>
  <c r="E227"/>
  <c r="E225"/>
  <c r="E220"/>
  <c r="E219" s="1"/>
  <c r="G219"/>
  <c r="E217"/>
  <c r="E218"/>
  <c r="E216" s="1"/>
  <c r="G216" s="1"/>
  <c r="E212"/>
  <c r="E213"/>
  <c r="E210" s="1"/>
  <c r="E215" s="1"/>
  <c r="E214" s="1"/>
  <c r="G214" s="1"/>
  <c r="E208"/>
  <c r="E209" s="1"/>
  <c r="E204"/>
  <c r="E205" s="1"/>
  <c r="E202" s="1"/>
  <c r="E198"/>
  <c r="E199" s="1"/>
  <c r="E195" s="1"/>
  <c r="G195" s="1"/>
  <c r="E193"/>
  <c r="E191"/>
  <c r="E189"/>
  <c r="E187"/>
  <c r="E184"/>
  <c r="E182"/>
  <c r="E180"/>
  <c r="E178"/>
  <c r="E176"/>
  <c r="E174"/>
  <c r="E172"/>
  <c r="E166"/>
  <c r="E164"/>
  <c r="E167" s="1"/>
  <c r="E162" s="1"/>
  <c r="G162" s="1"/>
  <c r="E158"/>
  <c r="E156"/>
  <c r="E154"/>
  <c r="E152"/>
  <c r="E150"/>
  <c r="E148"/>
  <c r="E145"/>
  <c r="E139"/>
  <c r="E137"/>
  <c r="E135"/>
  <c r="E133"/>
  <c r="E131"/>
  <c r="E127"/>
  <c r="E128"/>
  <c r="E125" s="1"/>
  <c r="G125" s="1"/>
  <c r="E123"/>
  <c r="E124" s="1"/>
  <c r="E121" s="1"/>
  <c r="G121" s="1"/>
  <c r="E119"/>
  <c r="E117"/>
  <c r="E115"/>
  <c r="E113"/>
  <c r="E120" s="1"/>
  <c r="E110" s="1"/>
  <c r="G110" s="1"/>
  <c r="E108"/>
  <c r="E106"/>
  <c r="E104"/>
  <c r="E102"/>
  <c r="E95"/>
  <c r="E93"/>
  <c r="E91"/>
  <c r="E89"/>
  <c r="E85"/>
  <c r="E83"/>
  <c r="E81"/>
  <c r="E79"/>
  <c r="E86" s="1"/>
  <c r="E77" s="1"/>
  <c r="G77" s="1"/>
  <c r="E75"/>
  <c r="E73"/>
  <c r="E71"/>
  <c r="E69"/>
  <c r="E62"/>
  <c r="E63" s="1"/>
  <c r="E60"/>
  <c r="G60" s="1"/>
  <c r="E59"/>
  <c r="E57" s="1"/>
  <c r="G57"/>
  <c r="E55"/>
  <c r="E56"/>
  <c r="E53" s="1"/>
  <c r="G53" s="1"/>
  <c r="E51"/>
  <c r="E49"/>
  <c r="E47"/>
  <c r="E45"/>
  <c r="E43"/>
  <c r="E41"/>
  <c r="E39"/>
  <c r="E37"/>
  <c r="E35"/>
  <c r="E33"/>
  <c r="E31"/>
  <c r="E29"/>
  <c r="G26"/>
  <c r="E24"/>
  <c r="E25" s="1"/>
  <c r="E22" s="1"/>
  <c r="G22" s="1"/>
  <c r="E20"/>
  <c r="E18"/>
  <c r="E16"/>
  <c r="G13"/>
  <c r="E958" i="10"/>
  <c r="E859"/>
  <c r="E857"/>
  <c r="E855"/>
  <c r="E853"/>
  <c r="E819"/>
  <c r="H819"/>
  <c r="E738"/>
  <c r="H738"/>
  <c r="E623"/>
  <c r="H623"/>
  <c r="E575"/>
  <c r="E437"/>
  <c r="E438" s="1"/>
  <c r="E220"/>
  <c r="E198"/>
  <c r="E199" s="1"/>
  <c r="E158"/>
  <c r="E62"/>
  <c r="E63" s="1"/>
  <c r="E154"/>
  <c r="E156"/>
  <c r="E152"/>
  <c r="E150"/>
  <c r="E148"/>
  <c r="E145"/>
  <c r="E139"/>
  <c r="E137"/>
  <c r="E135"/>
  <c r="E133"/>
  <c r="E131"/>
  <c r="E95"/>
  <c r="E93"/>
  <c r="E91"/>
  <c r="E89"/>
  <c r="E862" i="8"/>
  <c r="E853" s="1"/>
  <c r="G853" s="1"/>
  <c r="E423"/>
  <c r="E913" s="1"/>
  <c r="E194"/>
  <c r="E168" s="1"/>
  <c r="G168" s="1"/>
  <c r="E491"/>
  <c r="G491" s="1"/>
  <c r="G459"/>
  <c r="E159" i="10"/>
  <c r="D14" i="9"/>
  <c r="F14" s="1"/>
  <c r="O14" s="1"/>
  <c r="H958" i="10"/>
  <c r="E860"/>
  <c r="G403" i="8"/>
  <c r="E911"/>
  <c r="G578"/>
  <c r="G423"/>
  <c r="E140" i="10"/>
  <c r="E21" i="8"/>
  <c r="E14" s="1"/>
  <c r="G14" s="1"/>
  <c r="D21" i="9"/>
  <c r="N21" s="1"/>
  <c r="E52" i="8"/>
  <c r="E27"/>
  <c r="G27" s="1"/>
  <c r="E306"/>
  <c r="E293"/>
  <c r="E316" s="1"/>
  <c r="E315" s="1"/>
  <c r="G924"/>
  <c r="E96" i="10"/>
  <c r="E140" i="8"/>
  <c r="E129" s="1"/>
  <c r="G129" s="1"/>
  <c r="E498"/>
  <c r="G498" s="1"/>
  <c r="G544" s="1"/>
  <c r="G492"/>
  <c r="D26" i="9"/>
  <c r="L26" s="1"/>
  <c r="I903" i="10"/>
  <c r="D12" i="9"/>
  <c r="L21"/>
  <c r="J21"/>
  <c r="G293" i="8"/>
  <c r="D22" i="9"/>
  <c r="I886" i="10"/>
  <c r="I878"/>
  <c r="D23" i="9"/>
  <c r="F23" s="1"/>
  <c r="D20"/>
  <c r="N20" s="1"/>
  <c r="H316" i="10"/>
  <c r="D15" i="9"/>
  <c r="F15" s="1"/>
  <c r="O15" s="1"/>
  <c r="D27"/>
  <c r="J27" s="1"/>
  <c r="F12"/>
  <c r="O12" s="1"/>
  <c r="N22"/>
  <c r="O22" s="1"/>
  <c r="H20"/>
  <c r="N27"/>
  <c r="H914" i="10"/>
  <c r="D19" i="9"/>
  <c r="L19" s="1"/>
  <c r="E317" i="10"/>
  <c r="H317" s="1"/>
  <c r="I907"/>
  <c r="D25" i="9"/>
  <c r="L25" s="1"/>
  <c r="H861" i="10"/>
  <c r="L27" i="9" l="1"/>
  <c r="J23"/>
  <c r="E314" i="8"/>
  <c r="E313" s="1"/>
  <c r="G261"/>
  <c r="G347"/>
  <c r="E362"/>
  <c r="E361" s="1"/>
  <c r="G361" s="1"/>
  <c r="E206"/>
  <c r="G206" s="1"/>
  <c r="G202"/>
  <c r="E836"/>
  <c r="G307"/>
  <c r="G433"/>
  <c r="E914"/>
  <c r="G437"/>
  <c r="E915"/>
  <c r="G841"/>
  <c r="E847"/>
  <c r="E846" s="1"/>
  <c r="G846" s="1"/>
  <c r="G210"/>
  <c r="E76"/>
  <c r="E66" s="1"/>
  <c r="G66" s="1"/>
  <c r="G97" s="1"/>
  <c r="E96"/>
  <c r="E87" s="1"/>
  <c r="G87" s="1"/>
  <c r="E109"/>
  <c r="E99" s="1"/>
  <c r="G99" s="1"/>
  <c r="E159"/>
  <c r="E143" s="1"/>
  <c r="G143" s="1"/>
  <c r="G160" s="1"/>
  <c r="E254"/>
  <c r="E223" s="1"/>
  <c r="G223" s="1"/>
  <c r="E260"/>
  <c r="E255" s="1"/>
  <c r="G831"/>
  <c r="E935"/>
  <c r="E930" s="1"/>
  <c r="G930" s="1"/>
  <c r="H64" i="10"/>
  <c r="D11" i="9" s="1"/>
  <c r="F11" s="1"/>
  <c r="O11" s="1"/>
  <c r="H25" i="10"/>
  <c r="H45"/>
  <c r="H49"/>
  <c r="H51"/>
  <c r="H47"/>
  <c r="H43"/>
  <c r="H39"/>
  <c r="H35"/>
  <c r="E52"/>
  <c r="H52" s="1"/>
  <c r="H55"/>
  <c r="H102"/>
  <c r="H106"/>
  <c r="H108"/>
  <c r="E109"/>
  <c r="H109" s="1"/>
  <c r="E120"/>
  <c r="H120" s="1"/>
  <c r="H115"/>
  <c r="J19" i="9"/>
  <c r="H19"/>
  <c r="L23"/>
  <c r="H21"/>
  <c r="O21" s="1"/>
  <c r="G64" i="8"/>
  <c r="H20" i="10"/>
  <c r="E21"/>
  <c r="H21" s="1"/>
  <c r="H75"/>
  <c r="E76"/>
  <c r="H76" s="1"/>
  <c r="H119"/>
  <c r="H253"/>
  <c r="H249"/>
  <c r="H245"/>
  <c r="H241"/>
  <c r="H237"/>
  <c r="H233"/>
  <c r="H229"/>
  <c r="E254"/>
  <c r="H254" s="1"/>
  <c r="H876"/>
  <c r="H872"/>
  <c r="E877"/>
  <c r="H877" s="1"/>
  <c r="H128"/>
  <c r="H257"/>
  <c r="E260"/>
  <c r="H260" s="1"/>
  <c r="H263"/>
  <c r="H297"/>
  <c r="H322"/>
  <c r="H344"/>
  <c r="H350"/>
  <c r="H488"/>
  <c r="H563"/>
  <c r="H591"/>
  <c r="H617"/>
  <c r="H644"/>
  <c r="H664"/>
  <c r="H700"/>
  <c r="H712"/>
  <c r="H734"/>
  <c r="H751"/>
  <c r="H763"/>
  <c r="H773"/>
  <c r="H795"/>
  <c r="H841"/>
  <c r="H845"/>
  <c r="N25" i="9"/>
  <c r="O19"/>
  <c r="F20"/>
  <c r="H23"/>
  <c r="O23" s="1"/>
  <c r="N23"/>
  <c r="O27"/>
  <c r="N26"/>
  <c r="E840" i="8"/>
  <c r="E839" s="1"/>
  <c r="E834"/>
  <c r="E833" s="1"/>
  <c r="G833" s="1"/>
  <c r="G313"/>
  <c r="E312"/>
  <c r="E311" s="1"/>
  <c r="G255"/>
  <c r="G315"/>
  <c r="E318"/>
  <c r="E317" s="1"/>
  <c r="G317" s="1"/>
  <c r="G411"/>
  <c r="G441" s="1"/>
  <c r="E912"/>
  <c r="E916" s="1"/>
  <c r="E910" s="1"/>
  <c r="G910" s="1"/>
  <c r="G141"/>
  <c r="G200"/>
  <c r="G363"/>
  <c r="G917"/>
  <c r="G959"/>
  <c r="D24" i="9"/>
  <c r="H25"/>
  <c r="J25"/>
  <c r="L20"/>
  <c r="J20"/>
  <c r="J26"/>
  <c r="H141" i="10"/>
  <c r="H221"/>
  <c r="H318"/>
  <c r="H16"/>
  <c r="H24"/>
  <c r="H31"/>
  <c r="H71"/>
  <c r="H104"/>
  <c r="H123"/>
  <c r="H127"/>
  <c r="H166"/>
  <c r="H217"/>
  <c r="H225"/>
  <c r="H259"/>
  <c r="H309"/>
  <c r="E434"/>
  <c r="H434" s="1"/>
  <c r="H433"/>
  <c r="H361"/>
  <c r="H868"/>
  <c r="O26" i="9" l="1"/>
  <c r="O20"/>
  <c r="O25"/>
  <c r="G221" i="8"/>
  <c r="D18" i="9"/>
  <c r="D16"/>
  <c r="G311" i="8"/>
  <c r="E837"/>
  <c r="E838" s="1"/>
  <c r="E835" s="1"/>
  <c r="G835" s="1"/>
  <c r="G863" s="1"/>
  <c r="G960" s="1"/>
  <c r="E849"/>
  <c r="E848" s="1"/>
  <c r="G848" s="1"/>
  <c r="D17" i="9"/>
  <c r="D13"/>
  <c r="N24"/>
  <c r="L24"/>
  <c r="E845" i="8"/>
  <c r="E844" s="1"/>
  <c r="G844" s="1"/>
  <c r="G839"/>
  <c r="H960" i="10"/>
  <c r="I361" s="1"/>
  <c r="G319" i="8"/>
  <c r="I221" i="10" l="1"/>
  <c r="O24" i="9"/>
  <c r="G961" i="8"/>
  <c r="G962" s="1"/>
  <c r="H959"/>
  <c r="F13" i="9"/>
  <c r="D28"/>
  <c r="C16" s="1"/>
  <c r="I861" i="10"/>
  <c r="I920"/>
  <c r="I533"/>
  <c r="I526"/>
  <c r="I528"/>
  <c r="I527"/>
  <c r="I530"/>
  <c r="I439"/>
  <c r="I60"/>
  <c r="I681"/>
  <c r="I53"/>
  <c r="I941"/>
  <c r="I851"/>
  <c r="I523"/>
  <c r="I214"/>
  <c r="I948"/>
  <c r="I863"/>
  <c r="I143"/>
  <c r="I320"/>
  <c r="I456"/>
  <c r="I580"/>
  <c r="I421"/>
  <c r="I202"/>
  <c r="I445"/>
  <c r="I14"/>
  <c r="I443"/>
  <c r="I756"/>
  <c r="I529"/>
  <c r="I524"/>
  <c r="I540"/>
  <c r="I548"/>
  <c r="I97"/>
  <c r="I746"/>
  <c r="I924"/>
  <c r="I682"/>
  <c r="I582"/>
  <c r="I697"/>
  <c r="I829"/>
  <c r="I544"/>
  <c r="I824"/>
  <c r="I922"/>
  <c r="I825"/>
  <c r="I216"/>
  <c r="I490"/>
  <c r="I342"/>
  <c r="I311"/>
  <c r="I957"/>
  <c r="I692"/>
  <c r="I525"/>
  <c r="I541"/>
  <c r="I542"/>
  <c r="I536"/>
  <c r="I535"/>
  <c r="I545"/>
  <c r="I435"/>
  <c r="I160"/>
  <c r="I200"/>
  <c r="I952"/>
  <c r="I844"/>
  <c r="I313"/>
  <c r="I846"/>
  <c r="I550"/>
  <c r="I955"/>
  <c r="I13"/>
  <c r="I790"/>
  <c r="I947"/>
  <c r="I389"/>
  <c r="I926"/>
  <c r="I713"/>
  <c r="I497"/>
  <c r="I764"/>
  <c r="I729"/>
  <c r="I346"/>
  <c r="I546"/>
  <c r="I537"/>
  <c r="I534"/>
  <c r="I532"/>
  <c r="I531"/>
  <c r="I538"/>
  <c r="I645"/>
  <c r="I64"/>
  <c r="I822"/>
  <c r="I206"/>
  <c r="I928"/>
  <c r="I635"/>
  <c r="I489"/>
  <c r="I162"/>
  <c r="I804"/>
  <c r="I27"/>
  <c r="I363"/>
  <c r="I129"/>
  <c r="I683"/>
  <c r="I826"/>
  <c r="I752"/>
  <c r="I655"/>
  <c r="I827"/>
  <c r="I828"/>
  <c r="I959"/>
  <c r="I99"/>
  <c r="I447"/>
  <c r="I923"/>
  <c r="I770"/>
  <c r="I66"/>
  <c r="I579"/>
  <c r="I684"/>
  <c r="I223"/>
  <c r="I57"/>
  <c r="I452"/>
  <c r="I125"/>
  <c r="I936"/>
  <c r="I945"/>
  <c r="I121"/>
  <c r="I87"/>
  <c r="I701"/>
  <c r="I457"/>
  <c r="I315"/>
  <c r="I454"/>
  <c r="I77"/>
  <c r="I395"/>
  <c r="I796"/>
  <c r="I735"/>
  <c r="I696"/>
  <c r="I496"/>
  <c r="I369"/>
  <c r="I572"/>
  <c r="I848"/>
  <c r="I823"/>
  <c r="I581"/>
  <c r="I450"/>
  <c r="I833"/>
  <c r="I837"/>
  <c r="I539"/>
  <c r="I547"/>
  <c r="I293"/>
  <c r="I409"/>
  <c r="I168"/>
  <c r="I455"/>
  <c r="I431"/>
  <c r="I709"/>
  <c r="I939"/>
  <c r="I930"/>
  <c r="I22"/>
  <c r="I740"/>
  <c r="I592"/>
  <c r="I453"/>
  <c r="I821"/>
  <c r="I916"/>
  <c r="I564"/>
  <c r="I665"/>
  <c r="I210"/>
  <c r="I26"/>
  <c r="I219"/>
  <c r="I943"/>
  <c r="I398"/>
  <c r="I441"/>
  <c r="I401"/>
  <c r="I576"/>
  <c r="I839"/>
  <c r="I774"/>
  <c r="I602"/>
  <c r="I195"/>
  <c r="I255"/>
  <c r="I261"/>
  <c r="I307"/>
  <c r="I625"/>
  <c r="I618"/>
  <c r="I110"/>
  <c r="I914"/>
  <c r="I831"/>
  <c r="I842"/>
  <c r="F16" i="9"/>
  <c r="H16"/>
  <c r="J18"/>
  <c r="J28" s="1"/>
  <c r="I29" s="1"/>
  <c r="N18"/>
  <c r="N28" s="1"/>
  <c r="M29" s="1"/>
  <c r="C18"/>
  <c r="L18"/>
  <c r="L28" s="1"/>
  <c r="K29" s="1"/>
  <c r="H18"/>
  <c r="I141" i="10"/>
  <c r="I318"/>
  <c r="H17" i="9"/>
  <c r="F17"/>
  <c r="C17"/>
  <c r="O17" l="1"/>
  <c r="O18"/>
  <c r="C21"/>
  <c r="C22"/>
  <c r="C15"/>
  <c r="C27"/>
  <c r="C26"/>
  <c r="C14"/>
  <c r="C12"/>
  <c r="C11"/>
  <c r="C20"/>
  <c r="C23"/>
  <c r="C19"/>
  <c r="C25"/>
  <c r="C24"/>
  <c r="H28"/>
  <c r="G29" s="1"/>
  <c r="O16"/>
  <c r="O13"/>
  <c r="O28" s="1"/>
  <c r="O29" s="1"/>
  <c r="F28"/>
  <c r="E29" s="1"/>
  <c r="C13"/>
  <c r="C29" l="1"/>
</calcChain>
</file>

<file path=xl/sharedStrings.xml><?xml version="1.0" encoding="utf-8"?>
<sst xmlns="http://schemas.openxmlformats.org/spreadsheetml/2006/main" count="2841" uniqueCount="818">
  <si>
    <t>Placa de sinalisação com o digito "SAÍDA"</t>
  </si>
  <si>
    <t>Placa de indicação de rota de fuga para direita</t>
  </si>
  <si>
    <t>Placa de indicação de rota de fuga para esquerda</t>
  </si>
  <si>
    <t>73775/002</t>
  </si>
  <si>
    <t>73916/003</t>
  </si>
  <si>
    <t>Sob pia</t>
  </si>
  <si>
    <t>A=1,20*0,85</t>
  </si>
  <si>
    <t>Sob bancada</t>
  </si>
  <si>
    <t>A=2,06*0,85</t>
  </si>
  <si>
    <t>A=1,70*0,85</t>
  </si>
  <si>
    <t>A=3,60*0,85</t>
  </si>
  <si>
    <t>A=(3,00+3,35)*0,85</t>
  </si>
  <si>
    <t>A=(1,85+2,23)*0,85</t>
  </si>
  <si>
    <t>A=0,60*1,00</t>
  </si>
  <si>
    <t>A=1,40*1,00</t>
  </si>
  <si>
    <t>Bancada a 70cm do piso</t>
  </si>
  <si>
    <t>A=2,06*0,60</t>
  </si>
  <si>
    <t>Bancada a 85cm do piso</t>
  </si>
  <si>
    <t>A=2,06*0,35</t>
  </si>
  <si>
    <t>A=1,70*0,60</t>
  </si>
  <si>
    <t>A=3,35*0,60</t>
  </si>
  <si>
    <t>A=(1,85+2,23)*0,60</t>
  </si>
  <si>
    <t>A=1,40*0,60</t>
  </si>
  <si>
    <t>08698/ORSE</t>
  </si>
  <si>
    <t>A=3,60-0,60-1,20</t>
  </si>
  <si>
    <t>Janela em alumínio natural de  1,20X0,60 - 2,16m²</t>
  </si>
  <si>
    <t>Janela em alumínio natural de  1,20X1,30 - 14,04m²</t>
  </si>
  <si>
    <t>Janela em alumínio natural de  1,80X0,60 - 5,40m²</t>
  </si>
  <si>
    <t>Janela em alumínio natural de  2,00X0,40 - 0,80m²</t>
  </si>
  <si>
    <t>Janela em alumínio natural de  1,20X0,40 - 0,48m²</t>
  </si>
  <si>
    <t>16.4</t>
  </si>
  <si>
    <t>A=14,65*1,00+(4,00+7,30)*1</t>
  </si>
  <si>
    <t>A=14,65*1,80+(4,00+7,30)*1,80</t>
  </si>
  <si>
    <t>V=46,71*0,06*1,1</t>
  </si>
  <si>
    <t>Demolição da pavimentação (empolamento de 10%)</t>
  </si>
  <si>
    <t>Demolição do muro</t>
  </si>
  <si>
    <t>V=46,71*0,15*1,10</t>
  </si>
  <si>
    <t>Considerando as cavas de 20X30cm</t>
  </si>
  <si>
    <t>V=(22,50+1,00)+(10,00+1,00)+(6,35+0,50+7,46+0,50) = 49,31*0,20*0,30</t>
  </si>
  <si>
    <t>Volume igual ao escavado</t>
  </si>
  <si>
    <t>V=49,31*0,22*0,40</t>
  </si>
  <si>
    <t>V=49,31*1,00*0,34</t>
  </si>
  <si>
    <t>V=49,31*1,00</t>
  </si>
  <si>
    <t>1.8</t>
  </si>
  <si>
    <t>3.5</t>
  </si>
  <si>
    <t>8.4</t>
  </si>
  <si>
    <t>13.4.1</t>
  </si>
  <si>
    <t>13.4.2</t>
  </si>
  <si>
    <t>13.4.3</t>
  </si>
  <si>
    <t>13.4.4</t>
  </si>
  <si>
    <t>13.4.5</t>
  </si>
  <si>
    <t>13.4.6</t>
  </si>
  <si>
    <t>13.4.7</t>
  </si>
  <si>
    <t>13.4.8</t>
  </si>
  <si>
    <t>73904/001</t>
  </si>
  <si>
    <t>Toda a área do terreno receberá aterro com altura média de 30cm</t>
  </si>
  <si>
    <t>V=(14,65*18,65)+(26,50*5,00)+(14,65*4)+(3,78*4,38)+(4,44*4,32)=500,06*0,30</t>
  </si>
  <si>
    <t>Aterro apiloado manualmente em camadas de 20cm com material de empréstimo</t>
  </si>
  <si>
    <t>Toda a área do terreno não construído do bloco administrativo (500,06m²) menos as áreas de jardins (33,74m²), menos a área de calçada (49,31m²)</t>
  </si>
  <si>
    <t>A=500,06-33,74-49,31</t>
  </si>
  <si>
    <t>A=33,74</t>
  </si>
  <si>
    <t>A=158,62*0,45</t>
  </si>
  <si>
    <t>ITEM</t>
  </si>
  <si>
    <t>DISCRIMINAÇÃO</t>
  </si>
  <si>
    <t>QUANT.</t>
  </si>
  <si>
    <t>un</t>
  </si>
  <si>
    <t>1.3</t>
  </si>
  <si>
    <t>TOTAL</t>
  </si>
  <si>
    <t>1.2</t>
  </si>
  <si>
    <t>1.1</t>
  </si>
  <si>
    <t>1.0</t>
  </si>
  <si>
    <t>INSTALAÇÕES ELÉTRICAS</t>
  </si>
  <si>
    <t>PINTURA</t>
  </si>
  <si>
    <t>2.0</t>
  </si>
  <si>
    <t>3.0</t>
  </si>
  <si>
    <t>4.0</t>
  </si>
  <si>
    <t>5.0</t>
  </si>
  <si>
    <t>6.0</t>
  </si>
  <si>
    <t>7.0</t>
  </si>
  <si>
    <t>8.0</t>
  </si>
  <si>
    <t>5.1</t>
  </si>
  <si>
    <t>m</t>
  </si>
  <si>
    <t>2.1</t>
  </si>
  <si>
    <t>4.1</t>
  </si>
  <si>
    <t>6.1</t>
  </si>
  <si>
    <t>7.1</t>
  </si>
  <si>
    <t>7.2</t>
  </si>
  <si>
    <t>8.1</t>
  </si>
  <si>
    <t>8.2</t>
  </si>
  <si>
    <t>8.3</t>
  </si>
  <si>
    <t>9.0</t>
  </si>
  <si>
    <t>9.1</t>
  </si>
  <si>
    <t>9.2</t>
  </si>
  <si>
    <t>9.3</t>
  </si>
  <si>
    <t>10.1</t>
  </si>
  <si>
    <t>11.0</t>
  </si>
  <si>
    <t>11.1</t>
  </si>
  <si>
    <t>10.0</t>
  </si>
  <si>
    <t>VALOR DO ITEM</t>
  </si>
  <si>
    <t>% DO ITEM</t>
  </si>
  <si>
    <t>%</t>
  </si>
  <si>
    <t>30 DIAS</t>
  </si>
  <si>
    <t>10.2</t>
  </si>
  <si>
    <t>SERVIÇOS PRELIMINARES</t>
  </si>
  <si>
    <t>COBERTURA</t>
  </si>
  <si>
    <t>V.UNIT.</t>
  </si>
  <si>
    <t>PLANILHA ORÇAMENTÁRIA</t>
  </si>
  <si>
    <t>UND</t>
  </si>
  <si>
    <t>V.TOTAL</t>
  </si>
  <si>
    <t>m²</t>
  </si>
  <si>
    <t>pt</t>
  </si>
  <si>
    <t>TOTAL DA ETAPA</t>
  </si>
  <si>
    <t>INSTALAÇÕES HIDRO-SANITÁRIAS</t>
  </si>
  <si>
    <t>SANITÁRIAS</t>
  </si>
  <si>
    <t>LOUÇAS, METAIS E ACESSÓRIOS</t>
  </si>
  <si>
    <t>TOTAL GERAL</t>
  </si>
  <si>
    <t>Porta sabão líquido de inox e vidro</t>
  </si>
  <si>
    <t>PERCENTUAL TOTAL (%)</t>
  </si>
  <si>
    <t>Estado: Piauí</t>
  </si>
  <si>
    <t>PAREDES E DIVISÓRIAS:</t>
  </si>
  <si>
    <t>ELEMENTOS DIVERSOS:</t>
  </si>
  <si>
    <t>SERVIÇOS COMPLEMENTARES:</t>
  </si>
  <si>
    <t>1.4</t>
  </si>
  <si>
    <t>1.5</t>
  </si>
  <si>
    <t>1.6</t>
  </si>
  <si>
    <t>1.7</t>
  </si>
  <si>
    <t>7.3</t>
  </si>
  <si>
    <t>7.4</t>
  </si>
  <si>
    <t>7.5</t>
  </si>
  <si>
    <t>SECRATARIA DA SAÚDE DO ESTADO DO PIAUÍ</t>
  </si>
  <si>
    <t>CENTRO DE HEMATOLOGIA E HEMOTERAPIA DO PIAUÍ - HEMOPI</t>
  </si>
  <si>
    <r>
      <t xml:space="preserve">BDI (%): </t>
    </r>
    <r>
      <rPr>
        <sz val="10"/>
        <rFont val="Times New Roman"/>
        <family val="1"/>
      </rPr>
      <t>30</t>
    </r>
  </si>
  <si>
    <t>Retirada de madeiramento da cobertura</t>
  </si>
  <si>
    <t>COD. SINAPI</t>
  </si>
  <si>
    <t xml:space="preserve">5974 </t>
  </si>
  <si>
    <t xml:space="preserve">Chapisco em forro traço 1:3 (cimento e areia), espessura 0,5cm </t>
  </si>
  <si>
    <t>Chapisco - paredes internas traço 1:4 (cimento e areia), espessura 0,5cm</t>
  </si>
  <si>
    <t xml:space="preserve">74001/001 </t>
  </si>
  <si>
    <t>Reboco - paredes internas, argamassa pré-fabricada</t>
  </si>
  <si>
    <t xml:space="preserve">Emboço paulista (massa única) traço 1:4 (cimento, areia e aditivo), espessura 2cm </t>
  </si>
  <si>
    <t xml:space="preserve">5996 </t>
  </si>
  <si>
    <t xml:space="preserve">Reboco para forro argamassa 1:4,5 (cimento, areia fina peneirada e aditivo), espessura 0,5cm </t>
  </si>
  <si>
    <t xml:space="preserve">73912/002 </t>
  </si>
  <si>
    <t>74209/001</t>
  </si>
  <si>
    <t>Placa da obra em chapa de aço galvanizado (3,00mX2,10m)</t>
  </si>
  <si>
    <t>73899</t>
  </si>
  <si>
    <t>72230</t>
  </si>
  <si>
    <t>Retirada de telhas cerâmicas</t>
  </si>
  <si>
    <t xml:space="preserve">72226 </t>
  </si>
  <si>
    <t xml:space="preserve">72186 </t>
  </si>
  <si>
    <t>73935/001</t>
  </si>
  <si>
    <t>Alvenaria de tijolos cerâmicos 6 furos, 10X20X20cm, 1/2 vez, assantados em argamassa traço 1:4 (cimento e areia com aditivo, e=1cm</t>
  </si>
  <si>
    <t>73775/001</t>
  </si>
  <si>
    <t>7.6</t>
  </si>
  <si>
    <t xml:space="preserve">74062/001 </t>
  </si>
  <si>
    <t xml:space="preserve">Ponto interruptor simples com eletroduto PVC 1/2" e caixa 4X2" </t>
  </si>
  <si>
    <t>7.7</t>
  </si>
  <si>
    <t>7.8</t>
  </si>
  <si>
    <t>7.9</t>
  </si>
  <si>
    <t>73949/007</t>
  </si>
  <si>
    <t>Torneira metálica cromada longa, bico móvel, fecho c/ cotovelo p/ pia de inox, 1/2" OU 3/4", padrão alto -fornecimento e instalação</t>
  </si>
  <si>
    <t>Torneira metálica cromada para lavatório, fecho de toque, 1/2" OU 3/4", padrão alto -fornecimento e instalação</t>
  </si>
  <si>
    <t>73959/001</t>
  </si>
  <si>
    <t>Ponto de água fria PVC 3/4" - tubo de  PVC roscável  
e 2 joelhos de PVC roscavel 90° - fornecimento e instalação</t>
  </si>
  <si>
    <t>73951/001</t>
  </si>
  <si>
    <t>Copo sifonado plástico p/ lavatório 1.1/4" - fornecimento e instalação</t>
  </si>
  <si>
    <t>74128/003</t>
  </si>
  <si>
    <t>74127/001</t>
  </si>
  <si>
    <t>74014/001</t>
  </si>
  <si>
    <t xml:space="preserve">Válvula em metal cromado 3.1/2"X1.1/2" - fornecimento e instalação </t>
  </si>
  <si>
    <t xml:space="preserve">Válvula em plástico branco 1" para lavatório - fornecimento e instalação </t>
  </si>
  <si>
    <t xml:space="preserve">Copo sifonado em metal cromado 1"X1.1/4" - fornecimento e instalação </t>
  </si>
  <si>
    <t xml:space="preserve">Cerâmica esmaltada 1A, PEI-4, 20X20cm, padrão alto, cor cinza, fixada com argamassa colante e rejuntado com massa epoxi, h=2,10m </t>
  </si>
  <si>
    <t>Massa epoxi para rejunte do revestimento cerâmico de parede</t>
  </si>
  <si>
    <t>74065/002</t>
  </si>
  <si>
    <t>9537</t>
  </si>
  <si>
    <t xml:space="preserve"> Limpeza geral da obra </t>
  </si>
  <si>
    <t>TOTAL DAS ETAPAS</t>
  </si>
  <si>
    <t>BDI 30%</t>
  </si>
  <si>
    <t>CRONOGRAMA FÍSICO-FINANCEIRO</t>
  </si>
  <si>
    <t>TOTAL GERAL (R$)</t>
  </si>
  <si>
    <t>9.4</t>
  </si>
  <si>
    <t>Piso com manta vinílica semiflexivel padrão hospitalar para áreas molhadas, assentado sobre piso cerâmico, incluso camada de regularização, pronto, fixado com cola, com acabamento em perfil de alumínio na porta principal e rodapé vinílico</t>
  </si>
  <si>
    <t xml:space="preserve">Espelho em granito cinza andorinha para lavatório, espessura 2cm, assentado com argamassa colante dupla colagem, incluso preparação da parede para recebimento do granito (demolição do reboco, chapisco, emboço e assentamento da peça de granito </t>
  </si>
  <si>
    <t>72138</t>
  </si>
  <si>
    <t>10.3</t>
  </si>
  <si>
    <t>10.4</t>
  </si>
  <si>
    <t>11.2</t>
  </si>
  <si>
    <r>
      <t xml:space="preserve">Tipo da intervenção: </t>
    </r>
    <r>
      <rPr>
        <sz val="10"/>
        <rFont val="Times New Roman"/>
        <family val="1"/>
      </rPr>
      <t>Conclusão do HEMOCENRO de Floriano</t>
    </r>
  </si>
  <si>
    <r>
      <t>Nome do EAS:</t>
    </r>
    <r>
      <rPr>
        <sz val="10"/>
        <rFont val="Times New Roman"/>
        <family val="1"/>
      </rPr>
      <t xml:space="preserve"> HEMOCENRO de Floriano</t>
    </r>
  </si>
  <si>
    <r>
      <t xml:space="preserve">Município: </t>
    </r>
    <r>
      <rPr>
        <sz val="10"/>
        <rFont val="Times New Roman"/>
        <family val="1"/>
      </rPr>
      <t>Floriano</t>
    </r>
  </si>
  <si>
    <t xml:space="preserve">73859/002 </t>
  </si>
  <si>
    <t xml:space="preserve">Capina manual </t>
  </si>
  <si>
    <t xml:space="preserve">74242/001 </t>
  </si>
  <si>
    <t xml:space="preserve">Barracão de obra em chapa de madeira compensada com banheiro, cobertura em fibrocimento 4mm, incluso instalações hidro=sanitárias e elétricas </t>
  </si>
  <si>
    <t xml:space="preserve">Entrada provisória de energia elétrica trifásica 40A em poste madeira </t>
  </si>
  <si>
    <t>INFRA-ESTRUTUA</t>
  </si>
  <si>
    <t>MOVIMENTO DE TERRA</t>
  </si>
  <si>
    <t xml:space="preserve">Escavação manual de cavas (fundações rasas até 2,00m) </t>
  </si>
  <si>
    <t>m³</t>
  </si>
  <si>
    <t xml:space="preserve">Aterro interno compactado manualmente </t>
  </si>
  <si>
    <t xml:space="preserve">Remoção de entulho em caminhão basculante </t>
  </si>
  <si>
    <t>2.2</t>
  </si>
  <si>
    <t>2.3</t>
  </si>
  <si>
    <t xml:space="preserve">Pedra argamassada para fundação corrida utilizando argamassa de cimento e areia (traço 1:4) </t>
  </si>
  <si>
    <t>Concreto armado, FCK = 18,0 Mpa e 77Kg/m³ de aço, preparado com betoneira, inclui lançamento</t>
  </si>
  <si>
    <t xml:space="preserve">Baldrame em tijolo maciço 5X10X20cm. Assentado com argamassa traço 1:2:8 (cimento, cal e areia) </t>
  </si>
  <si>
    <t xml:space="preserve">73919/001 </t>
  </si>
  <si>
    <t xml:space="preserve">Lastro de impermeabilização traço 1:4 (cimento e areia), espessura 6cm, preparo manual </t>
  </si>
  <si>
    <t>ESTRUTURA</t>
  </si>
  <si>
    <t>Concreto armado para pilares, FCK = 18,0 Mpa e 77Kg/m³ de aço, preparado com betoneira, inclui lançamento</t>
  </si>
  <si>
    <t>Concreto armado vigas e vergas, FCK = 18,0 Mpa e 77Kg/m³ de aço, preparado com betoneira, inclui lançamento</t>
  </si>
  <si>
    <t xml:space="preserve">73928/006 </t>
  </si>
  <si>
    <t xml:space="preserve">Chapisco parede externa traço 1:4 (cimento e areia), espessura 0,5cm, preparo manual, incluso aditivo impermeabilizante </t>
  </si>
  <si>
    <t>Reboco - paredes externas, argamassa pré-fabricada</t>
  </si>
  <si>
    <t xml:space="preserve">74108/001 </t>
  </si>
  <si>
    <t xml:space="preserve">Piso cerâmico 20X20cm, assentado com argamassa industrializada </t>
  </si>
  <si>
    <t>Massa epoxi para rejunte do piso cerâmico</t>
  </si>
  <si>
    <t>5.2</t>
  </si>
  <si>
    <t>5.3</t>
  </si>
  <si>
    <t>6.2</t>
  </si>
  <si>
    <t>6.3</t>
  </si>
  <si>
    <t>6.4</t>
  </si>
  <si>
    <t>6.5</t>
  </si>
  <si>
    <t xml:space="preserve"> Porta madeira compensada lisa para pintura, tipo paraná, 0,55X1,80m 1 folha, incluso ferragens (3 dobradiças e fechadura tipo livre/ocupado) e batente</t>
  </si>
  <si>
    <t xml:space="preserve"> Porta madeira compensada lisa para pintura, 0,80X2,10m 1 folha, incluso ferragens (3 dobradiças e fechadura tipo alavanca e cilindro)e batente</t>
  </si>
  <si>
    <t>Janela em alumínio natural e vidro fumê, 1,20X0,60m, maxim-ar - completa - fornecimento e instalação, incluso fechadura tipo alavanca em alumínio</t>
  </si>
  <si>
    <t>Janela em alumínio natural e vidro fumê, 2,00X0,40m, maxim-ar - completa - fornecimento e instalação, incluso fechadura tipo alavanca em alumínio</t>
  </si>
  <si>
    <t>Janela em alumínio natural e vidro fumê, 1,80X0,60m, maxim-ar - completa - fornecimento e instalação, incluso fechadura tipo alavanca em alumínio</t>
  </si>
  <si>
    <t>Janela em alumínio natural e vidro fumê, 1,20X0,40m, maxim-ar - completa - fornecimento e instalação, incluso fechadura tipo alavanca em alumínio</t>
  </si>
  <si>
    <t>74139/002</t>
  </si>
  <si>
    <t>73910/005</t>
  </si>
  <si>
    <t>74071/001</t>
  </si>
  <si>
    <t xml:space="preserve">73809/001 </t>
  </si>
  <si>
    <t>74131/003</t>
  </si>
  <si>
    <t>Quadro de distribuição de energie em chapa metálica, para 12 disjuntores termomagnéticos monopolares, sem dispositivo para chave geral, com porta, sem barramentos fases e com barramento neutro, fornecimento e instalação</t>
  </si>
  <si>
    <t xml:space="preserve">Eletroduto PVC rígido roscável de 2" (50mm), incluso conexões  - fornecimento e instalação </t>
  </si>
  <si>
    <t xml:space="preserve">73860/008 </t>
  </si>
  <si>
    <t>Cabo de cobre isolado resistente a chama 450/750 V 2,5 mm2 fornecimento e instalação</t>
  </si>
  <si>
    <t xml:space="preserve">73860/010 </t>
  </si>
  <si>
    <t>Cabo de cobre isolado resistente a chama 450/750 V 6,0 mm2 fornecimento e instalação</t>
  </si>
  <si>
    <t>74130/001</t>
  </si>
  <si>
    <t xml:space="preserve"> Disjuntor termomagnético monopolar padrão NEMA (Americano) 10 a 30A 240V - fornecimento e instalação </t>
  </si>
  <si>
    <t>74130/004</t>
  </si>
  <si>
    <t xml:space="preserve"> Disjuntor termomagnéticotripolar padrão NEMA (Americano) 10 a 50A 240V - fornecimento e instalação </t>
  </si>
  <si>
    <t xml:space="preserve">74063/002 </t>
  </si>
  <si>
    <t xml:space="preserve">Ponto de luz parede/forro com eletroduto 25mm² e caixa de ferro sextavada </t>
  </si>
  <si>
    <t>INSTALAÇÕES TELEFÔNICAS</t>
  </si>
  <si>
    <t>Quadro de distribuição para telefone N.2, 20X20X12cm em chapa metálica</t>
  </si>
  <si>
    <t>74052/003</t>
  </si>
  <si>
    <t xml:space="preserve">Tomada para telefone de 4 polos padrão TELEBRÁS - fornecimento e instalação </t>
  </si>
  <si>
    <t xml:space="preserve">Cabo telefonico CTP-APL-50, 10 pares - fornecimento e instalação </t>
  </si>
  <si>
    <t xml:space="preserve">Duto rígido soldável de 25mm, incluso conexões - fornecimento e instalação </t>
  </si>
  <si>
    <t xml:space="preserve">75030/001 </t>
  </si>
  <si>
    <t xml:space="preserve">Tubo PVC soldável agua fria DN 25MM, inclusive conexões - fornecimento e instalação </t>
  </si>
  <si>
    <t xml:space="preserve">Tubo PVC soldável agua fria DN 32mm, inclusive conexões - fornecimento e instalação </t>
  </si>
  <si>
    <t>75030/002</t>
  </si>
  <si>
    <t>75030/004</t>
  </si>
  <si>
    <t xml:space="preserve">Tubo PVC soldável agua fria DN 50mm inclusive conexões - fornecimento e instalação </t>
  </si>
  <si>
    <t>Lavatório louça branca de sobrepor med luxo c/ladrão 53X43cm ferragens  em metal cromado sifão 1680 1"X1.1/4",torneira de toque 1/2" e válvula de escoamento 1603 rabicho em PVC fornecimento e instalação 169,20</t>
  </si>
  <si>
    <t xml:space="preserve">73947/011 </t>
  </si>
  <si>
    <t>Vaso sanitário louça branca caixa descarga acoplada 35X65X35CM incl assento plástico e rabicho cromado - fornecimento e instalação</t>
  </si>
  <si>
    <t xml:space="preserve">74050/001 </t>
  </si>
  <si>
    <t>Pia aço inoxidável 120X60cm com 1 cuba - fornecimento e instalação</t>
  </si>
  <si>
    <t xml:space="preserve">74050/002 </t>
  </si>
  <si>
    <t>Pia aço inoxidável 200X60cm com 2 cubas - fornecimento e instalação</t>
  </si>
  <si>
    <t xml:space="preserve">Chuveiro metálico cromado, fornecimento e instalação </t>
  </si>
  <si>
    <t>Bancada em aço inoxidável com espelho de 3cm das paredes de contato fixadas sobre mão francesa metálica - fornecimento e instalação</t>
  </si>
  <si>
    <t xml:space="preserve">74126/001 </t>
  </si>
  <si>
    <t>Bancada em granito cinza andorinha polido e=2,5cm, largura 60cm - fornecimento e instalação</t>
  </si>
  <si>
    <t xml:space="preserve"> Placa de identificação dos ambientes da Agência Transfusional, logomarca do Governo e do Hemopi, dimensões 45X25cm - fornecimento e instalação</t>
  </si>
  <si>
    <t xml:space="preserve">73958/001 </t>
  </si>
  <si>
    <t xml:space="preserve">Ponto de esgoto PVC 100mm - média 1,10m de tubo PVC esgoto predial DN 100mm e 1 joelho PVC 90° esgoto predial DN 100mm - fornecimento e instalação </t>
  </si>
  <si>
    <t xml:space="preserve">74165/002 </t>
  </si>
  <si>
    <t xml:space="preserve">Tubo PVC esgoto predial DN 50mm, inclusive conexões - fornecimento e instalação </t>
  </si>
  <si>
    <t xml:space="preserve">74165/003 </t>
  </si>
  <si>
    <t xml:space="preserve">Tubo PVC esgoto predial DN 75mm, inclusive conexões - fornecimento e instalação </t>
  </si>
  <si>
    <t xml:space="preserve">Tubo PVC para esgoto predial DN 100mm, inclusive conexões - fornecimento e instalação </t>
  </si>
  <si>
    <t xml:space="preserve">74165/004 </t>
  </si>
  <si>
    <t xml:space="preserve">74051/001 </t>
  </si>
  <si>
    <t xml:space="preserve">Caixa de gordura dupla em concreto prémoldado DN 60mm com tampa - fornecimento e instalação </t>
  </si>
  <si>
    <t xml:space="preserve">74166/001 </t>
  </si>
  <si>
    <t>Caixa de inspeção em concreto pré-moldado DN 60mm comtampa H= 60CM -  fornecimento e instalação</t>
  </si>
  <si>
    <t xml:space="preserve">74225/001 </t>
  </si>
  <si>
    <t>Caixa de gordura em PVC 250X230X75mm, com tampa e porta-tampa - fornecimento e instalação</t>
  </si>
  <si>
    <t xml:space="preserve">Caixa sifonada PVC 150X150X50mm, com grelha redonda branca - fornecimento e instalação </t>
  </si>
  <si>
    <t>Ralo sifonado de PVC 100X100mm simples - fornecimento e instalação</t>
  </si>
  <si>
    <t xml:space="preserve">74175/001 </t>
  </si>
  <si>
    <t>Registro gaveta 1" com canopla acabamento cromado simples - fornecimento e instalação</t>
  </si>
  <si>
    <t xml:space="preserve">74176/001 </t>
  </si>
  <si>
    <t>Registro gaveta 3/4" com canopla acabamento cromado simples - fornecimento e instalação</t>
  </si>
  <si>
    <t xml:space="preserve">74179/001 </t>
  </si>
  <si>
    <t xml:space="preserve">73975/001 </t>
  </si>
  <si>
    <t>Registro pressão 3/4" com canopla acabamento cromado simples - fornecimento e instalação</t>
  </si>
  <si>
    <t>Registro gaveta 3" bruto latão - fornecimento e instalação</t>
  </si>
  <si>
    <t>Tanque de despejo em aço inoxidável 50X60cm, ferragens  em metal cromado sifão 1680 1"X1.1/4",torneira de toque 1/2" e válvula de escoamento 1603 rabicho em PVC - fornecimento e instalação</t>
  </si>
  <si>
    <t>Porta papel higiênico em inox</t>
  </si>
  <si>
    <t xml:space="preserve">Pintura esmalte acetinado para esquadrias de madeira, duas demãos, incluso aparelhamento com fundo nivelador branco fosco </t>
  </si>
  <si>
    <t xml:space="preserve">Pintura epoxi c/ massa epoxi hidrossolúvel incluso base seladora, 2 demãos de massa epoxi e duas demãos de tinta na cor branca </t>
  </si>
  <si>
    <t xml:space="preserve">73751/001 </t>
  </si>
  <si>
    <t xml:space="preserve">Selador PVA para forro , uma demão </t>
  </si>
  <si>
    <t xml:space="preserve">73955/002 </t>
  </si>
  <si>
    <t xml:space="preserve">Emassamento com massa latex PVA para paredes que receberão tinta latex PVA, duas demãos </t>
  </si>
  <si>
    <t xml:space="preserve">Emassamento com massa acrílica para paredes que receberão tinta acrílica, duas demãos </t>
  </si>
  <si>
    <t xml:space="preserve">74134/002 </t>
  </si>
  <si>
    <t xml:space="preserve">73750/001 </t>
  </si>
  <si>
    <t xml:space="preserve">Pintura latex PVA ambientes internos, duas demãos </t>
  </si>
  <si>
    <t xml:space="preserve">73954/002 </t>
  </si>
  <si>
    <t>Pintura acrílica em paredes internas, duas demãos</t>
  </si>
  <si>
    <t xml:space="preserve">73746/001 </t>
  </si>
  <si>
    <t xml:space="preserve">Pintura com tinta textura acrílica para paredes externas </t>
  </si>
  <si>
    <t>URBANIZAÇÃO</t>
  </si>
  <si>
    <t xml:space="preserve">73801/002 </t>
  </si>
  <si>
    <t xml:space="preserve">Demolição de pavimentação existente incluso piso e contrapiso com uso de ponteiro, espessura 4cm </t>
  </si>
  <si>
    <t>Demolição de alvenaria de tijolos s/aproveitamento</t>
  </si>
  <si>
    <t>Demolição s/aproveitamento do muro constituído de alvenaria de tijolos cerâmicos</t>
  </si>
  <si>
    <t>Lastro de impermeabilização traço 1:4 (cimento e areia), espessura 6cm, preparo manual, da calçada de contorno</t>
  </si>
  <si>
    <t xml:space="preserve">74223/001 </t>
  </si>
  <si>
    <t>Meio-fio (guia) de concreto pré-moldado, dimensões 12X15X30X100cm (face superiorXface  inferiorXalturaXcomprimento), rejuntado c/argamassa 1:4 (cimento:areia, incluso escavação e reaterro</t>
  </si>
  <si>
    <t xml:space="preserve">73764/004 </t>
  </si>
  <si>
    <t>Pavimentação em blocos intertravados de concreto, espessura 6,5cm FCK 35MPa, assentados sobre colchão de areia</t>
  </si>
  <si>
    <t xml:space="preserve">74236/001 </t>
  </si>
  <si>
    <t>Plantio de grama em placas, incluso preparação do caixão de 15cm com acerto do terreno e terra vegetal</t>
  </si>
  <si>
    <t xml:space="preserve">Aterro do lastro da calçada de contorno compactado manualmente </t>
  </si>
  <si>
    <t>Escavação manual de cavas para calçada de contorno do prédio e muro</t>
  </si>
  <si>
    <t>Pedra argamassada para fundação corrida utilizando argamassa de cimento e areia (traço 1:4) da calçada de contorno e muro</t>
  </si>
  <si>
    <t>Baldrame em tijolo maciço 5X10X20cm. Assentado com argamassa traço 1:2:8 (cimento, cal e areia) da calçada de contorno e muro</t>
  </si>
  <si>
    <t xml:space="preserve">73791/001 </t>
  </si>
  <si>
    <t xml:space="preserve">Pintura do meio-fio com tinta em pó industrializaa de cal, pigmento e fixador, duas demãos </t>
  </si>
  <si>
    <t xml:space="preserve">72117 </t>
  </si>
  <si>
    <t xml:space="preserve">Vidro liso comum transparente, esp = 4mm </t>
  </si>
  <si>
    <t>3.1</t>
  </si>
  <si>
    <t>3.2</t>
  </si>
  <si>
    <t>3.3</t>
  </si>
  <si>
    <t>3.4</t>
  </si>
  <si>
    <t>74075/002</t>
  </si>
  <si>
    <t>Forma madeira compensado resinado 12mm p/estrutura reaproveitamento 3 vezes - corte/montagem/escoramento/desforma</t>
  </si>
  <si>
    <t>9.5</t>
  </si>
  <si>
    <t>9.6</t>
  </si>
  <si>
    <t>9.7</t>
  </si>
  <si>
    <t>9.8</t>
  </si>
  <si>
    <t>9.9</t>
  </si>
  <si>
    <t>9.10</t>
  </si>
  <si>
    <t>10.5</t>
  </si>
  <si>
    <t>10.6</t>
  </si>
  <si>
    <t>10.7</t>
  </si>
  <si>
    <t>10.8</t>
  </si>
  <si>
    <t>10.9</t>
  </si>
  <si>
    <t>10.10</t>
  </si>
  <si>
    <t>10.11</t>
  </si>
  <si>
    <t>10.12</t>
  </si>
  <si>
    <t>10.13</t>
  </si>
  <si>
    <t>10.14</t>
  </si>
  <si>
    <t>10.15</t>
  </si>
  <si>
    <t>10.16</t>
  </si>
  <si>
    <t>11.3</t>
  </si>
  <si>
    <t>11.4</t>
  </si>
  <si>
    <t>12.0</t>
  </si>
  <si>
    <t>12.1</t>
  </si>
  <si>
    <t>12.2</t>
  </si>
  <si>
    <t>12.3</t>
  </si>
  <si>
    <t>13.0</t>
  </si>
  <si>
    <t>13.1</t>
  </si>
  <si>
    <t>14.0</t>
  </si>
  <si>
    <t>14.1</t>
  </si>
  <si>
    <t>14.2</t>
  </si>
  <si>
    <t>14.3</t>
  </si>
  <si>
    <t>15.0</t>
  </si>
  <si>
    <t>15.1</t>
  </si>
  <si>
    <t>15.2</t>
  </si>
  <si>
    <t>15.3</t>
  </si>
  <si>
    <t>16.0</t>
  </si>
  <si>
    <t>16.1</t>
  </si>
  <si>
    <t>CLIMATIZAÇÃO</t>
  </si>
  <si>
    <t>15.4</t>
  </si>
  <si>
    <t>15.5</t>
  </si>
  <si>
    <t>17.0</t>
  </si>
  <si>
    <t>17.1</t>
  </si>
  <si>
    <t>17.2</t>
  </si>
  <si>
    <t>17.3</t>
  </si>
  <si>
    <t>REVESTIMENTO DE PAREDES</t>
  </si>
  <si>
    <t>PISOS</t>
  </si>
  <si>
    <t>ESQUADRIAS DE MADEIRA</t>
  </si>
  <si>
    <t>ESQUADRIAS</t>
  </si>
  <si>
    <t xml:space="preserve">Endereço do EAS: </t>
  </si>
  <si>
    <r>
      <t>Data da elaboração do orçamento:</t>
    </r>
    <r>
      <rPr>
        <sz val="10"/>
        <rFont val="Times New Roman"/>
        <family val="1"/>
      </rPr>
      <t xml:space="preserve"> 27/06/2011</t>
    </r>
  </si>
  <si>
    <r>
      <t xml:space="preserve">Prazo de execução: </t>
    </r>
    <r>
      <rPr>
        <sz val="10"/>
        <rFont val="Times New Roman"/>
        <family val="1"/>
      </rPr>
      <t>150 dias</t>
    </r>
  </si>
  <si>
    <t>13.1.1</t>
  </si>
  <si>
    <t>13.1.2</t>
  </si>
  <si>
    <t>13.1.3</t>
  </si>
  <si>
    <t>13.1.4</t>
  </si>
  <si>
    <t>13.1.5</t>
  </si>
  <si>
    <t>13.1.6</t>
  </si>
  <si>
    <t>13.1.7</t>
  </si>
  <si>
    <t>13.2</t>
  </si>
  <si>
    <t>13.2.1</t>
  </si>
  <si>
    <t>13.2.2</t>
  </si>
  <si>
    <t>13.2.3</t>
  </si>
  <si>
    <t>13.2.4</t>
  </si>
  <si>
    <t>13.2.5</t>
  </si>
  <si>
    <t>13.2.6</t>
  </si>
  <si>
    <t>13.2.7</t>
  </si>
  <si>
    <t>13.2.8</t>
  </si>
  <si>
    <t>13.2.9</t>
  </si>
  <si>
    <t>13.2.10</t>
  </si>
  <si>
    <t>13.2.11</t>
  </si>
  <si>
    <t>13.2.12</t>
  </si>
  <si>
    <t>13.2.13</t>
  </si>
  <si>
    <t>13.2.14</t>
  </si>
  <si>
    <t>13.2.15</t>
  </si>
  <si>
    <t>13.2.16</t>
  </si>
  <si>
    <t>13.2.17</t>
  </si>
  <si>
    <t>13.3</t>
  </si>
  <si>
    <t>13.3.1</t>
  </si>
  <si>
    <t>13.3.2</t>
  </si>
  <si>
    <t>13.3.3</t>
  </si>
  <si>
    <t>13.3.4</t>
  </si>
  <si>
    <t>13.3.5</t>
  </si>
  <si>
    <t>13.3.6</t>
  </si>
  <si>
    <t>13.3.7</t>
  </si>
  <si>
    <t>13.3.8</t>
  </si>
  <si>
    <t>13.3.9</t>
  </si>
  <si>
    <t>13.3.10</t>
  </si>
  <si>
    <t>14.4</t>
  </si>
  <si>
    <t>14.5</t>
  </si>
  <si>
    <t>14.6</t>
  </si>
  <si>
    <t>14.7</t>
  </si>
  <si>
    <t>14.8</t>
  </si>
  <si>
    <t>14.9</t>
  </si>
  <si>
    <t>17.4</t>
  </si>
  <si>
    <t>17.5</t>
  </si>
  <si>
    <t>17.6</t>
  </si>
  <si>
    <t>17.7</t>
  </si>
  <si>
    <t>17.8</t>
  </si>
  <si>
    <t>17.9</t>
  </si>
  <si>
    <t>17.10</t>
  </si>
  <si>
    <t>17.11</t>
  </si>
  <si>
    <t>17.12</t>
  </si>
  <si>
    <t>17.13</t>
  </si>
  <si>
    <r>
      <t xml:space="preserve">Endereço do EAS: </t>
    </r>
    <r>
      <rPr>
        <sz val="10"/>
        <rFont val="Times New Roman"/>
        <family val="1"/>
      </rPr>
      <t>Rua João Dantas, 1161, Centro</t>
    </r>
  </si>
  <si>
    <t>Estrutura metálica em tesouras, vão 12m</t>
  </si>
  <si>
    <t>72110</t>
  </si>
  <si>
    <t>Cobertuira com telha em chapa aço zincado, ondulado, esp=0,5mm</t>
  </si>
  <si>
    <t>75381/001</t>
  </si>
  <si>
    <t>Calha em concreto simples, em meia cana, diametro 200mm</t>
  </si>
  <si>
    <t>73882/001</t>
  </si>
  <si>
    <t>Impermeabilização de calha de concreto com mastique betuminoso a frio</t>
  </si>
  <si>
    <t>74025/001</t>
  </si>
  <si>
    <t>Rufo em concreto armado, largura 40cm e espessura 7cm</t>
  </si>
  <si>
    <t>68058</t>
  </si>
  <si>
    <t>6.6</t>
  </si>
  <si>
    <t>Chapim de concreto aparente com argamassa desempenado, forma de compensado plastificado (madeirit) de 14X10cm, fundido no local</t>
  </si>
  <si>
    <t>71623</t>
  </si>
  <si>
    <t>72137</t>
  </si>
  <si>
    <t>Piso granilite de alta resistência, espessura 12mm, incluso juntas de alumínio para dilatação e polimento mecanizado (Piso da marquise)</t>
  </si>
  <si>
    <r>
      <t xml:space="preserve">Área: </t>
    </r>
    <r>
      <rPr>
        <sz val="10"/>
        <rFont val="Times New Roman"/>
        <family val="1"/>
      </rPr>
      <t>279,84m²</t>
    </r>
  </si>
  <si>
    <r>
      <t>Área: 279,84</t>
    </r>
    <r>
      <rPr>
        <sz val="10"/>
        <rFont val="Times New Roman"/>
        <family val="1"/>
      </rPr>
      <t>m²</t>
    </r>
  </si>
  <si>
    <t>Terreno existente em frente do bloco administrativo =18,65mX14,65m</t>
  </si>
  <si>
    <t>A=18,65*14,65</t>
  </si>
  <si>
    <t>Terreno existente na lateral esquerda do bloco administrativo =22,50mX5,00m</t>
  </si>
  <si>
    <t>A=22,50*5,00</t>
  </si>
  <si>
    <t>Terreno dos fundos do bloco administrativo (18,65mX4,00m)</t>
  </si>
  <si>
    <t>A=18,65*4,00</t>
  </si>
  <si>
    <t>Total</t>
  </si>
  <si>
    <t>Será instalado um galpão para armazenagem de material com dimensões de 4,00mmX5,50m que ficará na frente do bloco administrativo</t>
  </si>
  <si>
    <t>A=4,00*5,50</t>
  </si>
  <si>
    <t>Circulação de acesso ao bloco administrativo</t>
  </si>
  <si>
    <t>Circulação de acesso ao bloco administrativo (Pé direito de 3,00m)</t>
  </si>
  <si>
    <t>A=2,20*3,00*3+0,30*2,10+0,2*1,50</t>
  </si>
  <si>
    <t>Almoxarifado</t>
  </si>
  <si>
    <t>Copa e área de conveniência</t>
  </si>
  <si>
    <t>Sala Coordenador</t>
  </si>
  <si>
    <t>Sala do Supervisor</t>
  </si>
  <si>
    <t>Recepção e espera</t>
  </si>
  <si>
    <t>Distribuição</t>
  </si>
  <si>
    <t>A=2,23*3,00+0,30*2,30</t>
  </si>
  <si>
    <t>Compatibilidade</t>
  </si>
  <si>
    <t>A=(3,60+1,25)*3,00</t>
  </si>
  <si>
    <t>Área de lavagem de material</t>
  </si>
  <si>
    <t>BWC e Vest. Funcionário feminino</t>
  </si>
  <si>
    <t>A=2,80*3,00+0,86*2,30</t>
  </si>
  <si>
    <t>A=1,26*2,30+2,00*3,00</t>
  </si>
  <si>
    <t>A=2,33*3+0,86*2,30</t>
  </si>
  <si>
    <t>A=0,86*2,30</t>
  </si>
  <si>
    <t>A=(3,55+1,30)*3,00+2,86*2,80</t>
  </si>
  <si>
    <t>BWC e Vest. Funcionário masculino</t>
  </si>
  <si>
    <t>DML</t>
  </si>
  <si>
    <t>Dimensóes do bloco administrativo (22,50mX10,00m+1,23mX8,80m)</t>
  </si>
  <si>
    <t>A=(22,50+1,20)*(10,00+1,20)+1,23*(8,80+1,20)</t>
  </si>
  <si>
    <t>Área igual a retirada de telhas</t>
  </si>
  <si>
    <t>A=277,74m²</t>
  </si>
  <si>
    <t>Almoxarifado/Copa e área de conveniência</t>
  </si>
  <si>
    <t>Sala Coordenador/Sala do Supervisor</t>
  </si>
  <si>
    <t>WC da sala do Supervisor</t>
  </si>
  <si>
    <t>BWC e Vest. Funcionário feminino/BWC e Vest. Funcionário masculino</t>
  </si>
  <si>
    <t>Condirerações: Fundações com cavas de 0,60mX0,80m com as mesmas características das existentes</t>
  </si>
  <si>
    <t>V=4,90*0,60*0,80</t>
  </si>
  <si>
    <t>V=2,45*0,60*0,80</t>
  </si>
  <si>
    <t>V=2,80*0,60*0,80</t>
  </si>
  <si>
    <t>Compatibilidade (A=5,45m²</t>
  </si>
  <si>
    <t>V=5,45*0,30</t>
  </si>
  <si>
    <t>Área de lavagem de material (A=9,52m²)</t>
  </si>
  <si>
    <t>BWC e Vest. Funcionário feminino (A=9,94m²)</t>
  </si>
  <si>
    <t>V=9,52*0,30</t>
  </si>
  <si>
    <t>V=9,94*0,40</t>
  </si>
  <si>
    <t>BWC e Vest. Funcionário masculino (A=9,94m²)</t>
  </si>
  <si>
    <t>V=277,74*0,05</t>
  </si>
  <si>
    <t>Retirada do madeiramento da cobertura</t>
  </si>
  <si>
    <t>V=277,74*0,10</t>
  </si>
  <si>
    <t>V=460,32*0,05</t>
  </si>
  <si>
    <t>V=131,31*0,10</t>
  </si>
  <si>
    <t>Condirerações: Fundações corridas observando os pilaress a serem executados nas extremidades das paredes novas, com fundações de 60X60cm e profundidade de 80cm</t>
  </si>
  <si>
    <t>V=(4,90-1,20)*0,60*0,80</t>
  </si>
  <si>
    <t>V=(2,45-0,60)*0,60*0,80</t>
  </si>
  <si>
    <t>V=(2,80-1,20)*0,60*0,80</t>
  </si>
  <si>
    <t>Cocreto ciclópico 10MPa com 30% de pedra de mão</t>
  </si>
  <si>
    <t>73361</t>
  </si>
  <si>
    <t>Condirerações: Fundações dos pilaress com dimensões de 60X60cm e profundidade de 80cm</t>
  </si>
  <si>
    <t>V=2*0,60*0,80</t>
  </si>
  <si>
    <t>V=0,60*0,80</t>
  </si>
  <si>
    <t>Condirerações: Perímetro de alvenaria nova = 11,45m, considerando altura de 30cm e espessura = 22cm</t>
  </si>
  <si>
    <t>V=11,45*0,22*0,30</t>
  </si>
  <si>
    <t>A=V=5,45</t>
  </si>
  <si>
    <t>A=9,52</t>
  </si>
  <si>
    <t>A=9,94</t>
  </si>
  <si>
    <t>A= 5,55*2,20</t>
  </si>
  <si>
    <t xml:space="preserve"> Perímetro de alvenaria = 11,45m, considerando pé direito de 3,00m</t>
  </si>
  <si>
    <t xml:space="preserve"> Fechamento de portas</t>
  </si>
  <si>
    <t>A=11,45*3,00</t>
  </si>
  <si>
    <t>A=0,30*2,10</t>
  </si>
  <si>
    <t>Sala de Supervisão técnica</t>
  </si>
  <si>
    <t>A=0,80*2*2,10</t>
  </si>
  <si>
    <t>BWC e vest. Func. Fem</t>
  </si>
  <si>
    <t>A=0,80*2,10</t>
  </si>
  <si>
    <t>A=1,25*3,00*2+0,80*2,10</t>
  </si>
  <si>
    <t>A=1,40*0,10*0,20</t>
  </si>
  <si>
    <t>A=1,00*0,10*0,20</t>
  </si>
  <si>
    <t>BWC e vest. Func. Masc</t>
  </si>
  <si>
    <t>Recepção e Espera</t>
  </si>
  <si>
    <t>A=3,00*0,10*0,20</t>
  </si>
  <si>
    <t>Acesso ao bloco administrativo</t>
  </si>
  <si>
    <t xml:space="preserve"> Sete pilares de 10X20cm com altura de 3,20m</t>
  </si>
  <si>
    <t>V=7*0,10*0,2*3,20</t>
  </si>
  <si>
    <t xml:space="preserve"> Vigas de 10cmX30cm e Vergas de 10X20cm</t>
  </si>
  <si>
    <t>V=11,45*0,10X0,30</t>
  </si>
  <si>
    <t>Vergas das portas</t>
  </si>
  <si>
    <t>Vigas sobre paredes</t>
  </si>
  <si>
    <t>Vigas de encontro de lages</t>
  </si>
  <si>
    <t>V=(7*0,10*0,20*1,00)+(11,45*0,10*0,30</t>
  </si>
  <si>
    <t>Condirerações: Sete esperas de pilares de 10X20cm; cintas inferiores com perímetro de  ((4,9-1,2)*2+2,45-0+2,8-1,2=11,45m) e área de 10X30cm</t>
  </si>
  <si>
    <t>A=3,90*0,10*0,40</t>
  </si>
  <si>
    <t>A=2,80*0,10*0,35</t>
  </si>
  <si>
    <t>Demolição de laje de concreto pré-moldado</t>
  </si>
  <si>
    <t>72216</t>
  </si>
  <si>
    <t>V=18,46*0,12</t>
  </si>
  <si>
    <t>Volume total de concreto armado = 1,03+0,45</t>
  </si>
  <si>
    <t>Considerando a PINI para cada 1,00m³ considera-se de 10 a 12m² de forma. Considerado 12,00m²/m³</t>
  </si>
  <si>
    <t>Compreende a área de retirada da cobertura mais a área da marquise</t>
  </si>
  <si>
    <t>A=277,74+8,25</t>
  </si>
  <si>
    <t>Área igual ao da estrutura metálica</t>
  </si>
  <si>
    <t>A=285,99</t>
  </si>
  <si>
    <t>Platibanda</t>
  </si>
  <si>
    <t>A=(22,35+9,85)*2*1,70</t>
  </si>
  <si>
    <t>Pilaretes da platibanda (altura 1,70m)</t>
  </si>
  <si>
    <t>V=19*0,10*0,2*1,70</t>
  </si>
  <si>
    <t>V=(1,03+1,09)*12</t>
  </si>
  <si>
    <t>O bloco administrativo terá uma única água. A calha ficará entre os dois blocos.</t>
  </si>
  <si>
    <t>P=22,50-0,15</t>
  </si>
  <si>
    <t>A=(22,20+9,70)*2-8,80</t>
  </si>
  <si>
    <t>Paredes externas (h=3,00(pd)+0,30(baldrame)+0,12(esp da laje)</t>
  </si>
  <si>
    <t>A=(22,50+10,00+1,38)*2*3,42</t>
  </si>
  <si>
    <t>A=(22,35+9,85)*2*1,70*2</t>
  </si>
  <si>
    <t>A=(5,55*2+2,20)*3,00</t>
  </si>
  <si>
    <t>A=(4,90*4+2,90*2+3,22*2)-(2,00*3,00)*3,00</t>
  </si>
  <si>
    <t>A=(2,90+4,90)*2*3,00</t>
  </si>
  <si>
    <t>A=(2,33+4,90)*2*3,00</t>
  </si>
  <si>
    <t>A=(3,75+2,90)*2*3,00</t>
  </si>
  <si>
    <t>A=(3,55+5,20)*2*3,00</t>
  </si>
  <si>
    <t>A=(2,23+2,45)*2*3,00</t>
  </si>
  <si>
    <t>A=(3,60+3,35)*2*3,00</t>
  </si>
  <si>
    <t>A=(2,65+3,60)*2*3,00</t>
  </si>
  <si>
    <t>A=(3,55+2,80)*2*3,00</t>
  </si>
  <si>
    <t>A=(1,70+2,15)*2*3,00</t>
  </si>
  <si>
    <t>A=40,89*3,00</t>
  </si>
  <si>
    <t>Circulação interna (Perímetro=40,89m)</t>
  </si>
  <si>
    <t>A=5,55*2,20</t>
  </si>
  <si>
    <t>A=34,26m²</t>
  </si>
  <si>
    <t>A=15,51m²</t>
  </si>
  <si>
    <t>A=12,43m²</t>
  </si>
  <si>
    <t>A=10,87m²</t>
  </si>
  <si>
    <t>A=18,46m²</t>
  </si>
  <si>
    <t>A=5,45m²</t>
  </si>
  <si>
    <t>A=12,06m²</t>
  </si>
  <si>
    <t>A=9,52m²</t>
  </si>
  <si>
    <t>A=9,94m²</t>
  </si>
  <si>
    <t>A=3,65m²</t>
  </si>
  <si>
    <t>A=31,16m²</t>
  </si>
  <si>
    <t>WC</t>
  </si>
  <si>
    <t>A=(1,20+2,30)*2*3,00</t>
  </si>
  <si>
    <t>Igual a área de chapisco interno menos a área de emboço</t>
  </si>
  <si>
    <t>A=629,95-157,80</t>
  </si>
  <si>
    <t>Igual a área de chapisco externo</t>
  </si>
  <si>
    <t>Igual a área do emboço</t>
  </si>
  <si>
    <t>Igual a área de chapisco do forro</t>
  </si>
  <si>
    <t>Igual a área de cerâmica</t>
  </si>
  <si>
    <t>Igual ao perímetro da calha</t>
  </si>
  <si>
    <t>A=(22,35+2*9,7)*0,14</t>
  </si>
  <si>
    <t>A=2,76m²</t>
  </si>
  <si>
    <t>Igual a área de piso cerâmico</t>
  </si>
  <si>
    <t>73872/001</t>
  </si>
  <si>
    <t>Q=2unid</t>
  </si>
  <si>
    <t>Q=1unid</t>
  </si>
  <si>
    <t>Sala do Supervisor Administrativo</t>
  </si>
  <si>
    <t xml:space="preserve"> Porta madeira compensada lisa para pintura, 1,20X2,10m (2 folhas -80cm e 40cm), incluso ferragens (3 dobradiças e fechadura tipo alavanca e cilindro)e batente</t>
  </si>
  <si>
    <t xml:space="preserve"> Porta madeira compensada lisa para pintura, 1,60X2,10m (2 folhas - 2 de 80cm), incluso ferragens (3 dobradiças e fechadura tipo alavanca e cilindro)e batente</t>
  </si>
  <si>
    <t>73906/004</t>
  </si>
  <si>
    <t xml:space="preserve"> Porta de alumínio de abrir com vidro completa, 1,70X2,50, incluso ferragens (3 dobradiças e fechadura tipo alavanca e cilindro)e batente</t>
  </si>
  <si>
    <t>A=1,20*0,60</t>
  </si>
  <si>
    <t>Janela em alumínio natural e vidro fumê, 1,20X1,30m, maxim-ar - completa - fornecimento e instalação, incluso fechadura tipo alavanca em alumínio</t>
  </si>
  <si>
    <t>A=1,20*1,30</t>
  </si>
  <si>
    <t>A=2*1,20*1,30</t>
  </si>
  <si>
    <t>Sala de capacitação de doadores</t>
  </si>
  <si>
    <t>A=1,80*0,60</t>
  </si>
  <si>
    <t>A=2*1,80*0,60</t>
  </si>
  <si>
    <t>A=1,20*0,40</t>
  </si>
  <si>
    <t>A=3*1,20*1,30</t>
  </si>
  <si>
    <t>A=2,00*0,40</t>
  </si>
  <si>
    <t>C=12,20+8,70+24,35+6,00+5,40+14,90+6,00</t>
  </si>
  <si>
    <t xml:space="preserve">Eletroduto rígido soldável de 25mm (1"), incluso conexões - fornecimento e instalação </t>
  </si>
  <si>
    <t>C=(1,2*19+4,36*7+3,16*3+3,15*2+1,26*3+2,15*3+3,78*17+1,79*2+1,85*2+3,12*4+1,8*2+3,75*13+4+2+3,2*11+1,8*3+1,2*2+1,75*2+5,1*2+2,5*8+3,16*7+1,7*3+2,2*7+4*2+21+12+2*5,3*7+2,4*2*2+3,3*13*21+2,6*5+1,7*4+2,3*9+6*2,6+1,5*2+12+3+2,5*4+10+3+6+6+8)</t>
  </si>
  <si>
    <t>C=(21+10+21+17+10+8,7+18,7+20+16,3)*3</t>
  </si>
  <si>
    <t>C=25*4*2</t>
  </si>
  <si>
    <t>Refere-se as instalações entre o grupo gerador e o quadro de distribuição que é de 25m</t>
  </si>
  <si>
    <t>Será instalado na saída do grupo gerador</t>
  </si>
  <si>
    <t>Controle de qualidade</t>
  </si>
  <si>
    <t>Q= 1unid</t>
  </si>
  <si>
    <t>Imuno doador</t>
  </si>
  <si>
    <t xml:space="preserve">Ponto interruptor three-way com eletroduto PVC 3/4" e caixa 4X2" </t>
  </si>
  <si>
    <t xml:space="preserve">74042/007 </t>
  </si>
  <si>
    <t>Q= 3unid</t>
  </si>
  <si>
    <t>Q= 2unid</t>
  </si>
  <si>
    <t>Q=3unid</t>
  </si>
  <si>
    <t>Q= 6unid</t>
  </si>
  <si>
    <t/>
  </si>
  <si>
    <t>74054/003</t>
  </si>
  <si>
    <t>73952</t>
  </si>
  <si>
    <t>Interruptor simples de embutir - 1 tecla - fornecimento e instalação</t>
  </si>
  <si>
    <t>72331</t>
  </si>
  <si>
    <t>Interruptor three-way de embutir - 1 tecla - fornecimento e instalação</t>
  </si>
  <si>
    <t xml:space="preserve">Instalação de tomada com eletroduto rígido de 3/4" , caixas, conexões e tomada de embutir </t>
  </si>
  <si>
    <t>73953/006</t>
  </si>
  <si>
    <t>Luminária em calha de sobrepor, partida rápida completa com  lâmpada fluorescente 2X40W completa - fornecimento e instalação</t>
  </si>
  <si>
    <t>74041/001</t>
  </si>
  <si>
    <t>Luminária tipo globo vidro leitoso com bocal e lâmpada de 60W completa - fornecimento e instalação</t>
  </si>
  <si>
    <t xml:space="preserve">Ponto de tomada para arcondicionado split (eletroduto, fios e tomada) </t>
  </si>
  <si>
    <t>Capacitação do doador</t>
  </si>
  <si>
    <t>00018/ORSE</t>
  </si>
  <si>
    <t>00019/ORSE</t>
  </si>
  <si>
    <t>Split de 12.000BTU's instalado  - fornecimento e instalação</t>
  </si>
  <si>
    <t>Split de 18.000BTU's instalado  - fornecimento e instalação</t>
  </si>
  <si>
    <t>Split de 24.000BTU's instalado  - fornecimento e instalação</t>
  </si>
  <si>
    <t>00020/ORSE</t>
  </si>
  <si>
    <t>Q= 4unid</t>
  </si>
  <si>
    <t>Saída da caixa d'água</t>
  </si>
  <si>
    <t>Tubulação que vem da caixa d'água</t>
  </si>
  <si>
    <t>02873/ORSE</t>
  </si>
  <si>
    <t xml:space="preserve">Cuba de embutir, circular, ref: L41 - fornecimento e instalação </t>
  </si>
  <si>
    <t>74057/001</t>
  </si>
  <si>
    <t>Porta papel toalha em aço inox</t>
  </si>
  <si>
    <t>Porta toalha de louça com bastão plástico - fornecimento e instalação</t>
  </si>
  <si>
    <t>73947/010</t>
  </si>
  <si>
    <t>01842/ORSE</t>
  </si>
  <si>
    <t>01834/ORSE</t>
  </si>
  <si>
    <t>Igual a área de reboco forro</t>
  </si>
  <si>
    <t>Só receberá PVA látex o forro</t>
  </si>
  <si>
    <t>74233/001</t>
  </si>
  <si>
    <t xml:space="preserve">Fundo selador acrílico para paredes internas/externas, uma demão </t>
  </si>
  <si>
    <t>Reboco interno</t>
  </si>
  <si>
    <t>Reboco externo</t>
  </si>
  <si>
    <t>Igual a área de emassamento do forro</t>
  </si>
  <si>
    <t>Igual a área de emassamento acrílico - paredes internas</t>
  </si>
  <si>
    <t>Igual a área de reboco externo</t>
  </si>
  <si>
    <t>73872/002</t>
  </si>
  <si>
    <t>Igual a área de reboco interno menos a área do reboco da Compatibilida</t>
  </si>
  <si>
    <t>A=472,15-41,70</t>
  </si>
  <si>
    <t>Acesso frontal do bloco administrativo</t>
  </si>
  <si>
    <t>A=5,50*1,50</t>
  </si>
  <si>
    <t>HIDRÁULICAS</t>
  </si>
  <si>
    <t>A=0,55*1,80*4*2</t>
  </si>
  <si>
    <t>Quantidade de portas de 0,55X1,80 - 4und</t>
  </si>
  <si>
    <t>Quantidade de portas de 0,80X2,10 - 9und</t>
  </si>
  <si>
    <t>A=0,80*2,10*9*2,50</t>
  </si>
  <si>
    <t>Quantidade de portas de 1,20X2,10 - 2und</t>
  </si>
  <si>
    <t>A=1,20*2,10*2*2,50</t>
  </si>
  <si>
    <t>Quantidade de portas de 1,60X2,10 - 2und</t>
  </si>
  <si>
    <t>A=1,60*2,10*2*2,50</t>
  </si>
  <si>
    <t>13.4</t>
  </si>
  <si>
    <t>INSTALAÇÕES DE COMBATE À INCÊNDIO</t>
  </si>
  <si>
    <t>Extintor de PQS 6Kg</t>
  </si>
  <si>
    <t>Extintor de agua 10 litros</t>
  </si>
  <si>
    <t>Placa de indicação de extintor PQS</t>
  </si>
  <si>
    <t xml:space="preserve">Placa de indicação de extintor de Agua  </t>
  </si>
  <si>
    <t>60 DIAS</t>
  </si>
  <si>
    <t>90 DIAS</t>
  </si>
  <si>
    <t>120 DIAS</t>
  </si>
  <si>
    <t>150 DIAS</t>
  </si>
  <si>
    <t>Subestação aérea de 150KVA - trifásico 60Hz - classe 15KV - transformador imerso em óleo mineral - completa - fornecimento e instalação</t>
  </si>
  <si>
    <t>73857/003</t>
  </si>
  <si>
    <t>10851</t>
  </si>
  <si>
    <t>23742/002</t>
  </si>
  <si>
    <t>Estrutura para cobertura metálica, em alumínio anodizado</t>
  </si>
  <si>
    <t>73866/001</t>
  </si>
  <si>
    <t>Cobertura com telha ondulada, metálica zincada de 5mm</t>
  </si>
  <si>
    <t>16.2</t>
  </si>
  <si>
    <t>16.3</t>
  </si>
  <si>
    <t>16.3.1</t>
  </si>
  <si>
    <t>16.3.2</t>
  </si>
  <si>
    <t>MARQUISE</t>
  </si>
  <si>
    <t>15.6</t>
  </si>
  <si>
    <t>Móveis sob bancadas com portas de correr em alumínio, perfil serie 25 com folhas para vidro</t>
  </si>
  <si>
    <t>Igual a área de móveis</t>
  </si>
  <si>
    <t>Luminária de emergência bloco autonomo</t>
  </si>
  <si>
    <t>Estrutura tipo espacial para cobertura metálica, em alumínio anodizado</t>
  </si>
  <si>
    <t>04319/ORSE</t>
  </si>
  <si>
    <t>MARQUISES</t>
  </si>
  <si>
    <t>Móveis sob bancadas comostas de três ambientes: dois com portas de duas folhas e prateleiras e outro com gavetas</t>
  </si>
  <si>
    <t>15.7</t>
  </si>
  <si>
    <t>73859/002</t>
  </si>
  <si>
    <t>74001/001</t>
  </si>
  <si>
    <t>73809/001</t>
  </si>
  <si>
    <t>73860/008</t>
  </si>
  <si>
    <t>73860/010</t>
  </si>
  <si>
    <t>74051/001</t>
  </si>
  <si>
    <t>74166/001</t>
  </si>
  <si>
    <t>74175/001</t>
  </si>
  <si>
    <t>74176/001</t>
  </si>
  <si>
    <t>74179/001</t>
  </si>
  <si>
    <t>73801/002</t>
  </si>
  <si>
    <t>74223/001</t>
  </si>
  <si>
    <t>73764/004</t>
  </si>
  <si>
    <t>74236/001</t>
  </si>
  <si>
    <t>73791/001</t>
  </si>
  <si>
    <t>73899/002</t>
  </si>
  <si>
    <t>73965/010</t>
  </si>
  <si>
    <t xml:space="preserve">Escavação manual de cavas (fundações rasas até 1,50m) </t>
  </si>
  <si>
    <t>Concreto armado dosado 15 mpa incl mat p/ 1 m3 preparo conf comp 5845 coloc conf comp 7090 14 m2 de area moldada formas e escoramento conf comps 5306 e 5708 60 kg de aco ca-50 inc mao de obra p/corte dobragem montagem e colocação</t>
  </si>
  <si>
    <t>74076/001</t>
  </si>
  <si>
    <t>73910/011</t>
  </si>
  <si>
    <t>m2</t>
  </si>
  <si>
    <t>00641/ORSE</t>
  </si>
  <si>
    <t>10369/ORSE</t>
  </si>
  <si>
    <t>02359/ORSE</t>
  </si>
  <si>
    <t>02360/ORSE</t>
  </si>
  <si>
    <t>Lavatório louça branca de sobrepor med luxo c/ladrão 53X43cm ferragens  em metal cromado sifão 1680 1"X1.1/4",torneira de toque 1/2" e válvula de escoamento 1603 rabicho em PVC fornecimento e instalação</t>
  </si>
  <si>
    <t>10204/ORSE</t>
  </si>
  <si>
    <t>08408/ORSE</t>
  </si>
  <si>
    <t>01683/ORSE</t>
  </si>
  <si>
    <t>03278/ORSE</t>
  </si>
  <si>
    <t>03294/ORSE</t>
  </si>
  <si>
    <t>03298/ORSE</t>
  </si>
  <si>
    <t>03277/ORSE</t>
  </si>
  <si>
    <r>
      <t xml:space="preserve">Obs.: </t>
    </r>
    <r>
      <rPr>
        <sz val="10"/>
        <rFont val="Times New Roman"/>
        <family val="1"/>
      </rPr>
      <t>OS PREÇOS TEM COMO BASE A TABELA DO SINAPI - SISTEMA NACIONAL DE PESQUISA DE CUSTOS E ÍNDICES DA CONSTRUÇÃO CIVIL - PCI.817.01 - CUSTO DE COMPOSIÇÕES - SINTÉTICO EMISSãO: 03/2014 E A TABELA ORSE DE MAR/2014.
ENCARGOS SOCIAIS SOBRE PREÇOS DA MÃO-DE-OBRA: 122,19%(HORA) 80,84%(MÊS) O BDI PARA EFEITO DO CÁLCULO FOI ADOTADO 30%</t>
    </r>
  </si>
  <si>
    <r>
      <t xml:space="preserve">Revisado: </t>
    </r>
    <r>
      <rPr>
        <sz val="10"/>
        <rFont val="Times New Roman"/>
        <family val="1"/>
      </rPr>
      <t>07/2014</t>
    </r>
  </si>
  <si>
    <t>73805/001</t>
  </si>
  <si>
    <t>73907/003</t>
  </si>
  <si>
    <t>73935/002</t>
  </si>
  <si>
    <t>Concreto armado dosado 15 mpa incl mat p/ 1 m3 preparo conf comp 5845 coloc conf comp 7090 14 m2 de area moldada formas e escoramento conf comps 5306 e 5708 60 kg de aco ca-50 inc mao de obra p/corte dobragem montagem e colocação - pilares</t>
  </si>
  <si>
    <t>Concreto armado dosado 15 mpa incl mat p/ 1 m3 preparo conf comp 5845 coloc conf comp 7090 14 m2 de area moldada formas e escoramento conf comps 5306 e 5708 60 kg de aco ca-50 inc mao de obra p/corte dobragem montagem e colocação - vigas</t>
  </si>
  <si>
    <t xml:space="preserve">Chapisco em forro traço 1:4 (cimento e areia), espessura 0,5cm </t>
  </si>
  <si>
    <t>Chapisco - paredes internas traço 1:3 (cimento e areia), espessura 0,5cm</t>
  </si>
  <si>
    <t xml:space="preserve">Piso cerâmico 35X35cm, assentado com argamassa industrializada </t>
  </si>
  <si>
    <t xml:space="preserve"> Porta madeira compensada lisa para pintura, tipo paraná, 0,60X1,60m 1 folha, incluso ferragens (3 dobradiças e fechadura tipo livre/ocupado) e batente</t>
  </si>
  <si>
    <t>Quadro de distribuição de energia em chapa metálica, para 18 disjuntores termomagnéticos monopolares, sem dispositivo para chave geral, com porta, sem barramentos fases e com barramento neutro, fornecimento e instalação</t>
  </si>
  <si>
    <t>74131/001</t>
  </si>
  <si>
    <t>Interruptor four-way de embutir - 1 tecla - fornecimento e instalação</t>
  </si>
  <si>
    <t xml:space="preserve">Ponto interruptor four-way com eletroduto PVC 3/4" e caixa 4X2" </t>
  </si>
  <si>
    <t xml:space="preserve">Copo sifonado em metal cromado 1X1.1/2" - fornecimento e instalação </t>
  </si>
  <si>
    <t>Caixa de gordura em PVC 150X185X75mm, com tampa e porta-tampa</t>
  </si>
  <si>
    <t xml:space="preserve">Caixa sifonada PVC 100X100X50mm, com grelha redonda branca - fornecimento e instalação </t>
  </si>
  <si>
    <t>Ralo sifonado de PVC 100X100X40mm simples - fornecimento e instalação</t>
  </si>
  <si>
    <t xml:space="preserve">Selador acrílico para forro , uma demão </t>
  </si>
  <si>
    <t>74133/002</t>
  </si>
  <si>
    <t xml:space="preserve">Emassamento com base óleo, para paredes que receberão tinta latex PVA, duas demãos </t>
  </si>
  <si>
    <t xml:space="preserve">Emassamento com base óleo para paredes que receberão tinta acrílica, duas demãos </t>
  </si>
  <si>
    <t>Lastro de impermeabilização traço 1:4 (cimento e areia), espessura 5cm, preparo manual, da calçada de contorno</t>
  </si>
  <si>
    <r>
      <t>Data da elaboração do orçamento:</t>
    </r>
    <r>
      <rPr>
        <sz val="10"/>
        <rFont val="Times New Roman"/>
        <family val="1"/>
      </rPr>
      <t xml:space="preserve"> 26/02/2015</t>
    </r>
  </si>
  <si>
    <r>
      <t xml:space="preserve">Revisado: </t>
    </r>
    <r>
      <rPr>
        <sz val="10"/>
        <rFont val="Times New Roman"/>
        <family val="1"/>
      </rPr>
      <t>02/2015</t>
    </r>
  </si>
  <si>
    <t xml:space="preserve"> COD. SINAPI </t>
  </si>
  <si>
    <t xml:space="preserve"> QUANT. </t>
  </si>
  <si>
    <t xml:space="preserve"> V.UNIT. DESON </t>
  </si>
  <si>
    <t xml:space="preserve"> V.UNIT. C/BDI </t>
  </si>
  <si>
    <t xml:space="preserve"> V.TOTAL </t>
  </si>
  <si>
    <t xml:space="preserve"> % </t>
  </si>
  <si>
    <t xml:space="preserve"> Piso rústico liso em concreto, esp = 7cm </t>
  </si>
  <si>
    <t>73675</t>
  </si>
  <si>
    <t xml:space="preserve">73931/003 </t>
  </si>
  <si>
    <t>C2496</t>
  </si>
  <si>
    <t>C2502</t>
  </si>
  <si>
    <t>C3017</t>
  </si>
  <si>
    <t>C1902</t>
  </si>
  <si>
    <t>C1996</t>
  </si>
  <si>
    <t>C1995</t>
  </si>
  <si>
    <t>C4670</t>
  </si>
  <si>
    <t>C1990</t>
  </si>
  <si>
    <t xml:space="preserve"> Placa de identificação dos ambientes da Agência Transfusional, logomarca do Governo e do Hemopi, dimensões 1,20X0,80m - fornecimento e instalação</t>
  </si>
  <si>
    <t>C4629</t>
  </si>
  <si>
    <t xml:space="preserve">Espelho em granito branco para lavatório, espessura 2cm, assentado com argamassa colante dupla colagem, incluso preparação da parede para recebimento do granito (demolição do reboco, chapisco, emboço e assentamento da peça de granito </t>
  </si>
  <si>
    <t>C4068</t>
  </si>
  <si>
    <r>
      <t xml:space="preserve">BDI: </t>
    </r>
    <r>
      <rPr>
        <sz val="10"/>
        <rFont val="Times New Roman"/>
        <family val="1"/>
      </rPr>
      <t>25,22%</t>
    </r>
  </si>
  <si>
    <t xml:space="preserve">Pintura latex PVA ambientes internos forro, duas demãos </t>
  </si>
  <si>
    <t>72215</t>
  </si>
  <si>
    <t>Ponto de água fria PVC 3/4" - tubo de  PVC roscável  e 2 joelhos de PVC roscavel 90° - fornecimento e instalação</t>
  </si>
  <si>
    <t>BDI: 25,22%</t>
  </si>
  <si>
    <r>
      <t xml:space="preserve">Tipo da intervenção: </t>
    </r>
    <r>
      <rPr>
        <sz val="10"/>
        <rFont val="Times New Roman"/>
        <family val="1"/>
      </rPr>
      <t>Conclusão do HEMOCENTRO de Floriano</t>
    </r>
  </si>
  <si>
    <r>
      <t>Nome do EAS:</t>
    </r>
    <r>
      <rPr>
        <sz val="10"/>
        <rFont val="Times New Roman"/>
        <family val="1"/>
      </rPr>
      <t xml:space="preserve"> HEMOCENTRO de Floriano</t>
    </r>
  </si>
  <si>
    <r>
      <t xml:space="preserve">Obs.: </t>
    </r>
    <r>
      <rPr>
        <sz val="10"/>
        <rFont val="Times New Roman"/>
        <family val="1"/>
      </rPr>
      <t>OS PREÇOS TEM COMO BASE A TABELA DO SINAPI - SISTEMA NACIONAL DE PESQUISA DE CUSTOS E ÍNDICES DA CONSTRUÇÃO CIVIL - PCI.817.01 - CUSTO DE COMPOSIÇÕES - SINTÉTICO EMISSãO: DEZEMBRO DE 2014, ORSE NOVEMBRO DE 2014 E SEINFRA/CE FEVEREIRO DE 2015. ENCARGOS SOCIAIS DESONERADOS SOBRE PREÇOS DA MÃO-DE-OBRA: 89,46%. O BDI PARA EFEITO DO CÁLCULO FOI ADOTADO 25,22%</t>
    </r>
  </si>
  <si>
    <r>
      <t xml:space="preserve">O presente orçamento consta do valor de </t>
    </r>
    <r>
      <rPr>
        <b/>
        <sz val="10"/>
        <rFont val="Times New Roman"/>
        <family val="1"/>
      </rPr>
      <t>R$ 401.535,87 (quatrocentos e um mil, quinhentos e trinta e cinco reais e oitenta e sete centavos)</t>
    </r>
  </si>
  <si>
    <r>
      <t xml:space="preserve">Revisado: </t>
    </r>
    <r>
      <rPr>
        <sz val="10"/>
        <rFont val="Times New Roman"/>
        <family val="1"/>
      </rPr>
      <t>05/2015</t>
    </r>
  </si>
</sst>
</file>

<file path=xl/styles.xml><?xml version="1.0" encoding="utf-8"?>
<styleSheet xmlns="http://schemas.openxmlformats.org/spreadsheetml/2006/main">
  <numFmts count="3">
    <numFmt numFmtId="43" formatCode="_(* #,##0.00_);_(* \(#,##0.00\);_(* &quot;-&quot;??_);_(@_)"/>
    <numFmt numFmtId="164" formatCode="_-* #,##0.00_-;\-* #,##0.00_-;_-* &quot;-&quot;??_-;_-@_-"/>
    <numFmt numFmtId="165" formatCode="_(* #,##0.000_);_(* \(#,##0.000\);_(* &quot;-&quot;??_);_(@_)"/>
  </numFmts>
  <fonts count="15">
    <font>
      <sz val="10"/>
      <name val="Arial"/>
    </font>
    <font>
      <sz val="10"/>
      <name val="Arial"/>
      <family val="2"/>
    </font>
    <font>
      <sz val="11"/>
      <name val="Arial Narrow"/>
      <family val="2"/>
    </font>
    <font>
      <b/>
      <sz val="11"/>
      <name val="Arial Narrow"/>
      <family val="2"/>
    </font>
    <font>
      <sz val="10"/>
      <name val="Times New Roman"/>
      <family val="1"/>
    </font>
    <font>
      <b/>
      <sz val="10"/>
      <name val="Times New Roman"/>
      <family val="1"/>
    </font>
    <font>
      <sz val="10"/>
      <name val="Arial Narrow"/>
      <family val="2"/>
    </font>
    <font>
      <b/>
      <u/>
      <sz val="10"/>
      <name val="Times New Roman"/>
      <family val="1"/>
    </font>
    <font>
      <sz val="10"/>
      <color indexed="10"/>
      <name val="Times New Roman"/>
      <family val="1"/>
    </font>
    <font>
      <sz val="8"/>
      <name val="Arial"/>
      <family val="2"/>
    </font>
    <font>
      <sz val="10"/>
      <color indexed="17"/>
      <name val="Times New Roman"/>
      <family val="1"/>
    </font>
    <font>
      <sz val="10"/>
      <color indexed="10"/>
      <name val="Times New Roman"/>
      <family val="1"/>
    </font>
    <font>
      <sz val="10"/>
      <color indexed="8"/>
      <name val="Times New Roman"/>
      <family val="1"/>
    </font>
    <font>
      <sz val="8"/>
      <name val="Verdana"/>
      <family val="2"/>
    </font>
    <font>
      <sz val="10"/>
      <color indexed="10"/>
      <name val="Times New Roman"/>
      <family val="1"/>
    </font>
  </fonts>
  <fills count="3">
    <fill>
      <patternFill patternType="none"/>
    </fill>
    <fill>
      <patternFill patternType="gray125"/>
    </fill>
    <fill>
      <patternFill patternType="solid">
        <fgColor indexed="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3" fontId="1" fillId="0" borderId="0" applyFont="0" applyFill="0" applyBorder="0" applyAlignment="0" applyProtection="0"/>
  </cellStyleXfs>
  <cellXfs count="220">
    <xf numFmtId="0" fontId="0" fillId="0" borderId="0" xfId="0"/>
    <xf numFmtId="0" fontId="2" fillId="0" borderId="0" xfId="0" applyFont="1" applyFill="1"/>
    <xf numFmtId="0" fontId="2" fillId="0" borderId="0" xfId="0" applyFont="1" applyFill="1" applyBorder="1"/>
    <xf numFmtId="43" fontId="2" fillId="0" borderId="0" xfId="1" applyFont="1" applyFill="1"/>
    <xf numFmtId="0" fontId="4" fillId="0" borderId="0" xfId="0" applyFont="1" applyFill="1"/>
    <xf numFmtId="0" fontId="5" fillId="0" borderId="0" xfId="0" applyFont="1" applyFill="1"/>
    <xf numFmtId="0" fontId="4" fillId="0" borderId="0" xfId="0" applyFont="1" applyFill="1" applyAlignment="1">
      <alignment horizontal="center" vertical="center"/>
    </xf>
    <xf numFmtId="0" fontId="3" fillId="0" borderId="0" xfId="0" applyFont="1" applyFill="1" applyAlignment="1">
      <alignment horizontal="center"/>
    </xf>
    <xf numFmtId="43" fontId="3" fillId="0" borderId="0" xfId="1" applyFont="1" applyFill="1"/>
    <xf numFmtId="0" fontId="2" fillId="0" borderId="0" xfId="0" applyFont="1" applyFill="1" applyAlignment="1">
      <alignment horizontal="center"/>
    </xf>
    <xf numFmtId="0" fontId="3" fillId="0" borderId="0" xfId="0" applyFont="1" applyFill="1"/>
    <xf numFmtId="0" fontId="2" fillId="0" borderId="0" xfId="0" applyFont="1" applyAlignment="1">
      <alignment horizontal="left"/>
    </xf>
    <xf numFmtId="0" fontId="3" fillId="0" borderId="0" xfId="0" applyFont="1" applyAlignment="1">
      <alignment horizontal="left"/>
    </xf>
    <xf numFmtId="0" fontId="2" fillId="0" borderId="0" xfId="0" applyFont="1" applyFill="1" applyAlignment="1">
      <alignment horizontal="justify" vertical="top"/>
    </xf>
    <xf numFmtId="0" fontId="3" fillId="0" borderId="0" xfId="0" applyFont="1" applyFill="1" applyAlignment="1">
      <alignment horizontal="center" vertical="top"/>
    </xf>
    <xf numFmtId="0" fontId="3" fillId="0" borderId="0" xfId="0" applyFont="1" applyFill="1" applyAlignment="1">
      <alignment horizontal="justify" vertical="top"/>
    </xf>
    <xf numFmtId="0" fontId="4" fillId="0" borderId="1" xfId="0" applyFont="1" applyFill="1" applyBorder="1" applyAlignment="1">
      <alignment horizontal="center" vertical="center"/>
    </xf>
    <xf numFmtId="43" fontId="4" fillId="0" borderId="1" xfId="1" applyFont="1" applyFill="1" applyBorder="1" applyAlignment="1">
      <alignment horizontal="center" vertical="center"/>
    </xf>
    <xf numFmtId="0" fontId="5" fillId="0" borderId="1" xfId="0" applyFont="1" applyFill="1" applyBorder="1" applyAlignment="1">
      <alignment vertical="center"/>
    </xf>
    <xf numFmtId="0" fontId="4" fillId="0" borderId="1" xfId="0" applyFont="1" applyFill="1" applyBorder="1" applyAlignment="1">
      <alignment vertical="center"/>
    </xf>
    <xf numFmtId="43" fontId="4" fillId="0" borderId="0" xfId="1" applyFont="1" applyFill="1" applyAlignment="1">
      <alignment horizontal="center" vertical="center"/>
    </xf>
    <xf numFmtId="0" fontId="2" fillId="0" borderId="0" xfId="0" applyFont="1" applyFill="1" applyAlignment="1">
      <alignment vertical="center"/>
    </xf>
    <xf numFmtId="43" fontId="5" fillId="0" borderId="1" xfId="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4" fillId="0" borderId="1" xfId="0" applyFont="1" applyFill="1" applyBorder="1" applyAlignment="1">
      <alignment wrapText="1"/>
    </xf>
    <xf numFmtId="0" fontId="4" fillId="0" borderId="1" xfId="0" applyFont="1" applyFill="1" applyBorder="1" applyAlignment="1">
      <alignment vertical="center" wrapText="1"/>
    </xf>
    <xf numFmtId="0" fontId="4" fillId="0" borderId="1" xfId="0" applyFont="1" applyFill="1" applyBorder="1"/>
    <xf numFmtId="0" fontId="4" fillId="0" borderId="1" xfId="0" applyFont="1" applyFill="1" applyBorder="1" applyAlignment="1">
      <alignment vertical="justify" wrapText="1"/>
    </xf>
    <xf numFmtId="0" fontId="4" fillId="0" borderId="0" xfId="0" applyFont="1"/>
    <xf numFmtId="0" fontId="4" fillId="0" borderId="0" xfId="0" applyFont="1" applyAlignment="1">
      <alignment horizontal="left"/>
    </xf>
    <xf numFmtId="43" fontId="5" fillId="0" borderId="1" xfId="1" applyFont="1" applyFill="1" applyBorder="1" applyAlignment="1">
      <alignment horizontal="center" vertical="center" wrapText="1"/>
    </xf>
    <xf numFmtId="43" fontId="4" fillId="0" borderId="1" xfId="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wrapText="1"/>
      <protection locked="0"/>
    </xf>
    <xf numFmtId="49" fontId="5"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wrapText="1"/>
      <protection locked="0"/>
    </xf>
    <xf numFmtId="49" fontId="7" fillId="0" borderId="1" xfId="0" applyNumberFormat="1" applyFont="1" applyBorder="1" applyAlignment="1" applyProtection="1">
      <alignment horizontal="center" vertical="center" wrapText="1"/>
      <protection locked="0"/>
    </xf>
    <xf numFmtId="0" fontId="4" fillId="0" borderId="1" xfId="0" applyFont="1" applyBorder="1" applyAlignment="1">
      <alignment horizontal="center" vertical="center"/>
    </xf>
    <xf numFmtId="43" fontId="4" fillId="0" borderId="1" xfId="1" applyFont="1" applyBorder="1" applyAlignment="1">
      <alignment horizontal="center" vertical="center"/>
    </xf>
    <xf numFmtId="43" fontId="5" fillId="0" borderId="1" xfId="1" applyFont="1" applyBorder="1" applyAlignment="1" applyProtection="1">
      <alignment horizontal="center" vertical="center" wrapText="1"/>
      <protection locked="0"/>
    </xf>
    <xf numFmtId="49" fontId="4" fillId="0" borderId="1" xfId="0" applyNumberFormat="1" applyFont="1" applyBorder="1" applyAlignment="1" applyProtection="1">
      <alignment horizontal="justify" wrapText="1"/>
      <protection locked="0"/>
    </xf>
    <xf numFmtId="43" fontId="5" fillId="0" borderId="1" xfId="1" applyFont="1" applyFill="1" applyBorder="1" applyAlignment="1">
      <alignment vertical="center"/>
    </xf>
    <xf numFmtId="43" fontId="2" fillId="0" borderId="1" xfId="1" applyFont="1" applyFill="1" applyBorder="1"/>
    <xf numFmtId="43" fontId="2" fillId="0" borderId="1" xfId="0" applyNumberFormat="1" applyFont="1" applyFill="1" applyBorder="1"/>
    <xf numFmtId="43" fontId="2" fillId="0" borderId="1" xfId="1" applyFont="1" applyFill="1" applyBorder="1" applyAlignment="1">
      <alignment vertical="center"/>
    </xf>
    <xf numFmtId="43" fontId="3" fillId="0" borderId="1" xfId="1" applyFont="1" applyFill="1" applyBorder="1"/>
    <xf numFmtId="43" fontId="3" fillId="0" borderId="1" xfId="0" applyNumberFormat="1" applyFont="1" applyFill="1" applyBorder="1" applyAlignment="1">
      <alignment horizontal="center"/>
    </xf>
    <xf numFmtId="43" fontId="3" fillId="0" borderId="1" xfId="0" applyNumberFormat="1" applyFont="1" applyFill="1" applyBorder="1"/>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49" fontId="4" fillId="0" borderId="1" xfId="0" applyNumberFormat="1" applyFont="1" applyBorder="1" applyAlignment="1" applyProtection="1">
      <alignment vertical="center" wrapText="1"/>
      <protection locked="0"/>
    </xf>
    <xf numFmtId="0" fontId="4" fillId="0" borderId="0" xfId="0" applyFont="1" applyAlignment="1">
      <alignment vertical="center"/>
    </xf>
    <xf numFmtId="0" fontId="4" fillId="0" borderId="1" xfId="0" applyFont="1" applyBorder="1" applyAlignment="1">
      <alignment wrapText="1"/>
    </xf>
    <xf numFmtId="0" fontId="4"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justify" vertical="top" wrapText="1"/>
      <protection locked="0"/>
    </xf>
    <xf numFmtId="43" fontId="4" fillId="0" borderId="1" xfId="1" applyFont="1" applyFill="1" applyBorder="1"/>
    <xf numFmtId="0" fontId="5" fillId="0" borderId="1" xfId="0" applyFont="1" applyFill="1" applyBorder="1"/>
    <xf numFmtId="49" fontId="5" fillId="0" borderId="1" xfId="0" applyNumberFormat="1" applyFont="1" applyBorder="1" applyAlignment="1" applyProtection="1">
      <alignment horizontal="left" wrapText="1"/>
      <protection locked="0"/>
    </xf>
    <xf numFmtId="0" fontId="5" fillId="0" borderId="1" xfId="0" applyFont="1" applyFill="1" applyBorder="1" applyAlignment="1">
      <alignment horizontal="left"/>
    </xf>
    <xf numFmtId="49" fontId="5" fillId="0" borderId="1" xfId="0" applyNumberFormat="1" applyFont="1" applyBorder="1" applyAlignment="1" applyProtection="1">
      <alignment horizontal="left" vertical="center"/>
      <protection locked="0"/>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0" xfId="0" applyFont="1" applyFill="1"/>
    <xf numFmtId="0" fontId="5" fillId="0" borderId="1" xfId="0" applyFont="1" applyFill="1" applyBorder="1" applyAlignment="1">
      <alignment horizontal="left" wrapText="1"/>
    </xf>
    <xf numFmtId="43" fontId="2" fillId="0" borderId="1" xfId="0" applyNumberFormat="1" applyFont="1" applyFill="1" applyBorder="1" applyAlignment="1">
      <alignment vertical="center"/>
    </xf>
    <xf numFmtId="0" fontId="4" fillId="0" borderId="0" xfId="0" applyFont="1" applyFill="1" applyBorder="1" applyAlignment="1">
      <alignment horizontal="center" vertical="center"/>
    </xf>
    <xf numFmtId="43" fontId="4" fillId="0" borderId="0" xfId="1" applyFont="1" applyBorder="1" applyAlignment="1" applyProtection="1">
      <alignment horizontal="center" vertical="center" wrapText="1"/>
      <protection locked="0"/>
    </xf>
    <xf numFmtId="43" fontId="4" fillId="0" borderId="0" xfId="1" applyFont="1" applyFill="1" applyBorder="1" applyAlignment="1">
      <alignment horizontal="center" vertical="center"/>
    </xf>
    <xf numFmtId="49" fontId="4" fillId="0" borderId="0" xfId="0" applyNumberFormat="1" applyFont="1" applyBorder="1" applyAlignment="1" applyProtection="1">
      <alignment horizontal="center" vertical="center" wrapText="1"/>
      <protection locked="0"/>
    </xf>
    <xf numFmtId="0" fontId="4" fillId="0" borderId="0" xfId="0" applyFont="1" applyFill="1" applyBorder="1" applyAlignment="1">
      <alignment wrapText="1"/>
    </xf>
    <xf numFmtId="0" fontId="4" fillId="0" borderId="0" xfId="0" applyNumberFormat="1" applyFont="1" applyBorder="1" applyAlignment="1" applyProtection="1">
      <alignment horizontal="center" vertical="center" wrapText="1"/>
      <protection locked="0"/>
    </xf>
    <xf numFmtId="43" fontId="10" fillId="0" borderId="1" xfId="1" applyFont="1" applyFill="1" applyBorder="1" applyAlignment="1">
      <alignment horizontal="center" vertical="center"/>
    </xf>
    <xf numFmtId="43" fontId="4" fillId="0" borderId="0" xfId="1" applyFont="1" applyFill="1" applyBorder="1"/>
    <xf numFmtId="0" fontId="4" fillId="0" borderId="0" xfId="0" applyFont="1" applyFill="1" applyBorder="1" applyAlignment="1">
      <alignment horizontal="left" vertical="center" wrapText="1"/>
    </xf>
    <xf numFmtId="0" fontId="12" fillId="2" borderId="1" xfId="0" applyFont="1" applyFill="1" applyBorder="1" applyAlignment="1">
      <alignment wrapText="1"/>
    </xf>
    <xf numFmtId="0" fontId="4" fillId="0" borderId="0" xfId="0" applyFont="1" applyBorder="1" applyAlignment="1">
      <alignment horizontal="center" vertical="center"/>
    </xf>
    <xf numFmtId="0" fontId="4" fillId="0" borderId="1" xfId="0" applyFont="1" applyBorder="1"/>
    <xf numFmtId="43" fontId="4" fillId="0" borderId="1" xfId="1" applyFont="1" applyBorder="1" applyAlignment="1">
      <alignment horizontal="center"/>
    </xf>
    <xf numFmtId="43" fontId="10" fillId="0" borderId="1" xfId="1" applyFont="1" applyBorder="1" applyAlignment="1" applyProtection="1">
      <alignment horizontal="center" vertical="center" wrapText="1"/>
      <protection locked="0"/>
    </xf>
    <xf numFmtId="0" fontId="11" fillId="0" borderId="1" xfId="0" applyFont="1" applyFill="1" applyBorder="1" applyAlignment="1">
      <alignment horizontal="center" vertical="center"/>
    </xf>
    <xf numFmtId="49" fontId="4" fillId="0" borderId="1" xfId="0" quotePrefix="1" applyNumberFormat="1" applyFont="1" applyBorder="1" applyAlignment="1" applyProtection="1">
      <alignment horizontal="center" vertical="center" wrapText="1"/>
      <protection locked="0"/>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xf>
    <xf numFmtId="43" fontId="4" fillId="0" borderId="2" xfId="1" applyFont="1" applyBorder="1" applyAlignment="1" applyProtection="1">
      <alignment horizontal="center" vertical="center" wrapText="1"/>
      <protection locked="0"/>
    </xf>
    <xf numFmtId="43" fontId="4" fillId="0" borderId="2" xfId="1"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wrapText="1"/>
    </xf>
    <xf numFmtId="43" fontId="4" fillId="0" borderId="3" xfId="1" applyFont="1" applyBorder="1" applyAlignment="1" applyProtection="1">
      <alignment horizontal="center" vertical="center" wrapText="1"/>
      <protection locked="0"/>
    </xf>
    <xf numFmtId="43" fontId="4" fillId="0" borderId="3" xfId="1" applyFont="1" applyFill="1" applyBorder="1" applyAlignment="1">
      <alignment horizontal="center" vertical="center"/>
    </xf>
    <xf numFmtId="0" fontId="5" fillId="0" borderId="0" xfId="0" applyFont="1" applyFill="1" applyBorder="1" applyAlignment="1">
      <alignment horizontal="lef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43" fontId="4" fillId="0" borderId="5" xfId="1" applyFont="1" applyBorder="1" applyAlignment="1" applyProtection="1">
      <alignment horizontal="center" vertical="center" wrapText="1"/>
      <protection locked="0"/>
    </xf>
    <xf numFmtId="43" fontId="4" fillId="0" borderId="5" xfId="1" applyFont="1" applyFill="1" applyBorder="1" applyAlignment="1">
      <alignment horizontal="center" vertical="center"/>
    </xf>
    <xf numFmtId="43" fontId="4" fillId="0" borderId="6" xfId="1" applyFont="1" applyFill="1" applyBorder="1" applyAlignment="1">
      <alignment horizontal="center" vertical="center"/>
    </xf>
    <xf numFmtId="0" fontId="4" fillId="0" borderId="7" xfId="0" applyFont="1" applyFill="1" applyBorder="1" applyAlignment="1">
      <alignment horizontal="center" vertical="center"/>
    </xf>
    <xf numFmtId="43" fontId="4" fillId="0" borderId="8" xfId="1" applyFont="1" applyFill="1" applyBorder="1" applyAlignment="1">
      <alignment horizontal="center" vertical="center"/>
    </xf>
    <xf numFmtId="0" fontId="4" fillId="0" borderId="9" xfId="0" applyFont="1" applyFill="1" applyBorder="1" applyAlignment="1">
      <alignment horizontal="center" vertical="center"/>
    </xf>
    <xf numFmtId="0" fontId="5" fillId="0" borderId="10" xfId="0" applyFont="1" applyFill="1" applyBorder="1" applyAlignment="1">
      <alignment horizontal="left" vertical="center"/>
    </xf>
    <xf numFmtId="0" fontId="4" fillId="0" borderId="10" xfId="0" applyFont="1" applyFill="1" applyBorder="1" applyAlignment="1">
      <alignment horizontal="center" vertical="center"/>
    </xf>
    <xf numFmtId="43" fontId="4" fillId="0" borderId="10" xfId="1" applyFont="1" applyBorder="1" applyAlignment="1" applyProtection="1">
      <alignment horizontal="center" vertical="center" wrapText="1"/>
      <protection locked="0"/>
    </xf>
    <xf numFmtId="43" fontId="5" fillId="0" borderId="10" xfId="1" applyFont="1" applyFill="1" applyBorder="1" applyAlignment="1">
      <alignment horizontal="center" vertical="center"/>
    </xf>
    <xf numFmtId="43" fontId="4" fillId="0" borderId="10" xfId="1" applyFont="1" applyFill="1" applyBorder="1" applyAlignment="1">
      <alignment horizontal="center" vertical="center"/>
    </xf>
    <xf numFmtId="43" fontId="4" fillId="0" borderId="11" xfId="1" applyFont="1" applyFill="1" applyBorder="1" applyAlignment="1">
      <alignment horizontal="center" vertical="center"/>
    </xf>
    <xf numFmtId="49" fontId="4" fillId="0" borderId="5" xfId="0" applyNumberFormat="1" applyFont="1" applyBorder="1" applyAlignment="1" applyProtection="1">
      <alignment horizontal="center" vertical="center" wrapText="1"/>
      <protection locked="0"/>
    </xf>
    <xf numFmtId="49" fontId="4" fillId="0" borderId="10" xfId="0" applyNumberFormat="1" applyFont="1" applyBorder="1" applyAlignment="1" applyProtection="1">
      <alignment horizontal="center" vertical="center" wrapText="1"/>
      <protection locked="0"/>
    </xf>
    <xf numFmtId="43" fontId="5" fillId="0" borderId="10" xfId="1" applyFont="1" applyBorder="1" applyAlignment="1" applyProtection="1">
      <alignment horizontal="center" vertical="center" wrapText="1"/>
      <protection locked="0"/>
    </xf>
    <xf numFmtId="49" fontId="4" fillId="0" borderId="4"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wrapText="1"/>
      <protection locked="0"/>
    </xf>
    <xf numFmtId="49" fontId="4" fillId="0" borderId="9"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wrapText="1"/>
      <protection locked="0"/>
    </xf>
    <xf numFmtId="49" fontId="4" fillId="0" borderId="12" xfId="0" applyNumberFormat="1" applyFont="1" applyBorder="1" applyAlignment="1" applyProtection="1">
      <alignment horizontal="center" vertical="center" wrapText="1"/>
      <protection locked="0"/>
    </xf>
    <xf numFmtId="49" fontId="4" fillId="0" borderId="13" xfId="0" applyNumberFormat="1" applyFont="1" applyBorder="1" applyAlignment="1" applyProtection="1">
      <alignment horizontal="center" vertical="center" wrapText="1"/>
      <protection locked="0"/>
    </xf>
    <xf numFmtId="43" fontId="4" fillId="0" borderId="13" xfId="1" applyFont="1" applyBorder="1" applyAlignment="1" applyProtection="1">
      <alignment horizontal="center" vertical="center" wrapText="1"/>
      <protection locked="0"/>
    </xf>
    <xf numFmtId="43" fontId="4" fillId="0" borderId="13" xfId="1" applyFont="1" applyFill="1" applyBorder="1" applyAlignment="1">
      <alignment horizontal="center" vertical="center"/>
    </xf>
    <xf numFmtId="43" fontId="4" fillId="0" borderId="14" xfId="1" applyFont="1" applyFill="1" applyBorder="1" applyAlignment="1">
      <alignment horizontal="center" vertical="center"/>
    </xf>
    <xf numFmtId="0" fontId="4" fillId="0" borderId="5" xfId="0" applyNumberFormat="1" applyFont="1" applyBorder="1" applyAlignment="1" applyProtection="1">
      <alignment horizontal="center" vertical="center" wrapText="1"/>
      <protection locked="0"/>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43" fontId="5" fillId="0" borderId="0" xfId="1" applyFont="1" applyBorder="1" applyAlignment="1" applyProtection="1">
      <alignment horizontal="center" vertical="center" wrapText="1"/>
      <protection locked="0"/>
    </xf>
    <xf numFmtId="49" fontId="4" fillId="0" borderId="0" xfId="0" applyNumberFormat="1" applyFont="1" applyBorder="1" applyAlignment="1" applyProtection="1">
      <alignment wrapText="1"/>
      <protection locked="0"/>
    </xf>
    <xf numFmtId="43" fontId="4" fillId="0" borderId="0" xfId="1" applyFont="1" applyBorder="1" applyAlignment="1">
      <alignment horizontal="center" vertical="center"/>
    </xf>
    <xf numFmtId="43" fontId="4" fillId="0" borderId="13" xfId="1" applyFont="1" applyFill="1" applyBorder="1"/>
    <xf numFmtId="0" fontId="4" fillId="0" borderId="13" xfId="0" applyFont="1" applyFill="1" applyBorder="1" applyAlignment="1">
      <alignment vertical="center"/>
    </xf>
    <xf numFmtId="43" fontId="4" fillId="0" borderId="10" xfId="1" applyFont="1" applyFill="1" applyBorder="1"/>
    <xf numFmtId="0" fontId="4" fillId="0" borderId="13" xfId="0" applyFont="1" applyBorder="1" applyAlignment="1">
      <alignment horizontal="center" vertical="center"/>
    </xf>
    <xf numFmtId="0" fontId="4" fillId="0" borderId="5" xfId="0" applyFont="1" applyBorder="1" applyAlignment="1">
      <alignment horizontal="center" vertical="center"/>
    </xf>
    <xf numFmtId="49" fontId="4" fillId="0" borderId="7" xfId="0" quotePrefix="1" applyNumberFormat="1" applyFont="1" applyBorder="1" applyAlignment="1" applyProtection="1">
      <alignment horizontal="center" vertical="center" wrapText="1"/>
      <protection locked="0"/>
    </xf>
    <xf numFmtId="0" fontId="4" fillId="0" borderId="5" xfId="0" applyFont="1" applyFill="1" applyBorder="1"/>
    <xf numFmtId="0" fontId="5" fillId="0" borderId="10" xfId="0" applyFont="1" applyFill="1" applyBorder="1" applyAlignment="1">
      <alignment horizontal="left" vertical="center" wrapText="1"/>
    </xf>
    <xf numFmtId="0" fontId="4" fillId="0" borderId="10" xfId="0" applyFont="1" applyFill="1" applyBorder="1"/>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xf>
    <xf numFmtId="49" fontId="4" fillId="0" borderId="5" xfId="0" applyNumberFormat="1" applyFont="1" applyBorder="1" applyAlignment="1" applyProtection="1">
      <alignment vertical="center" wrapText="1"/>
      <protection locked="0"/>
    </xf>
    <xf numFmtId="49" fontId="4" fillId="0" borderId="0" xfId="0" applyNumberFormat="1" applyFont="1" applyBorder="1" applyAlignment="1" applyProtection="1">
      <alignment vertical="center" wrapText="1"/>
      <protection locked="0"/>
    </xf>
    <xf numFmtId="0" fontId="4" fillId="0" borderId="10" xfId="0" applyFont="1" applyFill="1" applyBorder="1" applyAlignment="1">
      <alignment horizontal="left" vertical="center"/>
    </xf>
    <xf numFmtId="0" fontId="4" fillId="0" borderId="0" xfId="0" applyFont="1" applyFill="1" applyBorder="1"/>
    <xf numFmtId="0" fontId="4" fillId="0" borderId="5" xfId="0" applyFont="1" applyFill="1" applyBorder="1" applyAlignment="1">
      <alignment wrapText="1"/>
    </xf>
    <xf numFmtId="0" fontId="4" fillId="0" borderId="5" xfId="0" applyFont="1" applyBorder="1" applyAlignment="1">
      <alignment wrapText="1"/>
    </xf>
    <xf numFmtId="0" fontId="4" fillId="0" borderId="0" xfId="0" applyFont="1" applyBorder="1" applyAlignment="1">
      <alignment wrapText="1"/>
    </xf>
    <xf numFmtId="0" fontId="4" fillId="0" borderId="13" xfId="0" applyFont="1" applyBorder="1" applyAlignment="1">
      <alignment wrapText="1"/>
    </xf>
    <xf numFmtId="49" fontId="4" fillId="0" borderId="5" xfId="0" applyNumberFormat="1" applyFont="1" applyBorder="1" applyAlignment="1" applyProtection="1">
      <alignment horizontal="justify" vertical="top" wrapText="1"/>
      <protection locked="0"/>
    </xf>
    <xf numFmtId="49" fontId="4" fillId="0" borderId="13" xfId="0" applyNumberFormat="1" applyFont="1" applyBorder="1" applyAlignment="1" applyProtection="1">
      <alignment horizontal="justify" vertical="top" wrapText="1"/>
      <protection locked="0"/>
    </xf>
    <xf numFmtId="0" fontId="4" fillId="0" borderId="13" xfId="0" applyFont="1" applyFill="1" applyBorder="1"/>
    <xf numFmtId="0" fontId="4" fillId="0" borderId="13" xfId="0" applyFont="1" applyFill="1" applyBorder="1" applyAlignment="1">
      <alignment horizontal="left" vertical="center"/>
    </xf>
    <xf numFmtId="0" fontId="4" fillId="0" borderId="5" xfId="0" applyFont="1" applyFill="1" applyBorder="1" applyAlignment="1">
      <alignment horizontal="left" vertical="center"/>
    </xf>
    <xf numFmtId="0" fontId="4" fillId="0" borderId="13" xfId="0" applyFont="1" applyFill="1" applyBorder="1" applyAlignment="1">
      <alignment vertical="center" wrapText="1"/>
    </xf>
    <xf numFmtId="0" fontId="4" fillId="0" borderId="5" xfId="0" applyFont="1" applyFill="1" applyBorder="1" applyAlignment="1">
      <alignment vertical="center" wrapText="1"/>
    </xf>
    <xf numFmtId="0" fontId="4" fillId="0" borderId="10" xfId="0" applyFont="1" applyFill="1" applyBorder="1" applyAlignment="1">
      <alignment vertical="center" wrapText="1"/>
    </xf>
    <xf numFmtId="0" fontId="4" fillId="0" borderId="1" xfId="0" applyFont="1" applyBorder="1" applyAlignment="1">
      <alignment vertical="center"/>
    </xf>
    <xf numFmtId="0" fontId="13" fillId="0" borderId="1" xfId="0" applyFont="1" applyBorder="1"/>
    <xf numFmtId="0" fontId="4" fillId="2" borderId="1" xfId="0" applyFont="1" applyFill="1" applyBorder="1" applyAlignment="1">
      <alignment wrapText="1"/>
    </xf>
    <xf numFmtId="49" fontId="4" fillId="0" borderId="0" xfId="0" applyNumberFormat="1" applyFont="1" applyBorder="1" applyAlignment="1" applyProtection="1">
      <alignment horizontal="justify" vertical="top" wrapText="1"/>
      <protection locked="0"/>
    </xf>
    <xf numFmtId="49" fontId="4" fillId="0" borderId="0" xfId="0" applyNumberFormat="1" applyFont="1" applyBorder="1" applyAlignment="1" applyProtection="1">
      <alignment horizontal="justify" wrapText="1"/>
      <protection locked="0"/>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3" xfId="0" applyFont="1" applyFill="1" applyBorder="1" applyAlignment="1">
      <alignment wrapText="1"/>
    </xf>
    <xf numFmtId="49" fontId="4" fillId="0" borderId="2"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justify" wrapText="1"/>
      <protection locked="0"/>
    </xf>
    <xf numFmtId="0" fontId="4" fillId="2" borderId="2" xfId="0" applyFont="1" applyFill="1" applyBorder="1" applyAlignment="1">
      <alignment vertical="center" wrapText="1"/>
    </xf>
    <xf numFmtId="49" fontId="4" fillId="0" borderId="3"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justify" wrapText="1"/>
      <protection locked="0"/>
    </xf>
    <xf numFmtId="0" fontId="5"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7" fillId="0" borderId="1" xfId="0" applyNumberFormat="1" applyFont="1" applyBorder="1" applyAlignment="1" applyProtection="1">
      <alignment horizontal="center" vertical="center" wrapText="1"/>
      <protection locked="0"/>
    </xf>
    <xf numFmtId="0" fontId="4" fillId="0" borderId="1" xfId="0" applyNumberFormat="1" applyFont="1" applyBorder="1" applyAlignment="1">
      <alignment horizontal="center" vertical="center"/>
    </xf>
    <xf numFmtId="0" fontId="4" fillId="0" borderId="0" xfId="0" applyNumberFormat="1" applyFont="1" applyFill="1" applyAlignment="1">
      <alignment horizontal="center" vertical="center"/>
    </xf>
    <xf numFmtId="0" fontId="14" fillId="0" borderId="1" xfId="0" applyNumberFormat="1" applyFont="1" applyBorder="1" applyAlignment="1" applyProtection="1">
      <alignment horizontal="center" vertical="center" wrapText="1"/>
      <protection locked="0"/>
    </xf>
    <xf numFmtId="0" fontId="11" fillId="0" borderId="1" xfId="0" applyNumberFormat="1" applyFont="1" applyFill="1" applyBorder="1" applyAlignment="1">
      <alignment horizontal="center" vertical="center" wrapText="1"/>
    </xf>
    <xf numFmtId="165" fontId="4" fillId="0" borderId="1" xfId="1" applyNumberFormat="1" applyFont="1" applyFill="1" applyBorder="1" applyAlignment="1">
      <alignment horizontal="center" vertical="center"/>
    </xf>
    <xf numFmtId="165" fontId="4" fillId="0" borderId="0" xfId="1" applyNumberFormat="1" applyFont="1" applyFill="1" applyAlignment="1">
      <alignment horizontal="center" vertical="center"/>
    </xf>
    <xf numFmtId="43" fontId="4" fillId="0" borderId="1" xfId="1" applyFont="1" applyFill="1" applyBorder="1" applyAlignment="1" applyProtection="1">
      <alignment horizontal="center" vertical="center" wrapText="1"/>
      <protection locked="0"/>
    </xf>
    <xf numFmtId="0" fontId="5" fillId="0" borderId="1" xfId="0" applyFont="1" applyFill="1" applyBorder="1" applyAlignment="1">
      <alignment horizontal="left" vertical="center" wrapText="1"/>
    </xf>
    <xf numFmtId="43" fontId="5" fillId="2" borderId="1" xfId="1" applyFont="1" applyFill="1" applyBorder="1" applyAlignment="1">
      <alignment horizontal="center" vertical="center" wrapText="1"/>
    </xf>
    <xf numFmtId="0" fontId="14" fillId="0" borderId="1" xfId="0" applyFont="1" applyFill="1" applyBorder="1" applyAlignment="1">
      <alignment wrapText="1"/>
    </xf>
    <xf numFmtId="0" fontId="14" fillId="0" borderId="1" xfId="0" applyFont="1" applyFill="1" applyBorder="1"/>
    <xf numFmtId="49" fontId="14" fillId="0" borderId="1" xfId="0" applyNumberFormat="1" applyFont="1" applyBorder="1" applyAlignment="1" applyProtection="1">
      <alignment horizontal="justify" vertical="top" wrapText="1"/>
      <protection locked="0"/>
    </xf>
    <xf numFmtId="0" fontId="14" fillId="0" borderId="1" xfId="0" applyFont="1" applyBorder="1" applyAlignment="1">
      <alignment wrapText="1"/>
    </xf>
    <xf numFmtId="49" fontId="14" fillId="0" borderId="1" xfId="0" applyNumberFormat="1" applyFont="1" applyBorder="1" applyAlignment="1" applyProtection="1">
      <alignment wrapText="1"/>
      <protection locked="0"/>
    </xf>
    <xf numFmtId="0" fontId="14" fillId="0" borderId="1" xfId="0" applyFont="1" applyFill="1" applyBorder="1" applyAlignment="1">
      <alignment vertical="center" wrapText="1"/>
    </xf>
    <xf numFmtId="0" fontId="4" fillId="0" borderId="1" xfId="0" applyFont="1" applyFill="1" applyBorder="1" applyAlignment="1">
      <alignment horizontal="left" vertical="top" wrapText="1"/>
    </xf>
    <xf numFmtId="43" fontId="8" fillId="0" borderId="1" xfId="1" applyFont="1" applyFill="1" applyBorder="1" applyAlignment="1">
      <alignment horizontal="center" vertical="center"/>
    </xf>
    <xf numFmtId="43" fontId="8" fillId="0" borderId="1" xfId="1" applyFont="1" applyBorder="1" applyAlignment="1" applyProtection="1">
      <alignment horizontal="center" vertical="center" wrapText="1"/>
      <protection locked="0"/>
    </xf>
    <xf numFmtId="164" fontId="12" fillId="0" borderId="1" xfId="1" applyNumberFormat="1" applyFont="1" applyFill="1" applyBorder="1" applyAlignment="1">
      <alignment vertical="center"/>
    </xf>
    <xf numFmtId="0" fontId="4" fillId="0" borderId="1" xfId="0" applyFont="1" applyFill="1" applyBorder="1" applyAlignment="1">
      <alignment horizontal="left" vertical="center" wrapText="1"/>
    </xf>
    <xf numFmtId="49" fontId="4" fillId="0" borderId="1" xfId="0" applyNumberFormat="1" applyFont="1" applyBorder="1" applyAlignment="1" applyProtection="1">
      <alignment vertical="center" wrapText="1"/>
      <protection locked="0"/>
    </xf>
    <xf numFmtId="43" fontId="4" fillId="0" borderId="1" xfId="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43" fontId="5" fillId="0" borderId="1" xfId="1" applyFont="1" applyFill="1" applyBorder="1" applyAlignment="1">
      <alignment horizontal="center" vertical="center"/>
    </xf>
    <xf numFmtId="0" fontId="4" fillId="0" borderId="12" xfId="0" applyFont="1" applyFill="1" applyBorder="1" applyAlignment="1">
      <alignment vertical="top" wrapText="1"/>
    </xf>
    <xf numFmtId="0" fontId="4" fillId="0" borderId="13" xfId="0" applyFont="1" applyFill="1" applyBorder="1" applyAlignment="1">
      <alignment vertical="top" wrapText="1"/>
    </xf>
    <xf numFmtId="0" fontId="4" fillId="0" borderId="14" xfId="0" applyFont="1" applyFill="1" applyBorder="1" applyAlignment="1">
      <alignment vertical="top" wrapText="1"/>
    </xf>
    <xf numFmtId="0" fontId="5" fillId="0" borderId="1" xfId="0" applyFont="1" applyBorder="1" applyAlignment="1">
      <alignment horizontal="center"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165" fontId="5" fillId="0" borderId="2" xfId="1" applyNumberFormat="1" applyFont="1" applyBorder="1" applyAlignment="1">
      <alignment horizontal="center" vertical="center" wrapText="1"/>
    </xf>
    <xf numFmtId="165" fontId="5" fillId="0" borderId="18" xfId="1" applyNumberFormat="1" applyFont="1" applyBorder="1" applyAlignment="1">
      <alignment horizontal="center" vertical="center" wrapText="1"/>
    </xf>
    <xf numFmtId="165" fontId="5" fillId="0" borderId="3" xfId="1" applyNumberFormat="1" applyFont="1" applyBorder="1" applyAlignment="1">
      <alignment horizontal="center" vertical="center" wrapText="1"/>
    </xf>
    <xf numFmtId="0" fontId="3" fillId="0" borderId="1" xfId="0" applyFont="1" applyFill="1" applyBorder="1" applyAlignment="1">
      <alignment horizontal="left"/>
    </xf>
    <xf numFmtId="0" fontId="4" fillId="0" borderId="1" xfId="0" applyFont="1" applyBorder="1" applyAlignment="1">
      <alignment horizontal="center" vertical="center"/>
    </xf>
    <xf numFmtId="43" fontId="5" fillId="0" borderId="1" xfId="1" applyFont="1" applyBorder="1" applyAlignment="1">
      <alignment horizontal="center" vertical="center" wrapTex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4" fillId="0" borderId="1" xfId="0" applyFont="1" applyFill="1" applyBorder="1" applyAlignment="1">
      <alignment horizontal="left" vertical="justify"/>
    </xf>
    <xf numFmtId="43" fontId="5" fillId="0" borderId="2" xfId="1" applyFont="1" applyBorder="1" applyAlignment="1">
      <alignment horizontal="center" vertical="center" wrapText="1"/>
    </xf>
    <xf numFmtId="43" fontId="5" fillId="0" borderId="18" xfId="1" applyFont="1" applyBorder="1" applyAlignment="1">
      <alignment horizontal="center" vertical="center" wrapText="1"/>
    </xf>
    <xf numFmtId="43" fontId="5" fillId="0" borderId="3" xfId="1" applyFont="1" applyBorder="1" applyAlignment="1">
      <alignment horizontal="center" vertical="center" wrapText="1"/>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2</xdr:col>
      <xdr:colOff>2152</xdr:colOff>
      <xdr:row>0</xdr:row>
      <xdr:rowOff>0</xdr:rowOff>
    </xdr:to>
    <xdr:sp macro="" textlink="">
      <xdr:nvSpPr>
        <xdr:cNvPr id="6145" name="Texto 7"/>
        <xdr:cNvSpPr txBox="1">
          <a:spLocks noChangeArrowheads="1"/>
        </xdr:cNvSpPr>
      </xdr:nvSpPr>
      <xdr:spPr bwMode="auto">
        <a:xfrm>
          <a:off x="9525" y="0"/>
          <a:ext cx="421005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pt-BR" sz="1000" b="0" i="0" u="none" strike="noStrike" baseline="0">
              <a:solidFill>
                <a:srgbClr val="000000"/>
              </a:solidFill>
              <a:latin typeface="Arial"/>
              <a:cs typeface="Arial"/>
            </a:rPr>
            <a:t>GOVERNO DO ESTADO DO PIAUI</a:t>
          </a:r>
        </a:p>
        <a:p>
          <a:pPr algn="l" rtl="0">
            <a:defRPr sz="1000"/>
          </a:pPr>
          <a:r>
            <a:rPr lang="pt-BR" sz="1000" b="0" i="0" u="none" strike="noStrike" baseline="0">
              <a:solidFill>
                <a:srgbClr val="000000"/>
              </a:solidFill>
              <a:latin typeface="Arial"/>
              <a:cs typeface="Arial"/>
            </a:rPr>
            <a:t>SECRETARIA DE ESTADO DA SAÚDE</a:t>
          </a:r>
        </a:p>
        <a:p>
          <a:pPr algn="l" rtl="0">
            <a:defRPr sz="1000"/>
          </a:pPr>
          <a:r>
            <a:rPr lang="pt-BR" sz="1000" b="1" i="0" u="none" strike="noStrike" baseline="0">
              <a:solidFill>
                <a:srgbClr val="000000"/>
              </a:solidFill>
              <a:latin typeface="Arial"/>
              <a:cs typeface="Arial"/>
            </a:rPr>
            <a:t>DAH - DIVISÃO DE OBRAS E INSTALAÇÕES</a:t>
          </a:r>
        </a:p>
      </xdr:txBody>
    </xdr:sp>
    <xdr:clientData/>
  </xdr:twoCellAnchor>
  <xdr:twoCellAnchor>
    <xdr:from>
      <xdr:col>3</xdr:col>
      <xdr:colOff>0</xdr:colOff>
      <xdr:row>0</xdr:row>
      <xdr:rowOff>0</xdr:rowOff>
    </xdr:from>
    <xdr:to>
      <xdr:col>9</xdr:col>
      <xdr:colOff>0</xdr:colOff>
      <xdr:row>0</xdr:row>
      <xdr:rowOff>0</xdr:rowOff>
    </xdr:to>
    <xdr:sp macro="" textlink="">
      <xdr:nvSpPr>
        <xdr:cNvPr id="6146" name="Texto 8"/>
        <xdr:cNvSpPr txBox="1">
          <a:spLocks noChangeArrowheads="1"/>
        </xdr:cNvSpPr>
      </xdr:nvSpPr>
      <xdr:spPr bwMode="auto">
        <a:xfrm>
          <a:off x="4219575" y="0"/>
          <a:ext cx="331470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pt-BR" sz="1000" b="0" i="0" u="none" strike="noStrike" baseline="0">
              <a:solidFill>
                <a:srgbClr val="000000"/>
              </a:solidFill>
              <a:latin typeface="Arial"/>
              <a:cs typeface="Arial"/>
            </a:rPr>
            <a:t>OBRA: Reforma do Centro de Hematologia e Hemoterapia do Piauí -  HEMOPI</a:t>
          </a:r>
        </a:p>
      </xdr:txBody>
    </xdr:sp>
    <xdr:clientData/>
  </xdr:twoCellAnchor>
  <xdr:twoCellAnchor>
    <xdr:from>
      <xdr:col>2</xdr:col>
      <xdr:colOff>2154</xdr:colOff>
      <xdr:row>0</xdr:row>
      <xdr:rowOff>0</xdr:rowOff>
    </xdr:from>
    <xdr:to>
      <xdr:col>7</xdr:col>
      <xdr:colOff>645789</xdr:colOff>
      <xdr:row>0</xdr:row>
      <xdr:rowOff>0</xdr:rowOff>
    </xdr:to>
    <xdr:sp macro="" textlink="">
      <xdr:nvSpPr>
        <xdr:cNvPr id="6147" name="Texto 9"/>
        <xdr:cNvSpPr txBox="1">
          <a:spLocks noChangeArrowheads="1"/>
        </xdr:cNvSpPr>
      </xdr:nvSpPr>
      <xdr:spPr bwMode="auto">
        <a:xfrm>
          <a:off x="4219575" y="0"/>
          <a:ext cx="2409825" cy="0"/>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pt-BR" sz="1000" b="0" i="0" u="none" strike="noStrike" baseline="0">
              <a:solidFill>
                <a:srgbClr val="000000"/>
              </a:solidFill>
              <a:latin typeface="Arial"/>
              <a:cs typeface="Arial"/>
            </a:rPr>
            <a:t>LOCAL:  Teresina  - Piauí</a:t>
          </a:r>
        </a:p>
      </xdr:txBody>
    </xdr:sp>
    <xdr:clientData/>
  </xdr:twoCellAnchor>
  <xdr:twoCellAnchor>
    <xdr:from>
      <xdr:col>7</xdr:col>
      <xdr:colOff>662940</xdr:colOff>
      <xdr:row>0</xdr:row>
      <xdr:rowOff>0</xdr:rowOff>
    </xdr:from>
    <xdr:to>
      <xdr:col>8</xdr:col>
      <xdr:colOff>557263</xdr:colOff>
      <xdr:row>0</xdr:row>
      <xdr:rowOff>0</xdr:rowOff>
    </xdr:to>
    <xdr:sp macro="" textlink="">
      <xdr:nvSpPr>
        <xdr:cNvPr id="6148" name="Texto 11"/>
        <xdr:cNvSpPr txBox="1">
          <a:spLocks noChangeArrowheads="1"/>
        </xdr:cNvSpPr>
      </xdr:nvSpPr>
      <xdr:spPr bwMode="auto">
        <a:xfrm>
          <a:off x="6638925" y="0"/>
          <a:ext cx="895350" cy="0"/>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pt-BR" sz="1000" b="0" i="0" u="none" strike="noStrike" baseline="0">
              <a:solidFill>
                <a:srgbClr val="000000"/>
              </a:solidFill>
              <a:latin typeface="Arial"/>
              <a:cs typeface="Arial"/>
            </a:rPr>
            <a:t>DATA: 12/04/99</a:t>
          </a:r>
        </a:p>
      </xdr:txBody>
    </xdr:sp>
    <xdr:clientData/>
  </xdr:twoCellAnchor>
  <xdr:twoCellAnchor>
    <xdr:from>
      <xdr:col>0</xdr:col>
      <xdr:colOff>9525</xdr:colOff>
      <xdr:row>0</xdr:row>
      <xdr:rowOff>0</xdr:rowOff>
    </xdr:from>
    <xdr:to>
      <xdr:col>2</xdr:col>
      <xdr:colOff>2152</xdr:colOff>
      <xdr:row>0</xdr:row>
      <xdr:rowOff>0</xdr:rowOff>
    </xdr:to>
    <xdr:sp macro="" textlink="">
      <xdr:nvSpPr>
        <xdr:cNvPr id="6149" name="Texto 12"/>
        <xdr:cNvSpPr txBox="1">
          <a:spLocks noChangeArrowheads="1"/>
        </xdr:cNvSpPr>
      </xdr:nvSpPr>
      <xdr:spPr bwMode="auto">
        <a:xfrm>
          <a:off x="9525" y="0"/>
          <a:ext cx="4210050" cy="0"/>
        </a:xfrm>
        <a:prstGeom prst="rect">
          <a:avLst/>
        </a:prstGeom>
        <a:solidFill>
          <a:srgbClr val="FFFFFF"/>
        </a:solidFill>
        <a:ln w="9525">
          <a:solidFill>
            <a:srgbClr val="000000"/>
          </a:solidFill>
          <a:miter lim="800000"/>
          <a:headEnd/>
          <a:tailEnd/>
        </a:ln>
      </xdr:spPr>
      <xdr:txBody>
        <a:bodyPr vertOverflow="clip" wrap="square" lIns="27432" tIns="32004" rIns="27432" bIns="0" anchor="t" upright="1"/>
        <a:lstStyle/>
        <a:p>
          <a:pPr algn="ctr" rtl="0">
            <a:defRPr sz="1000"/>
          </a:pPr>
          <a:r>
            <a:rPr lang="pt-BR" sz="1200" b="1" i="0" u="none" strike="noStrike" baseline="0">
              <a:solidFill>
                <a:srgbClr val="000000"/>
              </a:solidFill>
              <a:latin typeface="Book Antiqua"/>
            </a:rPr>
            <a:t>PLANILHA ORÇAMENTÁRIA</a:t>
          </a:r>
        </a:p>
      </xdr:txBody>
    </xdr:sp>
    <xdr:clientData/>
  </xdr:twoCellAnchor>
  <xdr:twoCellAnchor>
    <xdr:from>
      <xdr:col>0</xdr:col>
      <xdr:colOff>9525</xdr:colOff>
      <xdr:row>0</xdr:row>
      <xdr:rowOff>0</xdr:rowOff>
    </xdr:from>
    <xdr:to>
      <xdr:col>2</xdr:col>
      <xdr:colOff>0</xdr:colOff>
      <xdr:row>0</xdr:row>
      <xdr:rowOff>0</xdr:rowOff>
    </xdr:to>
    <xdr:sp macro="" textlink="">
      <xdr:nvSpPr>
        <xdr:cNvPr id="6150" name="Texto 7"/>
        <xdr:cNvSpPr txBox="1">
          <a:spLocks noChangeArrowheads="1"/>
        </xdr:cNvSpPr>
      </xdr:nvSpPr>
      <xdr:spPr bwMode="auto">
        <a:xfrm>
          <a:off x="9525" y="0"/>
          <a:ext cx="421005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pt-BR" sz="1000" b="0" i="0" u="none" strike="noStrike" baseline="0">
              <a:solidFill>
                <a:srgbClr val="000000"/>
              </a:solidFill>
              <a:latin typeface="Arial"/>
              <a:cs typeface="Arial"/>
            </a:rPr>
            <a:t>GOVERNO DO ESTADO DO PIAUI</a:t>
          </a:r>
        </a:p>
        <a:p>
          <a:pPr algn="l" rtl="0">
            <a:defRPr sz="1000"/>
          </a:pPr>
          <a:r>
            <a:rPr lang="pt-BR" sz="1000" b="0" i="0" u="none" strike="noStrike" baseline="0">
              <a:solidFill>
                <a:srgbClr val="000000"/>
              </a:solidFill>
              <a:latin typeface="Arial"/>
              <a:cs typeface="Arial"/>
            </a:rPr>
            <a:t>SECRETARIA DE ESTADO DA SAÚDE</a:t>
          </a:r>
        </a:p>
        <a:p>
          <a:pPr algn="l" rtl="0">
            <a:defRPr sz="1000"/>
          </a:pPr>
          <a:r>
            <a:rPr lang="pt-BR" sz="1000" b="1" i="0" u="none" strike="noStrike" baseline="0">
              <a:solidFill>
                <a:srgbClr val="000000"/>
              </a:solidFill>
              <a:latin typeface="Arial"/>
              <a:cs typeface="Arial"/>
            </a:rPr>
            <a:t>DAH - DIVISÃO DE OBRAS E INSTALAÇÕES</a:t>
          </a:r>
        </a:p>
      </xdr:txBody>
    </xdr:sp>
    <xdr:clientData/>
  </xdr:twoCellAnchor>
  <xdr:twoCellAnchor>
    <xdr:from>
      <xdr:col>3</xdr:col>
      <xdr:colOff>0</xdr:colOff>
      <xdr:row>0</xdr:row>
      <xdr:rowOff>0</xdr:rowOff>
    </xdr:from>
    <xdr:to>
      <xdr:col>9</xdr:col>
      <xdr:colOff>0</xdr:colOff>
      <xdr:row>0</xdr:row>
      <xdr:rowOff>0</xdr:rowOff>
    </xdr:to>
    <xdr:sp macro="" textlink="">
      <xdr:nvSpPr>
        <xdr:cNvPr id="6151" name="Texto 8"/>
        <xdr:cNvSpPr txBox="1">
          <a:spLocks noChangeArrowheads="1"/>
        </xdr:cNvSpPr>
      </xdr:nvSpPr>
      <xdr:spPr bwMode="auto">
        <a:xfrm>
          <a:off x="4219575" y="0"/>
          <a:ext cx="331470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pt-BR" sz="1000" b="0" i="0" u="none" strike="noStrike" baseline="0">
              <a:solidFill>
                <a:srgbClr val="000000"/>
              </a:solidFill>
              <a:latin typeface="Arial"/>
              <a:cs typeface="Arial"/>
            </a:rPr>
            <a:t>OBRA: Reforma do Hospital Norberto Moura</a:t>
          </a:r>
        </a:p>
      </xdr:txBody>
    </xdr:sp>
    <xdr:clientData/>
  </xdr:twoCellAnchor>
  <xdr:twoCellAnchor>
    <xdr:from>
      <xdr:col>3</xdr:col>
      <xdr:colOff>0</xdr:colOff>
      <xdr:row>0</xdr:row>
      <xdr:rowOff>0</xdr:rowOff>
    </xdr:from>
    <xdr:to>
      <xdr:col>7</xdr:col>
      <xdr:colOff>662957</xdr:colOff>
      <xdr:row>0</xdr:row>
      <xdr:rowOff>0</xdr:rowOff>
    </xdr:to>
    <xdr:sp macro="" textlink="">
      <xdr:nvSpPr>
        <xdr:cNvPr id="6152" name="Texto 9"/>
        <xdr:cNvSpPr txBox="1">
          <a:spLocks noChangeArrowheads="1"/>
        </xdr:cNvSpPr>
      </xdr:nvSpPr>
      <xdr:spPr bwMode="auto">
        <a:xfrm>
          <a:off x="4219575" y="0"/>
          <a:ext cx="2419350" cy="0"/>
        </a:xfrm>
        <a:prstGeom prst="rect">
          <a:avLst/>
        </a:prstGeom>
        <a:solidFill>
          <a:srgbClr val="FFFFFF"/>
        </a:solidFill>
        <a:ln w="9525">
          <a:solidFill>
            <a:srgbClr val="000000"/>
          </a:solidFill>
          <a:miter lim="800000"/>
          <a:headEnd/>
          <a:tailEnd/>
        </a:ln>
      </xdr:spPr>
      <xdr:txBody>
        <a:bodyPr vertOverflow="clip" wrap="square" lIns="27432" tIns="22860" rIns="0" bIns="22860" anchor="ctr" upright="1"/>
        <a:lstStyle/>
        <a:p>
          <a:pPr algn="l" rtl="0">
            <a:defRPr sz="1000"/>
          </a:pPr>
          <a:r>
            <a:rPr lang="pt-BR" sz="1000" b="0" i="0" u="none" strike="noStrike" baseline="0">
              <a:solidFill>
                <a:srgbClr val="000000"/>
              </a:solidFill>
              <a:latin typeface="Arial"/>
              <a:cs typeface="Arial"/>
            </a:rPr>
            <a:t>LOCAL: Elesbão Veloso - Pi</a:t>
          </a:r>
        </a:p>
      </xdr:txBody>
    </xdr:sp>
    <xdr:clientData/>
  </xdr:twoCellAnchor>
  <xdr:twoCellAnchor>
    <xdr:from>
      <xdr:col>7</xdr:col>
      <xdr:colOff>662940</xdr:colOff>
      <xdr:row>0</xdr:row>
      <xdr:rowOff>0</xdr:rowOff>
    </xdr:from>
    <xdr:to>
      <xdr:col>8</xdr:col>
      <xdr:colOff>557263</xdr:colOff>
      <xdr:row>0</xdr:row>
      <xdr:rowOff>0</xdr:rowOff>
    </xdr:to>
    <xdr:sp macro="" textlink="">
      <xdr:nvSpPr>
        <xdr:cNvPr id="6153" name="Texto 11"/>
        <xdr:cNvSpPr txBox="1">
          <a:spLocks noChangeArrowheads="1"/>
        </xdr:cNvSpPr>
      </xdr:nvSpPr>
      <xdr:spPr bwMode="auto">
        <a:xfrm>
          <a:off x="6638925" y="0"/>
          <a:ext cx="895350" cy="0"/>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pt-BR" sz="1000" b="0" i="0" u="none" strike="noStrike" baseline="0">
              <a:solidFill>
                <a:srgbClr val="000000"/>
              </a:solidFill>
              <a:latin typeface="Arial"/>
              <a:cs typeface="Arial"/>
            </a:rPr>
            <a:t>DATA: 12/04/99</a:t>
          </a:r>
        </a:p>
      </xdr:txBody>
    </xdr:sp>
    <xdr:clientData/>
  </xdr:twoCellAnchor>
  <xdr:twoCellAnchor>
    <xdr:from>
      <xdr:col>0</xdr:col>
      <xdr:colOff>0</xdr:colOff>
      <xdr:row>0</xdr:row>
      <xdr:rowOff>0</xdr:rowOff>
    </xdr:from>
    <xdr:to>
      <xdr:col>2</xdr:col>
      <xdr:colOff>0</xdr:colOff>
      <xdr:row>0</xdr:row>
      <xdr:rowOff>0</xdr:rowOff>
    </xdr:to>
    <xdr:sp macro="" textlink="">
      <xdr:nvSpPr>
        <xdr:cNvPr id="6154" name="Texto 12"/>
        <xdr:cNvSpPr txBox="1">
          <a:spLocks noChangeArrowheads="1"/>
        </xdr:cNvSpPr>
      </xdr:nvSpPr>
      <xdr:spPr bwMode="auto">
        <a:xfrm>
          <a:off x="0" y="0"/>
          <a:ext cx="4219575" cy="0"/>
        </a:xfrm>
        <a:prstGeom prst="rect">
          <a:avLst/>
        </a:prstGeom>
        <a:solidFill>
          <a:srgbClr val="FFFFFF"/>
        </a:solidFill>
        <a:ln w="9525">
          <a:solidFill>
            <a:srgbClr val="000000"/>
          </a:solidFill>
          <a:miter lim="800000"/>
          <a:headEnd/>
          <a:tailEnd/>
        </a:ln>
      </xdr:spPr>
      <xdr:txBody>
        <a:bodyPr vertOverflow="clip" wrap="square" lIns="27432" tIns="32004" rIns="27432" bIns="0" anchor="t" upright="1"/>
        <a:lstStyle/>
        <a:p>
          <a:pPr algn="ctr" rtl="0">
            <a:defRPr sz="1000"/>
          </a:pPr>
          <a:r>
            <a:rPr lang="pt-BR" sz="1200" b="1" i="0" u="none" strike="noStrike" baseline="0">
              <a:solidFill>
                <a:srgbClr val="000000"/>
              </a:solidFill>
              <a:latin typeface="Book Antiqua"/>
            </a:rPr>
            <a:t>PLANILHA ORÇAMENTÁRIA</a:t>
          </a:r>
        </a:p>
      </xdr:txBody>
    </xdr:sp>
    <xdr:clientData/>
  </xdr:twoCellAnchor>
  <xdr:twoCellAnchor>
    <xdr:from>
      <xdr:col>0</xdr:col>
      <xdr:colOff>9525</xdr:colOff>
      <xdr:row>0</xdr:row>
      <xdr:rowOff>0</xdr:rowOff>
    </xdr:from>
    <xdr:to>
      <xdr:col>2</xdr:col>
      <xdr:colOff>0</xdr:colOff>
      <xdr:row>0</xdr:row>
      <xdr:rowOff>0</xdr:rowOff>
    </xdr:to>
    <xdr:sp macro="" textlink="">
      <xdr:nvSpPr>
        <xdr:cNvPr id="6155" name="Texto 7"/>
        <xdr:cNvSpPr txBox="1">
          <a:spLocks noChangeArrowheads="1"/>
        </xdr:cNvSpPr>
      </xdr:nvSpPr>
      <xdr:spPr bwMode="auto">
        <a:xfrm>
          <a:off x="9525" y="0"/>
          <a:ext cx="421005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pt-BR" sz="1000" b="0" i="0" u="none" strike="noStrike" baseline="0">
              <a:solidFill>
                <a:srgbClr val="000000"/>
              </a:solidFill>
              <a:latin typeface="Arial"/>
              <a:cs typeface="Arial"/>
            </a:rPr>
            <a:t>GOVERNO DO ESTADO DO PIAUI</a:t>
          </a:r>
        </a:p>
        <a:p>
          <a:pPr algn="l" rtl="0">
            <a:defRPr sz="1000"/>
          </a:pPr>
          <a:r>
            <a:rPr lang="pt-BR" sz="1000" b="0" i="0" u="none" strike="noStrike" baseline="0">
              <a:solidFill>
                <a:srgbClr val="000000"/>
              </a:solidFill>
              <a:latin typeface="Arial"/>
              <a:cs typeface="Arial"/>
            </a:rPr>
            <a:t>SECRETARIA DE ESTADO DA SAÚDE</a:t>
          </a:r>
        </a:p>
        <a:p>
          <a:pPr algn="l" rtl="0">
            <a:defRPr sz="1000"/>
          </a:pPr>
          <a:r>
            <a:rPr lang="pt-BR" sz="1000" b="1" i="0" u="none" strike="noStrike" baseline="0">
              <a:solidFill>
                <a:srgbClr val="000000"/>
              </a:solidFill>
              <a:latin typeface="Arial"/>
              <a:cs typeface="Arial"/>
            </a:rPr>
            <a:t>DAH - DIVISÃO DE OBRAS E INSTALAÇÕES</a:t>
          </a:r>
        </a:p>
      </xdr:txBody>
    </xdr:sp>
    <xdr:clientData/>
  </xdr:twoCellAnchor>
  <xdr:twoCellAnchor>
    <xdr:from>
      <xdr:col>3</xdr:col>
      <xdr:colOff>0</xdr:colOff>
      <xdr:row>0</xdr:row>
      <xdr:rowOff>0</xdr:rowOff>
    </xdr:from>
    <xdr:to>
      <xdr:col>9</xdr:col>
      <xdr:colOff>0</xdr:colOff>
      <xdr:row>0</xdr:row>
      <xdr:rowOff>0</xdr:rowOff>
    </xdr:to>
    <xdr:sp macro="" textlink="">
      <xdr:nvSpPr>
        <xdr:cNvPr id="6156" name="Texto 8"/>
        <xdr:cNvSpPr txBox="1">
          <a:spLocks noChangeArrowheads="1"/>
        </xdr:cNvSpPr>
      </xdr:nvSpPr>
      <xdr:spPr bwMode="auto">
        <a:xfrm>
          <a:off x="4219575" y="0"/>
          <a:ext cx="331470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pt-BR" sz="1000" b="0" i="0" u="none" strike="noStrike" baseline="0">
              <a:solidFill>
                <a:srgbClr val="000000"/>
              </a:solidFill>
              <a:latin typeface="Arial"/>
              <a:cs typeface="Arial"/>
            </a:rPr>
            <a:t>OBRA: </a:t>
          </a:r>
        </a:p>
      </xdr:txBody>
    </xdr:sp>
    <xdr:clientData/>
  </xdr:twoCellAnchor>
  <xdr:twoCellAnchor>
    <xdr:from>
      <xdr:col>3</xdr:col>
      <xdr:colOff>0</xdr:colOff>
      <xdr:row>0</xdr:row>
      <xdr:rowOff>0</xdr:rowOff>
    </xdr:from>
    <xdr:to>
      <xdr:col>9</xdr:col>
      <xdr:colOff>6467</xdr:colOff>
      <xdr:row>0</xdr:row>
      <xdr:rowOff>0</xdr:rowOff>
    </xdr:to>
    <xdr:sp macro="" textlink="">
      <xdr:nvSpPr>
        <xdr:cNvPr id="6157" name="Texto 9"/>
        <xdr:cNvSpPr txBox="1">
          <a:spLocks noChangeArrowheads="1"/>
        </xdr:cNvSpPr>
      </xdr:nvSpPr>
      <xdr:spPr bwMode="auto">
        <a:xfrm>
          <a:off x="4219575" y="0"/>
          <a:ext cx="3314700" cy="0"/>
        </a:xfrm>
        <a:prstGeom prst="rect">
          <a:avLst/>
        </a:prstGeom>
        <a:solidFill>
          <a:srgbClr val="FFFFFF"/>
        </a:solidFill>
        <a:ln w="9525">
          <a:solidFill>
            <a:srgbClr val="000000"/>
          </a:solidFill>
          <a:miter lim="800000"/>
          <a:headEnd/>
          <a:tailEnd/>
        </a:ln>
      </xdr:spPr>
      <xdr:txBody>
        <a:bodyPr vertOverflow="clip" wrap="square" lIns="27432" tIns="22860" rIns="0" bIns="22860" anchor="ctr" upright="1"/>
        <a:lstStyle/>
        <a:p>
          <a:pPr algn="l" rtl="0">
            <a:defRPr sz="1000"/>
          </a:pPr>
          <a:r>
            <a:rPr lang="pt-BR" sz="1000" b="0" i="0" u="none" strike="noStrike" baseline="0">
              <a:solidFill>
                <a:srgbClr val="000000"/>
              </a:solidFill>
              <a:latin typeface="Arial"/>
              <a:cs typeface="Arial"/>
            </a:rPr>
            <a:t>LOCAL:</a:t>
          </a:r>
        </a:p>
      </xdr:txBody>
    </xdr:sp>
    <xdr:clientData/>
  </xdr:twoCellAnchor>
  <xdr:twoCellAnchor>
    <xdr:from>
      <xdr:col>0</xdr:col>
      <xdr:colOff>0</xdr:colOff>
      <xdr:row>0</xdr:row>
      <xdr:rowOff>0</xdr:rowOff>
    </xdr:from>
    <xdr:to>
      <xdr:col>2</xdr:col>
      <xdr:colOff>0</xdr:colOff>
      <xdr:row>0</xdr:row>
      <xdr:rowOff>0</xdr:rowOff>
    </xdr:to>
    <xdr:sp macro="" textlink="">
      <xdr:nvSpPr>
        <xdr:cNvPr id="6159" name="Texto 12"/>
        <xdr:cNvSpPr txBox="1">
          <a:spLocks noChangeArrowheads="1"/>
        </xdr:cNvSpPr>
      </xdr:nvSpPr>
      <xdr:spPr bwMode="auto">
        <a:xfrm>
          <a:off x="0" y="0"/>
          <a:ext cx="4219575" cy="0"/>
        </a:xfrm>
        <a:prstGeom prst="rect">
          <a:avLst/>
        </a:prstGeom>
        <a:solidFill>
          <a:srgbClr val="FFFFFF"/>
        </a:solidFill>
        <a:ln w="9525">
          <a:solidFill>
            <a:srgbClr val="000000"/>
          </a:solidFill>
          <a:miter lim="800000"/>
          <a:headEnd/>
          <a:tailEnd/>
        </a:ln>
      </xdr:spPr>
      <xdr:txBody>
        <a:bodyPr vertOverflow="clip" wrap="square" lIns="27432" tIns="32004" rIns="27432" bIns="0" anchor="t" upright="1"/>
        <a:lstStyle/>
        <a:p>
          <a:pPr algn="ctr" rtl="0">
            <a:defRPr sz="1000"/>
          </a:pPr>
          <a:r>
            <a:rPr lang="pt-BR" sz="1200" b="1" i="0" u="none" strike="noStrike" baseline="0">
              <a:solidFill>
                <a:srgbClr val="000000"/>
              </a:solidFill>
              <a:latin typeface="Book Antiqua"/>
            </a:rPr>
            <a:t>PLANILHA COMPARATIVA DE SERVIÇOS</a:t>
          </a:r>
        </a:p>
      </xdr:txBody>
    </xdr:sp>
    <xdr:clientData/>
  </xdr:twoCellAnchor>
  <xdr:twoCellAnchor>
    <xdr:from>
      <xdr:col>8</xdr:col>
      <xdr:colOff>47625</xdr:colOff>
      <xdr:row>0</xdr:row>
      <xdr:rowOff>76200</xdr:rowOff>
    </xdr:from>
    <xdr:to>
      <xdr:col>8</xdr:col>
      <xdr:colOff>504825</xdr:colOff>
      <xdr:row>3</xdr:row>
      <xdr:rowOff>66675</xdr:rowOff>
    </xdr:to>
    <xdr:pic>
      <xdr:nvPicPr>
        <xdr:cNvPr id="1039" name="Picture 2"/>
        <xdr:cNvPicPr>
          <a:picLocks noChangeAspect="1" noChangeArrowheads="1"/>
        </xdr:cNvPicPr>
      </xdr:nvPicPr>
      <xdr:blipFill>
        <a:blip xmlns:r="http://schemas.openxmlformats.org/officeDocument/2006/relationships" r:embed="rId1"/>
        <a:srcRect/>
        <a:stretch>
          <a:fillRect/>
        </a:stretch>
      </xdr:blipFill>
      <xdr:spPr bwMode="auto">
        <a:xfrm>
          <a:off x="7762875" y="76200"/>
          <a:ext cx="457200" cy="4762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542925</xdr:colOff>
      <xdr:row>3</xdr:row>
      <xdr:rowOff>95250</xdr:rowOff>
    </xdr:to>
    <xdr:pic>
      <xdr:nvPicPr>
        <xdr:cNvPr id="1040" name="Picture 1" descr="http://www.piaui.pi.gov.br/images/albuns/album_1243/32b34975ab_grande.jpg"/>
        <xdr:cNvPicPr>
          <a:picLocks noChangeAspect="1" noChangeArrowheads="1"/>
        </xdr:cNvPicPr>
      </xdr:nvPicPr>
      <xdr:blipFill>
        <a:blip xmlns:r="http://schemas.openxmlformats.org/officeDocument/2006/relationships" r:embed="rId2"/>
        <a:srcRect/>
        <a:stretch>
          <a:fillRect/>
        </a:stretch>
      </xdr:blipFill>
      <xdr:spPr bwMode="auto">
        <a:xfrm>
          <a:off x="0" y="0"/>
          <a:ext cx="542925" cy="581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352425</xdr:colOff>
      <xdr:row>0</xdr:row>
      <xdr:rowOff>95250</xdr:rowOff>
    </xdr:from>
    <xdr:to>
      <xdr:col>14</xdr:col>
      <xdr:colOff>809625</xdr:colOff>
      <xdr:row>3</xdr:row>
      <xdr:rowOff>85725</xdr:rowOff>
    </xdr:to>
    <xdr:pic>
      <xdr:nvPicPr>
        <xdr:cNvPr id="2049" name="Picture 2"/>
        <xdr:cNvPicPr>
          <a:picLocks noChangeAspect="1" noChangeArrowheads="1"/>
        </xdr:cNvPicPr>
      </xdr:nvPicPr>
      <xdr:blipFill>
        <a:blip xmlns:r="http://schemas.openxmlformats.org/officeDocument/2006/relationships" r:embed="rId1"/>
        <a:srcRect/>
        <a:stretch>
          <a:fillRect/>
        </a:stretch>
      </xdr:blipFill>
      <xdr:spPr bwMode="auto">
        <a:xfrm>
          <a:off x="13154025" y="95250"/>
          <a:ext cx="457200" cy="4762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542925</xdr:colOff>
      <xdr:row>3</xdr:row>
      <xdr:rowOff>95250</xdr:rowOff>
    </xdr:to>
    <xdr:pic>
      <xdr:nvPicPr>
        <xdr:cNvPr id="2050" name="Picture 1" descr="http://www.piaui.pi.gov.br/images/albuns/album_1243/32b34975ab_grande.jpg"/>
        <xdr:cNvPicPr>
          <a:picLocks noChangeAspect="1" noChangeArrowheads="1"/>
        </xdr:cNvPicPr>
      </xdr:nvPicPr>
      <xdr:blipFill>
        <a:blip xmlns:r="http://schemas.openxmlformats.org/officeDocument/2006/relationships" r:embed="rId2"/>
        <a:srcRect/>
        <a:stretch>
          <a:fillRect/>
        </a:stretch>
      </xdr:blipFill>
      <xdr:spPr bwMode="auto">
        <a:xfrm>
          <a:off x="0" y="0"/>
          <a:ext cx="542925" cy="5810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533400</xdr:colOff>
      <xdr:row>3</xdr:row>
      <xdr:rowOff>95250</xdr:rowOff>
    </xdr:to>
    <xdr:pic>
      <xdr:nvPicPr>
        <xdr:cNvPr id="3073" name="Picture 1"/>
        <xdr:cNvPicPr>
          <a:picLocks noChangeAspect="1" noChangeArrowheads="1"/>
        </xdr:cNvPicPr>
      </xdr:nvPicPr>
      <xdr:blipFill>
        <a:blip xmlns:r="http://schemas.openxmlformats.org/officeDocument/2006/relationships" r:embed="rId1"/>
        <a:srcRect/>
        <a:stretch>
          <a:fillRect/>
        </a:stretch>
      </xdr:blipFill>
      <xdr:spPr bwMode="auto">
        <a:xfrm>
          <a:off x="66675" y="47625"/>
          <a:ext cx="466725" cy="533400"/>
        </a:xfrm>
        <a:prstGeom prst="rect">
          <a:avLst/>
        </a:prstGeom>
        <a:noFill/>
        <a:ln w="9525">
          <a:noFill/>
          <a:miter lim="800000"/>
          <a:headEnd/>
          <a:tailEnd/>
        </a:ln>
      </xdr:spPr>
    </xdr:pic>
    <xdr:clientData/>
  </xdr:twoCellAnchor>
  <xdr:twoCellAnchor>
    <xdr:from>
      <xdr:col>7</xdr:col>
      <xdr:colOff>47625</xdr:colOff>
      <xdr:row>0</xdr:row>
      <xdr:rowOff>76200</xdr:rowOff>
    </xdr:from>
    <xdr:to>
      <xdr:col>7</xdr:col>
      <xdr:colOff>504825</xdr:colOff>
      <xdr:row>3</xdr:row>
      <xdr:rowOff>66675</xdr:rowOff>
    </xdr:to>
    <xdr:pic>
      <xdr:nvPicPr>
        <xdr:cNvPr id="3074" name="Picture 2"/>
        <xdr:cNvPicPr>
          <a:picLocks noChangeAspect="1" noChangeArrowheads="1"/>
        </xdr:cNvPicPr>
      </xdr:nvPicPr>
      <xdr:blipFill>
        <a:blip xmlns:r="http://schemas.openxmlformats.org/officeDocument/2006/relationships" r:embed="rId2"/>
        <a:srcRect/>
        <a:stretch>
          <a:fillRect/>
        </a:stretch>
      </xdr:blipFill>
      <xdr:spPr bwMode="auto">
        <a:xfrm>
          <a:off x="6638925" y="76200"/>
          <a:ext cx="457200" cy="476250"/>
        </a:xfrm>
        <a:prstGeom prst="rect">
          <a:avLst/>
        </a:prstGeom>
        <a:noFill/>
        <a:ln w="9525">
          <a:noFill/>
          <a:miter lim="800000"/>
          <a:headEnd/>
          <a:tailEnd/>
        </a:ln>
      </xdr:spPr>
    </xdr:pic>
    <xdr:clientData/>
  </xdr:twoCellAnchor>
  <xdr:twoCellAnchor>
    <xdr:from>
      <xdr:col>0</xdr:col>
      <xdr:colOff>66675</xdr:colOff>
      <xdr:row>0</xdr:row>
      <xdr:rowOff>47625</xdr:rowOff>
    </xdr:from>
    <xdr:to>
      <xdr:col>0</xdr:col>
      <xdr:colOff>533400</xdr:colOff>
      <xdr:row>3</xdr:row>
      <xdr:rowOff>95250</xdr:rowOff>
    </xdr:to>
    <xdr:pic>
      <xdr:nvPicPr>
        <xdr:cNvPr id="3075" name="Picture 1"/>
        <xdr:cNvPicPr>
          <a:picLocks noChangeAspect="1" noChangeArrowheads="1"/>
        </xdr:cNvPicPr>
      </xdr:nvPicPr>
      <xdr:blipFill>
        <a:blip xmlns:r="http://schemas.openxmlformats.org/officeDocument/2006/relationships" r:embed="rId1"/>
        <a:srcRect/>
        <a:stretch>
          <a:fillRect/>
        </a:stretch>
      </xdr:blipFill>
      <xdr:spPr bwMode="auto">
        <a:xfrm>
          <a:off x="66675" y="47625"/>
          <a:ext cx="466725" cy="533400"/>
        </a:xfrm>
        <a:prstGeom prst="rect">
          <a:avLst/>
        </a:prstGeom>
        <a:noFill/>
        <a:ln w="9525">
          <a:noFill/>
          <a:miter lim="800000"/>
          <a:headEnd/>
          <a:tailEnd/>
        </a:ln>
      </xdr:spPr>
    </xdr:pic>
    <xdr:clientData/>
  </xdr:twoCellAnchor>
  <xdr:twoCellAnchor>
    <xdr:from>
      <xdr:col>7</xdr:col>
      <xdr:colOff>47625</xdr:colOff>
      <xdr:row>0</xdr:row>
      <xdr:rowOff>76200</xdr:rowOff>
    </xdr:from>
    <xdr:to>
      <xdr:col>7</xdr:col>
      <xdr:colOff>504825</xdr:colOff>
      <xdr:row>3</xdr:row>
      <xdr:rowOff>66675</xdr:rowOff>
    </xdr:to>
    <xdr:pic>
      <xdr:nvPicPr>
        <xdr:cNvPr id="3076" name="Picture 2"/>
        <xdr:cNvPicPr>
          <a:picLocks noChangeAspect="1" noChangeArrowheads="1"/>
        </xdr:cNvPicPr>
      </xdr:nvPicPr>
      <xdr:blipFill>
        <a:blip xmlns:r="http://schemas.openxmlformats.org/officeDocument/2006/relationships" r:embed="rId2"/>
        <a:srcRect/>
        <a:stretch>
          <a:fillRect/>
        </a:stretch>
      </xdr:blipFill>
      <xdr:spPr bwMode="auto">
        <a:xfrm>
          <a:off x="6638925" y="76200"/>
          <a:ext cx="457200" cy="476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2.135/orse/composicao.asp?font_sg_fonte=ORSE&amp;serv_nr_codigo=7611&amp;peri_nr_ano=2014&amp;peri_nr_mes=5&amp;peri_nr_ordem=1" TargetMode="External"/><Relationship Id="rId13" Type="http://schemas.openxmlformats.org/officeDocument/2006/relationships/hyperlink" Target="http://187.17.2.135/orse/composicao.asp?font_sg_fonte=ORSE&amp;serv_nr_codigo=1683&amp;peri_nr_ano=2014&amp;peri_nr_mes=5&amp;peri_nr_ordem=1" TargetMode="External"/><Relationship Id="rId18" Type="http://schemas.openxmlformats.org/officeDocument/2006/relationships/hyperlink" Target="http://187.17.2.135/orse/composicao.asp?font_sg_fonte=ORSE&amp;serv_nr_codigo=3294&amp;peri_nr_ano=2014&amp;peri_nr_mes=5&amp;peri_nr_ordem=1" TargetMode="External"/><Relationship Id="rId3" Type="http://schemas.openxmlformats.org/officeDocument/2006/relationships/hyperlink" Target="http://187.17.2.135/orse/composicao.asp?font_sg_fonte=ORSE&amp;serv_nr_codigo=10369&amp;peri_nr_ano=2014&amp;peri_nr_mes=5&amp;peri_nr_ordem=1" TargetMode="External"/><Relationship Id="rId21" Type="http://schemas.openxmlformats.org/officeDocument/2006/relationships/printerSettings" Target="../printerSettings/printerSettings1.bin"/><Relationship Id="rId7" Type="http://schemas.openxmlformats.org/officeDocument/2006/relationships/hyperlink" Target="http://187.17.2.135/orse/composicao.asp?font_sg_fonte=ORSE&amp;serv_nr_codigo=3780&amp;peri_nr_ano=2014&amp;peri_nr_mes=5&amp;peri_nr_ordem=1" TargetMode="External"/><Relationship Id="rId12" Type="http://schemas.openxmlformats.org/officeDocument/2006/relationships/hyperlink" Target="http://187.17.2.135/orse/composicao.asp?font_sg_fonte=ORSE&amp;serv_nr_codigo=8408&amp;peri_nr_ano=2014&amp;peri_nr_mes=5&amp;peri_nr_ordem=1" TargetMode="External"/><Relationship Id="rId17" Type="http://schemas.openxmlformats.org/officeDocument/2006/relationships/hyperlink" Target="http://187.17.2.135/orse/composicao.asp?font_sg_fonte=ORSE&amp;serv_nr_codigo=3278&amp;peri_nr_ano=2014&amp;peri_nr_mes=5&amp;peri_nr_ordem=1" TargetMode="External"/><Relationship Id="rId2" Type="http://schemas.openxmlformats.org/officeDocument/2006/relationships/hyperlink" Target="http://187.17.2.135/orse/composicao.asp?font_sg_fonte=ORSE&amp;serv_nr_codigo=706&amp;peri_nr_ano=2014&amp;peri_nr_mes=5&amp;peri_nr_ordem=1" TargetMode="External"/><Relationship Id="rId16" Type="http://schemas.openxmlformats.org/officeDocument/2006/relationships/hyperlink" Target="http://187.17.2.135/orse/composicao.asp?font_sg_fonte=ORSE&amp;serv_nr_codigo=1470&amp;peri_nr_ano=2014&amp;peri_nr_mes=5&amp;peri_nr_ordem=1" TargetMode="External"/><Relationship Id="rId20" Type="http://schemas.openxmlformats.org/officeDocument/2006/relationships/hyperlink" Target="http://187.17.2.135/orse/composicao.asp?font_sg_fonte=ORSE&amp;serv_nr_codigo=3277&amp;peri_nr_ano=2014&amp;peri_nr_mes=5&amp;peri_nr_ordem=1" TargetMode="External"/><Relationship Id="rId1" Type="http://schemas.openxmlformats.org/officeDocument/2006/relationships/hyperlink" Target="http://187.17.2.135/orse/composicao.asp?font_sg_fonte=ORSE&amp;serv_nr_codigo=641&amp;peri_nr_ano=2014&amp;peri_nr_mes=5&amp;peri_nr_ordem=1" TargetMode="External"/><Relationship Id="rId6" Type="http://schemas.openxmlformats.org/officeDocument/2006/relationships/hyperlink" Target="http://187.17.2.135/orse/composicao.asp?font_sg_fonte=ORSE&amp;serv_nr_codigo=1353&amp;peri_nr_ano=2014&amp;peri_nr_mes=5&amp;peri_nr_ordem=1" TargetMode="External"/><Relationship Id="rId11" Type="http://schemas.openxmlformats.org/officeDocument/2006/relationships/hyperlink" Target="http://187.17.2.135/orse/composicao.asp?font_sg_fonte=ORSE&amp;serv_nr_codigo=4695&amp;peri_nr_ano=2014&amp;peri_nr_mes=5&amp;peri_nr_ordem=1" TargetMode="External"/><Relationship Id="rId5" Type="http://schemas.openxmlformats.org/officeDocument/2006/relationships/hyperlink" Target="http://187.17.2.135/orse/composicao.asp?font_sg_fonte=ORSE&amp;serv_nr_codigo=2360&amp;peri_nr_ano=2014&amp;peri_nr_mes=5&amp;peri_nr_ordem=1" TargetMode="External"/><Relationship Id="rId15" Type="http://schemas.openxmlformats.org/officeDocument/2006/relationships/hyperlink" Target="http://187.17.2.135/orse/composicao.asp?font_sg_fonte=ORSE&amp;serv_nr_codigo=9045&amp;peri_nr_ano=2014&amp;peri_nr_mes=5&amp;peri_nr_ordem=1" TargetMode="External"/><Relationship Id="rId10" Type="http://schemas.openxmlformats.org/officeDocument/2006/relationships/hyperlink" Target="http://187.17.2.135/orse/composicao.asp?font_sg_fonte=ORSE&amp;serv_nr_codigo=10204&amp;peri_nr_ano=2014&amp;peri_nr_mes=5&amp;peri_nr_ordem=1" TargetMode="External"/><Relationship Id="rId19" Type="http://schemas.openxmlformats.org/officeDocument/2006/relationships/hyperlink" Target="http://187.17.2.135/orse/composicao.asp?font_sg_fonte=ORSE&amp;serv_nr_codigo=3298&amp;peri_nr_ano=2014&amp;peri_nr_mes=5&amp;peri_nr_ordem=1" TargetMode="External"/><Relationship Id="rId4" Type="http://schemas.openxmlformats.org/officeDocument/2006/relationships/hyperlink" Target="http://187.17.2.135/orse/composicao.asp?font_sg_fonte=ORSE&amp;serv_nr_codigo=2359&amp;peri_nr_ano=2014&amp;peri_nr_mes=5&amp;peri_nr_ordem=1" TargetMode="External"/><Relationship Id="rId9" Type="http://schemas.openxmlformats.org/officeDocument/2006/relationships/hyperlink" Target="http://187.17.2.135/orse/composicao.asp?font_sg_fonte=ORSE&amp;serv_nr_codigo=2046&amp;peri_nr_ano=2014&amp;peri_nr_mes=5&amp;peri_nr_ordem=1" TargetMode="External"/><Relationship Id="rId14" Type="http://schemas.openxmlformats.org/officeDocument/2006/relationships/hyperlink" Target="http://187.17.2.135/orse/composicao.asp?font_sg_fonte=ORSE&amp;serv_nr_codigo=4395&amp;peri_nr_ano=2014&amp;peri_nr_mes=5&amp;peri_nr_ordem=1" TargetMode="External"/><Relationship Id="rId2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961"/>
  <sheetViews>
    <sheetView zoomScale="80" zoomScaleNormal="80" workbookViewId="0">
      <selection activeCell="L955" sqref="L955"/>
    </sheetView>
  </sheetViews>
  <sheetFormatPr defaultColWidth="11.42578125" defaultRowHeight="5.65" customHeight="1"/>
  <cols>
    <col min="1" max="1" width="8.42578125" style="6" customWidth="1"/>
    <col min="2" max="2" width="43.7109375" style="4" customWidth="1"/>
    <col min="3" max="3" width="11.5703125" style="167" customWidth="1"/>
    <col min="4" max="4" width="5.7109375" style="6" customWidth="1"/>
    <col min="5" max="5" width="10.42578125" style="20" customWidth="1"/>
    <col min="6" max="6" width="11.42578125" style="20" customWidth="1"/>
    <col min="7" max="7" width="11.140625" style="20" customWidth="1"/>
    <col min="8" max="8" width="13.28515625" style="20" customWidth="1"/>
    <col min="9" max="9" width="9.140625" style="171" customWidth="1"/>
    <col min="10" max="16384" width="11.42578125" style="4"/>
  </cols>
  <sheetData>
    <row r="1" spans="1:9" s="29" customFormat="1" ht="12.75" customHeight="1">
      <c r="A1" s="196"/>
      <c r="B1" s="199" t="s">
        <v>129</v>
      </c>
      <c r="C1" s="200"/>
      <c r="D1" s="200"/>
      <c r="E1" s="200"/>
      <c r="F1" s="200"/>
      <c r="G1" s="200"/>
      <c r="H1" s="201"/>
      <c r="I1" s="205"/>
    </row>
    <row r="2" spans="1:9" s="29" customFormat="1" ht="12.75" customHeight="1">
      <c r="A2" s="197"/>
      <c r="B2" s="202"/>
      <c r="C2" s="203"/>
      <c r="D2" s="203"/>
      <c r="E2" s="203"/>
      <c r="F2" s="203"/>
      <c r="G2" s="203"/>
      <c r="H2" s="204"/>
      <c r="I2" s="206"/>
    </row>
    <row r="3" spans="1:9" s="29" customFormat="1" ht="12.75" customHeight="1">
      <c r="A3" s="197"/>
      <c r="B3" s="199" t="s">
        <v>130</v>
      </c>
      <c r="C3" s="200"/>
      <c r="D3" s="200"/>
      <c r="E3" s="200"/>
      <c r="F3" s="200"/>
      <c r="G3" s="200"/>
      <c r="H3" s="201"/>
      <c r="I3" s="206"/>
    </row>
    <row r="4" spans="1:9" s="29" customFormat="1" ht="12.75" customHeight="1">
      <c r="A4" s="198"/>
      <c r="B4" s="202"/>
      <c r="C4" s="203"/>
      <c r="D4" s="203"/>
      <c r="E4" s="203"/>
      <c r="F4" s="203"/>
      <c r="G4" s="203"/>
      <c r="H4" s="204"/>
      <c r="I4" s="207"/>
    </row>
    <row r="5" spans="1:9" s="29" customFormat="1" ht="31.5" customHeight="1">
      <c r="A5" s="195" t="s">
        <v>106</v>
      </c>
      <c r="B5" s="195"/>
      <c r="C5" s="195"/>
      <c r="D5" s="195"/>
      <c r="E5" s="195"/>
      <c r="F5" s="195"/>
      <c r="G5" s="195"/>
      <c r="H5" s="195"/>
      <c r="I5" s="195"/>
    </row>
    <row r="6" spans="1:9" ht="16.5" customHeight="1">
      <c r="A6" s="189" t="s">
        <v>813</v>
      </c>
      <c r="B6" s="189"/>
      <c r="C6" s="189"/>
      <c r="D6" s="189"/>
      <c r="E6" s="189"/>
      <c r="F6" s="189"/>
      <c r="G6" s="189"/>
      <c r="H6" s="189"/>
      <c r="I6" s="189"/>
    </row>
    <row r="7" spans="1:9" ht="16.5" customHeight="1">
      <c r="A7" s="189" t="s">
        <v>439</v>
      </c>
      <c r="B7" s="189"/>
      <c r="C7" s="189"/>
      <c r="D7" s="191" t="s">
        <v>190</v>
      </c>
      <c r="E7" s="191"/>
      <c r="F7" s="191"/>
      <c r="G7" s="22"/>
      <c r="H7" s="191" t="s">
        <v>118</v>
      </c>
      <c r="I7" s="191"/>
    </row>
    <row r="8" spans="1:9" ht="16.5" customHeight="1">
      <c r="A8" s="189" t="s">
        <v>814</v>
      </c>
      <c r="B8" s="189"/>
      <c r="C8" s="189"/>
      <c r="D8" s="190" t="s">
        <v>386</v>
      </c>
      <c r="E8" s="190"/>
      <c r="F8" s="190"/>
      <c r="G8" s="190"/>
      <c r="H8" s="190"/>
      <c r="I8" s="190"/>
    </row>
    <row r="9" spans="1:9" ht="24" customHeight="1">
      <c r="A9" s="189" t="s">
        <v>785</v>
      </c>
      <c r="B9" s="189"/>
      <c r="C9" s="190" t="s">
        <v>786</v>
      </c>
      <c r="D9" s="190"/>
      <c r="E9" s="190" t="s">
        <v>455</v>
      </c>
      <c r="F9" s="190"/>
      <c r="G9" s="23"/>
      <c r="H9" s="191" t="s">
        <v>808</v>
      </c>
      <c r="I9" s="191"/>
    </row>
    <row r="10" spans="1:9" ht="57.95" customHeight="1">
      <c r="A10" s="188" t="s">
        <v>815</v>
      </c>
      <c r="B10" s="189"/>
      <c r="C10" s="189"/>
      <c r="D10" s="189"/>
      <c r="E10" s="189"/>
      <c r="F10" s="189"/>
      <c r="G10" s="189"/>
      <c r="H10" s="189"/>
      <c r="I10" s="189"/>
    </row>
    <row r="11" spans="1:9" s="5" customFormat="1" ht="30.75" customHeight="1">
      <c r="A11" s="23" t="s">
        <v>62</v>
      </c>
      <c r="B11" s="23" t="s">
        <v>63</v>
      </c>
      <c r="C11" s="31" t="s">
        <v>787</v>
      </c>
      <c r="D11" s="23" t="s">
        <v>107</v>
      </c>
      <c r="E11" s="22" t="s">
        <v>788</v>
      </c>
      <c r="F11" s="31" t="s">
        <v>789</v>
      </c>
      <c r="G11" s="174" t="s">
        <v>790</v>
      </c>
      <c r="H11" s="22" t="s">
        <v>791</v>
      </c>
      <c r="I11" s="22" t="s">
        <v>792</v>
      </c>
    </row>
    <row r="12" spans="1:9" ht="15.75" customHeight="1">
      <c r="A12" s="23" t="s">
        <v>70</v>
      </c>
      <c r="B12" s="24" t="s">
        <v>103</v>
      </c>
      <c r="C12" s="163"/>
      <c r="D12" s="16"/>
      <c r="E12" s="17"/>
      <c r="F12" s="17"/>
      <c r="G12" s="17"/>
      <c r="H12" s="17"/>
      <c r="I12" s="170"/>
    </row>
    <row r="13" spans="1:9" ht="26.25" customHeight="1">
      <c r="A13" s="16" t="s">
        <v>69</v>
      </c>
      <c r="B13" s="185" t="s">
        <v>144</v>
      </c>
      <c r="C13" s="164" t="s">
        <v>143</v>
      </c>
      <c r="D13" s="32" t="s">
        <v>109</v>
      </c>
      <c r="E13" s="17">
        <v>6.3000000000000007</v>
      </c>
      <c r="F13" s="17">
        <v>212.54</v>
      </c>
      <c r="G13" s="17">
        <f t="shared" ref="G13:G60" si="0">ROUND(F13*1.2522,2)</f>
        <v>266.14</v>
      </c>
      <c r="H13" s="187">
        <f>ROUND(E13*G13,2)</f>
        <v>1676.68</v>
      </c>
      <c r="I13" s="170">
        <f>H13/$H$960*100</f>
        <v>0.41756667965927924</v>
      </c>
    </row>
    <row r="14" spans="1:9" ht="15.75" customHeight="1">
      <c r="A14" s="16" t="s">
        <v>68</v>
      </c>
      <c r="B14" s="49" t="s">
        <v>192</v>
      </c>
      <c r="C14" s="164" t="s">
        <v>727</v>
      </c>
      <c r="D14" s="32" t="s">
        <v>109</v>
      </c>
      <c r="E14" s="17">
        <v>460.32</v>
      </c>
      <c r="F14" s="184">
        <v>0.8</v>
      </c>
      <c r="G14" s="17">
        <f t="shared" si="0"/>
        <v>1</v>
      </c>
      <c r="H14" s="187">
        <f t="shared" ref="H14:H60" si="1">ROUND(E14*G14,2)</f>
        <v>460.32</v>
      </c>
      <c r="I14" s="170">
        <f>H14/$H$960*100</f>
        <v>0.11463982034780604</v>
      </c>
    </row>
    <row r="15" spans="1:9" ht="25.5" hidden="1" customHeight="1">
      <c r="A15" s="16"/>
      <c r="B15" s="50" t="s">
        <v>457</v>
      </c>
      <c r="C15" s="164"/>
      <c r="D15" s="32"/>
      <c r="E15" s="17"/>
      <c r="F15" s="17"/>
      <c r="G15" s="17">
        <f t="shared" si="0"/>
        <v>0</v>
      </c>
      <c r="H15" s="187">
        <f t="shared" si="1"/>
        <v>0</v>
      </c>
      <c r="I15" s="170"/>
    </row>
    <row r="16" spans="1:9" ht="12.75" hidden="1" customHeight="1">
      <c r="A16" s="16"/>
      <c r="B16" s="49" t="s">
        <v>458</v>
      </c>
      <c r="C16" s="164"/>
      <c r="D16" s="32"/>
      <c r="E16" s="17">
        <f>18.65*14.65</f>
        <v>273.22249999999997</v>
      </c>
      <c r="F16" s="17"/>
      <c r="G16" s="17">
        <f t="shared" si="0"/>
        <v>0</v>
      </c>
      <c r="H16" s="187">
        <f t="shared" si="1"/>
        <v>0</v>
      </c>
      <c r="I16" s="170"/>
    </row>
    <row r="17" spans="1:9" ht="25.5" hidden="1" customHeight="1">
      <c r="A17" s="16"/>
      <c r="B17" s="50" t="s">
        <v>459</v>
      </c>
      <c r="C17" s="164"/>
      <c r="D17" s="32"/>
      <c r="E17" s="17"/>
      <c r="F17" s="17"/>
      <c r="G17" s="17">
        <f t="shared" si="0"/>
        <v>0</v>
      </c>
      <c r="H17" s="187">
        <f t="shared" si="1"/>
        <v>0</v>
      </c>
      <c r="I17" s="170"/>
    </row>
    <row r="18" spans="1:9" ht="12.75" hidden="1" customHeight="1">
      <c r="A18" s="16"/>
      <c r="B18" s="49" t="s">
        <v>460</v>
      </c>
      <c r="C18" s="164"/>
      <c r="D18" s="32"/>
      <c r="E18" s="17">
        <f>22.5*5</f>
        <v>112.5</v>
      </c>
      <c r="F18" s="17"/>
      <c r="G18" s="17">
        <f t="shared" si="0"/>
        <v>0</v>
      </c>
      <c r="H18" s="187">
        <f t="shared" si="1"/>
        <v>0</v>
      </c>
      <c r="I18" s="170"/>
    </row>
    <row r="19" spans="1:9" ht="25.5" hidden="1" customHeight="1">
      <c r="A19" s="16"/>
      <c r="B19" s="50" t="s">
        <v>461</v>
      </c>
      <c r="C19" s="164"/>
      <c r="D19" s="32"/>
      <c r="E19" s="17"/>
      <c r="F19" s="17"/>
      <c r="G19" s="17">
        <f t="shared" si="0"/>
        <v>0</v>
      </c>
      <c r="H19" s="187">
        <f t="shared" si="1"/>
        <v>0</v>
      </c>
      <c r="I19" s="170"/>
    </row>
    <row r="20" spans="1:9" ht="12.75" hidden="1" customHeight="1">
      <c r="A20" s="16"/>
      <c r="B20" s="49" t="s">
        <v>462</v>
      </c>
      <c r="C20" s="164"/>
      <c r="D20" s="32"/>
      <c r="E20" s="17">
        <f>18.65*4</f>
        <v>74.599999999999994</v>
      </c>
      <c r="F20" s="17"/>
      <c r="G20" s="17">
        <f t="shared" si="0"/>
        <v>0</v>
      </c>
      <c r="H20" s="187">
        <f t="shared" si="1"/>
        <v>0</v>
      </c>
      <c r="I20" s="170"/>
    </row>
    <row r="21" spans="1:9" ht="12.75" hidden="1" customHeight="1">
      <c r="A21" s="16"/>
      <c r="B21" s="24" t="s">
        <v>463</v>
      </c>
      <c r="C21" s="164"/>
      <c r="D21" s="32"/>
      <c r="E21" s="22">
        <f>SUM(E16:E20)</f>
        <v>460.32249999999999</v>
      </c>
      <c r="F21" s="17"/>
      <c r="G21" s="17">
        <f t="shared" si="0"/>
        <v>0</v>
      </c>
      <c r="H21" s="187">
        <f t="shared" si="1"/>
        <v>0</v>
      </c>
      <c r="I21" s="170"/>
    </row>
    <row r="22" spans="1:9" ht="45" customHeight="1">
      <c r="A22" s="16" t="s">
        <v>66</v>
      </c>
      <c r="B22" s="50" t="s">
        <v>194</v>
      </c>
      <c r="C22" s="164" t="s">
        <v>763</v>
      </c>
      <c r="D22" s="32" t="s">
        <v>109</v>
      </c>
      <c r="E22" s="17">
        <v>22</v>
      </c>
      <c r="F22" s="184">
        <v>251.66</v>
      </c>
      <c r="G22" s="17">
        <f t="shared" si="0"/>
        <v>315.13</v>
      </c>
      <c r="H22" s="187">
        <f t="shared" si="1"/>
        <v>6932.86</v>
      </c>
      <c r="I22" s="170">
        <f>H22/$H$960*100</f>
        <v>1.7265854729242496</v>
      </c>
    </row>
    <row r="23" spans="1:9" ht="38.25" hidden="1" customHeight="1">
      <c r="A23" s="16"/>
      <c r="B23" s="50" t="s">
        <v>464</v>
      </c>
      <c r="C23" s="164"/>
      <c r="D23" s="32"/>
      <c r="E23" s="17"/>
      <c r="F23" s="17"/>
      <c r="G23" s="17">
        <f t="shared" si="0"/>
        <v>0</v>
      </c>
      <c r="H23" s="187">
        <f t="shared" si="1"/>
        <v>0</v>
      </c>
      <c r="I23" s="170"/>
    </row>
    <row r="24" spans="1:9" ht="12.75" hidden="1" customHeight="1">
      <c r="A24" s="16"/>
      <c r="B24" s="49" t="s">
        <v>465</v>
      </c>
      <c r="C24" s="164"/>
      <c r="D24" s="32"/>
      <c r="E24" s="17">
        <f>4*5.5</f>
        <v>22</v>
      </c>
      <c r="F24" s="17"/>
      <c r="G24" s="17">
        <f t="shared" si="0"/>
        <v>0</v>
      </c>
      <c r="H24" s="187">
        <f t="shared" si="1"/>
        <v>0</v>
      </c>
      <c r="I24" s="170"/>
    </row>
    <row r="25" spans="1:9" ht="12.75" hidden="1" customHeight="1">
      <c r="A25" s="16"/>
      <c r="B25" s="24" t="s">
        <v>463</v>
      </c>
      <c r="C25" s="164"/>
      <c r="D25" s="32"/>
      <c r="E25" s="22">
        <f>SUM(E24)</f>
        <v>22</v>
      </c>
      <c r="F25" s="17"/>
      <c r="G25" s="17">
        <f t="shared" si="0"/>
        <v>0</v>
      </c>
      <c r="H25" s="187">
        <f t="shared" si="1"/>
        <v>0</v>
      </c>
      <c r="I25" s="170"/>
    </row>
    <row r="26" spans="1:9" ht="30" customHeight="1">
      <c r="A26" s="16" t="s">
        <v>122</v>
      </c>
      <c r="B26" s="50" t="s">
        <v>195</v>
      </c>
      <c r="C26" s="164">
        <v>41598</v>
      </c>
      <c r="D26" s="33" t="s">
        <v>65</v>
      </c>
      <c r="E26" s="17">
        <v>1</v>
      </c>
      <c r="F26" s="184">
        <v>734.43</v>
      </c>
      <c r="G26" s="17">
        <f t="shared" si="0"/>
        <v>919.65</v>
      </c>
      <c r="H26" s="187">
        <f t="shared" si="1"/>
        <v>919.65</v>
      </c>
      <c r="I26" s="170">
        <f>H26/$H$960*100</f>
        <v>0.22903308738021336</v>
      </c>
    </row>
    <row r="27" spans="1:9" s="52" customFormat="1" ht="14.25" customHeight="1">
      <c r="A27" s="16" t="s">
        <v>123</v>
      </c>
      <c r="B27" s="186" t="s">
        <v>314</v>
      </c>
      <c r="C27" s="33" t="s">
        <v>810</v>
      </c>
      <c r="D27" s="32" t="s">
        <v>199</v>
      </c>
      <c r="E27" s="32">
        <v>19.7</v>
      </c>
      <c r="F27" s="184">
        <v>25.05</v>
      </c>
      <c r="G27" s="17">
        <f t="shared" si="0"/>
        <v>31.37</v>
      </c>
      <c r="H27" s="187">
        <f t="shared" si="1"/>
        <v>617.99</v>
      </c>
      <c r="I27" s="170">
        <f>H27/$H$960*100</f>
        <v>0.15390654887196006</v>
      </c>
    </row>
    <row r="28" spans="1:9" s="52" customFormat="1" ht="25.5" hidden="1" customHeight="1">
      <c r="A28" s="16"/>
      <c r="B28" s="51" t="s">
        <v>467</v>
      </c>
      <c r="C28" s="54"/>
      <c r="D28" s="32"/>
      <c r="E28" s="32"/>
      <c r="F28" s="172"/>
      <c r="G28" s="17">
        <f t="shared" si="0"/>
        <v>0</v>
      </c>
      <c r="H28" s="187">
        <f t="shared" si="1"/>
        <v>0</v>
      </c>
      <c r="I28" s="170"/>
    </row>
    <row r="29" spans="1:9" s="52" customFormat="1" ht="12.75" hidden="1" customHeight="1">
      <c r="A29" s="16"/>
      <c r="B29" s="49" t="s">
        <v>468</v>
      </c>
      <c r="C29" s="54"/>
      <c r="D29" s="32"/>
      <c r="E29" s="32">
        <f>2.2*3*3+0.3*2.1+0.2*1.5</f>
        <v>20.73</v>
      </c>
      <c r="F29" s="172"/>
      <c r="G29" s="17">
        <f t="shared" si="0"/>
        <v>0</v>
      </c>
      <c r="H29" s="187">
        <f t="shared" si="1"/>
        <v>0</v>
      </c>
      <c r="I29" s="170"/>
    </row>
    <row r="30" spans="1:9" s="52" customFormat="1" ht="12.75" hidden="1" customHeight="1">
      <c r="A30" s="16"/>
      <c r="B30" s="51" t="s">
        <v>469</v>
      </c>
      <c r="C30" s="54"/>
      <c r="D30" s="32"/>
      <c r="E30" s="32"/>
      <c r="F30" s="172"/>
      <c r="G30" s="17">
        <f t="shared" si="0"/>
        <v>0</v>
      </c>
      <c r="H30" s="187">
        <f t="shared" si="1"/>
        <v>0</v>
      </c>
      <c r="I30" s="170"/>
    </row>
    <row r="31" spans="1:9" s="52" customFormat="1" ht="12.75" hidden="1" customHeight="1">
      <c r="A31" s="16"/>
      <c r="B31" s="49" t="s">
        <v>481</v>
      </c>
      <c r="C31" s="54"/>
      <c r="D31" s="32"/>
      <c r="E31" s="32">
        <f>1.26*2.3+2*3</f>
        <v>8.8979999999999997</v>
      </c>
      <c r="F31" s="172"/>
      <c r="G31" s="17">
        <f t="shared" si="0"/>
        <v>0</v>
      </c>
      <c r="H31" s="187">
        <f t="shared" si="1"/>
        <v>0</v>
      </c>
      <c r="I31" s="170"/>
    </row>
    <row r="32" spans="1:9" s="52" customFormat="1" ht="12.75" hidden="1" customHeight="1">
      <c r="A32" s="16"/>
      <c r="B32" s="51" t="s">
        <v>470</v>
      </c>
      <c r="C32" s="54"/>
      <c r="D32" s="32"/>
      <c r="E32" s="32"/>
      <c r="F32" s="172"/>
      <c r="G32" s="17">
        <f t="shared" si="0"/>
        <v>0</v>
      </c>
      <c r="H32" s="187">
        <f t="shared" si="1"/>
        <v>0</v>
      </c>
      <c r="I32" s="170"/>
    </row>
    <row r="33" spans="1:9" s="52" customFormat="1" ht="12.75" hidden="1" customHeight="1">
      <c r="A33" s="16"/>
      <c r="B33" s="49" t="s">
        <v>482</v>
      </c>
      <c r="C33" s="54"/>
      <c r="D33" s="32"/>
      <c r="E33" s="32">
        <f>2.33*3+0.86*2.3</f>
        <v>8.968</v>
      </c>
      <c r="F33" s="172"/>
      <c r="G33" s="17">
        <f t="shared" si="0"/>
        <v>0</v>
      </c>
      <c r="H33" s="187">
        <f t="shared" si="1"/>
        <v>0</v>
      </c>
      <c r="I33" s="170"/>
    </row>
    <row r="34" spans="1:9" s="52" customFormat="1" ht="12.75" hidden="1" customHeight="1">
      <c r="A34" s="16"/>
      <c r="B34" s="51" t="s">
        <v>471</v>
      </c>
      <c r="C34" s="54"/>
      <c r="D34" s="32"/>
      <c r="E34" s="32"/>
      <c r="F34" s="172"/>
      <c r="G34" s="17">
        <f t="shared" si="0"/>
        <v>0</v>
      </c>
      <c r="H34" s="187">
        <f t="shared" si="1"/>
        <v>0</v>
      </c>
      <c r="I34" s="170"/>
    </row>
    <row r="35" spans="1:9" s="52" customFormat="1" ht="12.75" hidden="1" customHeight="1">
      <c r="A35" s="16"/>
      <c r="B35" s="49" t="s">
        <v>482</v>
      </c>
      <c r="C35" s="54"/>
      <c r="D35" s="32"/>
      <c r="E35" s="32">
        <f>2.33*3+0.86*2.3</f>
        <v>8.968</v>
      </c>
      <c r="F35" s="172"/>
      <c r="G35" s="17">
        <f t="shared" si="0"/>
        <v>0</v>
      </c>
      <c r="H35" s="187">
        <f t="shared" si="1"/>
        <v>0</v>
      </c>
      <c r="I35" s="170"/>
    </row>
    <row r="36" spans="1:9" s="52" customFormat="1" ht="12.75" hidden="1" customHeight="1">
      <c r="A36" s="16"/>
      <c r="B36" s="51" t="s">
        <v>472</v>
      </c>
      <c r="C36" s="54"/>
      <c r="D36" s="32"/>
      <c r="E36" s="32"/>
      <c r="F36" s="172"/>
      <c r="G36" s="17">
        <f t="shared" si="0"/>
        <v>0</v>
      </c>
      <c r="H36" s="187">
        <f t="shared" si="1"/>
        <v>0</v>
      </c>
      <c r="I36" s="170"/>
    </row>
    <row r="37" spans="1:9" s="52" customFormat="1" ht="12.75" hidden="1" customHeight="1">
      <c r="A37" s="16"/>
      <c r="B37" s="49" t="s">
        <v>483</v>
      </c>
      <c r="C37" s="54"/>
      <c r="D37" s="32"/>
      <c r="E37" s="32">
        <f>0.86*2.3</f>
        <v>1.9779999999999998</v>
      </c>
      <c r="F37" s="172"/>
      <c r="G37" s="17">
        <f t="shared" si="0"/>
        <v>0</v>
      </c>
      <c r="H37" s="187">
        <f t="shared" si="1"/>
        <v>0</v>
      </c>
      <c r="I37" s="170"/>
    </row>
    <row r="38" spans="1:9" s="52" customFormat="1" ht="12.75" hidden="1" customHeight="1">
      <c r="A38" s="16"/>
      <c r="B38" s="51" t="s">
        <v>473</v>
      </c>
      <c r="C38" s="54"/>
      <c r="D38" s="32"/>
      <c r="E38" s="32"/>
      <c r="F38" s="172"/>
      <c r="G38" s="17">
        <f t="shared" si="0"/>
        <v>0</v>
      </c>
      <c r="H38" s="187">
        <f t="shared" si="1"/>
        <v>0</v>
      </c>
      <c r="I38" s="170"/>
    </row>
    <row r="39" spans="1:9" s="52" customFormat="1" ht="12.75" hidden="1" customHeight="1">
      <c r="A39" s="16"/>
      <c r="B39" s="49" t="s">
        <v>484</v>
      </c>
      <c r="C39" s="54"/>
      <c r="D39" s="32"/>
      <c r="E39" s="32">
        <f>(3.55+1.3)*3+2.86*2.8</f>
        <v>22.558</v>
      </c>
      <c r="F39" s="172"/>
      <c r="G39" s="17">
        <f t="shared" si="0"/>
        <v>0</v>
      </c>
      <c r="H39" s="187">
        <f t="shared" si="1"/>
        <v>0</v>
      </c>
      <c r="I39" s="170"/>
    </row>
    <row r="40" spans="1:9" s="52" customFormat="1" ht="12.75" hidden="1" customHeight="1">
      <c r="A40" s="16"/>
      <c r="B40" s="51" t="s">
        <v>474</v>
      </c>
      <c r="C40" s="54"/>
      <c r="D40" s="32"/>
      <c r="E40" s="32"/>
      <c r="F40" s="172"/>
      <c r="G40" s="17">
        <f t="shared" si="0"/>
        <v>0</v>
      </c>
      <c r="H40" s="187">
        <f t="shared" si="1"/>
        <v>0</v>
      </c>
      <c r="I40" s="170"/>
    </row>
    <row r="41" spans="1:9" s="52" customFormat="1" ht="12.75" hidden="1" customHeight="1">
      <c r="A41" s="16"/>
      <c r="B41" s="49" t="s">
        <v>475</v>
      </c>
      <c r="C41" s="54"/>
      <c r="D41" s="32"/>
      <c r="E41" s="32">
        <f>2.23*3+0.3*2.3</f>
        <v>7.379999999999999</v>
      </c>
      <c r="F41" s="172"/>
      <c r="G41" s="17">
        <f t="shared" si="0"/>
        <v>0</v>
      </c>
      <c r="H41" s="187">
        <f t="shared" si="1"/>
        <v>0</v>
      </c>
      <c r="I41" s="170"/>
    </row>
    <row r="42" spans="1:9" s="52" customFormat="1" ht="12.75" hidden="1" customHeight="1">
      <c r="A42" s="16"/>
      <c r="B42" s="51" t="s">
        <v>476</v>
      </c>
      <c r="C42" s="54"/>
      <c r="D42" s="32"/>
      <c r="E42" s="32"/>
      <c r="F42" s="172"/>
      <c r="G42" s="17">
        <f t="shared" si="0"/>
        <v>0</v>
      </c>
      <c r="H42" s="187">
        <f t="shared" si="1"/>
        <v>0</v>
      </c>
      <c r="I42" s="170"/>
    </row>
    <row r="43" spans="1:9" s="52" customFormat="1" ht="12.75" hidden="1" customHeight="1">
      <c r="A43" s="16"/>
      <c r="B43" s="49" t="s">
        <v>477</v>
      </c>
      <c r="C43" s="54"/>
      <c r="D43" s="32"/>
      <c r="E43" s="32">
        <f>(3.6+1.25)*3</f>
        <v>14.549999999999999</v>
      </c>
      <c r="F43" s="172"/>
      <c r="G43" s="17">
        <f t="shared" si="0"/>
        <v>0</v>
      </c>
      <c r="H43" s="187">
        <f t="shared" si="1"/>
        <v>0</v>
      </c>
      <c r="I43" s="170"/>
    </row>
    <row r="44" spans="1:9" s="52" customFormat="1" ht="12.75" hidden="1" customHeight="1">
      <c r="A44" s="16"/>
      <c r="B44" s="51" t="s">
        <v>478</v>
      </c>
      <c r="C44" s="54"/>
      <c r="D44" s="32"/>
      <c r="E44" s="32"/>
      <c r="F44" s="172"/>
      <c r="G44" s="17">
        <f t="shared" si="0"/>
        <v>0</v>
      </c>
      <c r="H44" s="187">
        <f t="shared" si="1"/>
        <v>0</v>
      </c>
      <c r="I44" s="170"/>
    </row>
    <row r="45" spans="1:9" s="52" customFormat="1" ht="12.75" hidden="1" customHeight="1">
      <c r="A45" s="16"/>
      <c r="B45" s="49" t="s">
        <v>477</v>
      </c>
      <c r="C45" s="54"/>
      <c r="D45" s="32"/>
      <c r="E45" s="32">
        <f>(3.6+1.25)*3</f>
        <v>14.549999999999999</v>
      </c>
      <c r="F45" s="172"/>
      <c r="G45" s="17">
        <f t="shared" si="0"/>
        <v>0</v>
      </c>
      <c r="H45" s="187">
        <f t="shared" si="1"/>
        <v>0</v>
      </c>
      <c r="I45" s="170"/>
    </row>
    <row r="46" spans="1:9" s="52" customFormat="1" ht="12.75" hidden="1" customHeight="1">
      <c r="A46" s="16"/>
      <c r="B46" s="49" t="s">
        <v>479</v>
      </c>
      <c r="C46" s="54"/>
      <c r="D46" s="32"/>
      <c r="E46" s="32"/>
      <c r="F46" s="172"/>
      <c r="G46" s="17">
        <f t="shared" si="0"/>
        <v>0</v>
      </c>
      <c r="H46" s="187">
        <f t="shared" si="1"/>
        <v>0</v>
      </c>
      <c r="I46" s="170"/>
    </row>
    <row r="47" spans="1:9" s="52" customFormat="1" ht="12.75" hidden="1" customHeight="1">
      <c r="A47" s="16"/>
      <c r="B47" s="49" t="s">
        <v>480</v>
      </c>
      <c r="C47" s="54"/>
      <c r="D47" s="32"/>
      <c r="E47" s="32">
        <f>2.8*3+0.86*2.3</f>
        <v>10.377999999999998</v>
      </c>
      <c r="F47" s="172"/>
      <c r="G47" s="17">
        <f t="shared" si="0"/>
        <v>0</v>
      </c>
      <c r="H47" s="187">
        <f t="shared" si="1"/>
        <v>0</v>
      </c>
      <c r="I47" s="170"/>
    </row>
    <row r="48" spans="1:9" s="52" customFormat="1" ht="12.75" hidden="1" customHeight="1">
      <c r="A48" s="16"/>
      <c r="B48" s="49" t="s">
        <v>485</v>
      </c>
      <c r="C48" s="54"/>
      <c r="D48" s="32"/>
      <c r="E48" s="32"/>
      <c r="F48" s="172"/>
      <c r="G48" s="17">
        <f t="shared" si="0"/>
        <v>0</v>
      </c>
      <c r="H48" s="187">
        <f t="shared" si="1"/>
        <v>0</v>
      </c>
      <c r="I48" s="170"/>
    </row>
    <row r="49" spans="1:9" s="52" customFormat="1" ht="12.75" hidden="1" customHeight="1">
      <c r="A49" s="16"/>
      <c r="B49" s="49" t="s">
        <v>480</v>
      </c>
      <c r="C49" s="54"/>
      <c r="D49" s="32"/>
      <c r="E49" s="32">
        <f>2.8*3+0.86*2.3</f>
        <v>10.377999999999998</v>
      </c>
      <c r="F49" s="172"/>
      <c r="G49" s="17">
        <f t="shared" si="0"/>
        <v>0</v>
      </c>
      <c r="H49" s="187">
        <f t="shared" si="1"/>
        <v>0</v>
      </c>
      <c r="I49" s="170"/>
    </row>
    <row r="50" spans="1:9" s="52" customFormat="1" ht="12.75" hidden="1" customHeight="1">
      <c r="A50" s="16"/>
      <c r="B50" s="49" t="s">
        <v>486</v>
      </c>
      <c r="C50" s="54"/>
      <c r="D50" s="32"/>
      <c r="E50" s="32"/>
      <c r="F50" s="172"/>
      <c r="G50" s="17">
        <f t="shared" si="0"/>
        <v>0</v>
      </c>
      <c r="H50" s="187">
        <f t="shared" si="1"/>
        <v>0</v>
      </c>
      <c r="I50" s="170"/>
    </row>
    <row r="51" spans="1:9" s="52" customFormat="1" ht="12.75" hidden="1" customHeight="1">
      <c r="A51" s="16"/>
      <c r="B51" s="49" t="s">
        <v>483</v>
      </c>
      <c r="C51" s="54"/>
      <c r="D51" s="32"/>
      <c r="E51" s="32">
        <f>0.86*2.3</f>
        <v>1.9779999999999998</v>
      </c>
      <c r="F51" s="172"/>
      <c r="G51" s="17">
        <f t="shared" si="0"/>
        <v>0</v>
      </c>
      <c r="H51" s="187">
        <f t="shared" si="1"/>
        <v>0</v>
      </c>
      <c r="I51" s="170"/>
    </row>
    <row r="52" spans="1:9" s="52" customFormat="1" ht="12.75" hidden="1" customHeight="1">
      <c r="A52" s="16"/>
      <c r="B52" s="24" t="s">
        <v>463</v>
      </c>
      <c r="C52" s="54"/>
      <c r="D52" s="32"/>
      <c r="E52" s="40">
        <f>SUM(E29:E51)</f>
        <v>131.31399999999999</v>
      </c>
      <c r="F52" s="172"/>
      <c r="G52" s="17">
        <f t="shared" si="0"/>
        <v>0</v>
      </c>
      <c r="H52" s="187">
        <f t="shared" si="1"/>
        <v>0</v>
      </c>
      <c r="I52" s="170"/>
    </row>
    <row r="53" spans="1:9" s="52" customFormat="1" ht="14.25" customHeight="1">
      <c r="A53" s="16" t="s">
        <v>124</v>
      </c>
      <c r="B53" s="34" t="s">
        <v>147</v>
      </c>
      <c r="C53" s="54">
        <v>72230</v>
      </c>
      <c r="D53" s="32" t="s">
        <v>109</v>
      </c>
      <c r="E53" s="32">
        <v>277.74</v>
      </c>
      <c r="F53" s="172">
        <v>5.01</v>
      </c>
      <c r="G53" s="17">
        <f t="shared" si="0"/>
        <v>6.27</v>
      </c>
      <c r="H53" s="187">
        <f t="shared" si="1"/>
        <v>1741.43</v>
      </c>
      <c r="I53" s="170">
        <f>H53/$H$960*100</f>
        <v>0.43369226266136579</v>
      </c>
    </row>
    <row r="54" spans="1:9" s="52" customFormat="1" ht="25.5" hidden="1" customHeight="1">
      <c r="A54" s="16"/>
      <c r="B54" s="51" t="s">
        <v>487</v>
      </c>
      <c r="C54" s="54"/>
      <c r="D54" s="32"/>
      <c r="E54" s="32"/>
      <c r="F54" s="172"/>
      <c r="G54" s="17">
        <f t="shared" si="0"/>
        <v>0</v>
      </c>
      <c r="H54" s="187">
        <f t="shared" si="1"/>
        <v>0</v>
      </c>
      <c r="I54" s="170"/>
    </row>
    <row r="55" spans="1:9" s="52" customFormat="1" ht="12.75" hidden="1" customHeight="1">
      <c r="A55" s="16"/>
      <c r="B55" s="49" t="s">
        <v>488</v>
      </c>
      <c r="C55" s="54"/>
      <c r="D55" s="32"/>
      <c r="E55" s="32">
        <f>(22.5+1.2)*(10+1.2)+1.23*(8.8+1.2)</f>
        <v>277.74</v>
      </c>
      <c r="F55" s="172"/>
      <c r="G55" s="17">
        <f t="shared" si="0"/>
        <v>0</v>
      </c>
      <c r="H55" s="187">
        <f t="shared" si="1"/>
        <v>0</v>
      </c>
      <c r="I55" s="170"/>
    </row>
    <row r="56" spans="1:9" s="52" customFormat="1" ht="12.75" hidden="1" customHeight="1">
      <c r="A56" s="16"/>
      <c r="B56" s="24" t="s">
        <v>463</v>
      </c>
      <c r="C56" s="54"/>
      <c r="D56" s="32"/>
      <c r="E56" s="22">
        <f>SUM(E55)</f>
        <v>277.74</v>
      </c>
      <c r="F56" s="172"/>
      <c r="G56" s="17">
        <f t="shared" si="0"/>
        <v>0</v>
      </c>
      <c r="H56" s="187">
        <f t="shared" si="1"/>
        <v>0</v>
      </c>
      <c r="I56" s="170"/>
    </row>
    <row r="57" spans="1:9" s="52" customFormat="1" ht="15" customHeight="1">
      <c r="A57" s="16" t="s">
        <v>125</v>
      </c>
      <c r="B57" s="34" t="s">
        <v>132</v>
      </c>
      <c r="C57" s="54">
        <v>72226</v>
      </c>
      <c r="D57" s="32" t="s">
        <v>109</v>
      </c>
      <c r="E57" s="32">
        <v>277.74</v>
      </c>
      <c r="F57" s="172">
        <v>6.82</v>
      </c>
      <c r="G57" s="17">
        <f t="shared" si="0"/>
        <v>8.5399999999999991</v>
      </c>
      <c r="H57" s="187">
        <f t="shared" si="1"/>
        <v>2371.9</v>
      </c>
      <c r="I57" s="170">
        <f>H57/$H$960*100</f>
        <v>0.59070687756986695</v>
      </c>
    </row>
    <row r="58" spans="1:9" s="52" customFormat="1" ht="12.75" hidden="1" customHeight="1">
      <c r="A58" s="16"/>
      <c r="B58" s="51" t="s">
        <v>489</v>
      </c>
      <c r="C58" s="54"/>
      <c r="D58" s="32"/>
      <c r="E58" s="32"/>
      <c r="F58" s="172"/>
      <c r="G58" s="17">
        <f t="shared" si="0"/>
        <v>0</v>
      </c>
      <c r="H58" s="187">
        <f t="shared" si="1"/>
        <v>0</v>
      </c>
      <c r="I58" s="170"/>
    </row>
    <row r="59" spans="1:9" s="52" customFormat="1" ht="12.75" hidden="1" customHeight="1">
      <c r="A59" s="16"/>
      <c r="B59" s="49" t="s">
        <v>490</v>
      </c>
      <c r="C59" s="54"/>
      <c r="D59" s="32"/>
      <c r="E59" s="32">
        <f>(22.5+1.2)*(10+1.2)+1.23*(8.8+1.2)</f>
        <v>277.74</v>
      </c>
      <c r="F59" s="172"/>
      <c r="G59" s="17">
        <f t="shared" si="0"/>
        <v>0</v>
      </c>
      <c r="H59" s="187">
        <f t="shared" si="1"/>
        <v>0</v>
      </c>
      <c r="I59" s="170"/>
    </row>
    <row r="60" spans="1:9" s="52" customFormat="1" ht="15" customHeight="1">
      <c r="A60" s="16" t="s">
        <v>43</v>
      </c>
      <c r="B60" s="34" t="s">
        <v>552</v>
      </c>
      <c r="C60" s="54">
        <v>72216</v>
      </c>
      <c r="D60" s="32" t="s">
        <v>109</v>
      </c>
      <c r="E60" s="32">
        <v>2.2200000000000002</v>
      </c>
      <c r="F60" s="184">
        <v>144.19</v>
      </c>
      <c r="G60" s="17">
        <f t="shared" si="0"/>
        <v>180.55</v>
      </c>
      <c r="H60" s="187">
        <f t="shared" si="1"/>
        <v>400.82</v>
      </c>
      <c r="I60" s="170">
        <f>H60/$H$960*100</f>
        <v>9.9821717048591441E-2</v>
      </c>
    </row>
    <row r="61" spans="1:9" s="52" customFormat="1" ht="12.75" hidden="1" customHeight="1">
      <c r="A61" s="16"/>
      <c r="B61" s="51" t="s">
        <v>473</v>
      </c>
      <c r="C61" s="54"/>
      <c r="D61" s="32"/>
      <c r="E61" s="32"/>
      <c r="F61" s="172"/>
      <c r="G61" s="17">
        <v>0</v>
      </c>
      <c r="H61" s="17"/>
      <c r="I61" s="170"/>
    </row>
    <row r="62" spans="1:9" s="52" customFormat="1" ht="12.75" hidden="1" customHeight="1">
      <c r="A62" s="16"/>
      <c r="B62" s="49" t="s">
        <v>554</v>
      </c>
      <c r="C62" s="54"/>
      <c r="D62" s="32"/>
      <c r="E62" s="32">
        <f>18.46*0.12</f>
        <v>2.2151999999999998</v>
      </c>
      <c r="F62" s="172"/>
      <c r="G62" s="17">
        <v>0</v>
      </c>
      <c r="H62" s="17"/>
      <c r="I62" s="170"/>
    </row>
    <row r="63" spans="1:9" s="52" customFormat="1" ht="12.75" hidden="1" customHeight="1">
      <c r="A63" s="16"/>
      <c r="B63" s="24" t="s">
        <v>463</v>
      </c>
      <c r="C63" s="164"/>
      <c r="D63" s="32"/>
      <c r="E63" s="22">
        <f>SUM(E62)</f>
        <v>2.2151999999999998</v>
      </c>
      <c r="F63" s="172"/>
      <c r="G63" s="17">
        <v>0</v>
      </c>
      <c r="H63" s="17"/>
      <c r="I63" s="170"/>
    </row>
    <row r="64" spans="1:9" ht="15.75" customHeight="1">
      <c r="A64" s="190" t="s">
        <v>111</v>
      </c>
      <c r="B64" s="190"/>
      <c r="C64" s="163"/>
      <c r="D64" s="23"/>
      <c r="E64" s="22"/>
      <c r="F64" s="22"/>
      <c r="G64" s="17"/>
      <c r="H64" s="22">
        <f>H13+H14+H22+H26+H27+H53+H57+H60</f>
        <v>15121.65</v>
      </c>
      <c r="I64" s="170">
        <f>H64/$H$960*100</f>
        <v>3.7659524664633319</v>
      </c>
    </row>
    <row r="65" spans="1:9" ht="15.75" customHeight="1">
      <c r="A65" s="23" t="s">
        <v>73</v>
      </c>
      <c r="B65" s="24" t="s">
        <v>197</v>
      </c>
      <c r="C65" s="163"/>
      <c r="D65" s="23"/>
      <c r="E65" s="22"/>
      <c r="F65" s="22"/>
      <c r="G65" s="17"/>
      <c r="H65" s="22"/>
      <c r="I65" s="170"/>
    </row>
    <row r="66" spans="1:9" ht="15.75" customHeight="1">
      <c r="A66" s="16" t="s">
        <v>82</v>
      </c>
      <c r="B66" s="49" t="s">
        <v>744</v>
      </c>
      <c r="C66" s="164" t="s">
        <v>743</v>
      </c>
      <c r="D66" s="16" t="s">
        <v>199</v>
      </c>
      <c r="E66" s="17">
        <v>7.22</v>
      </c>
      <c r="F66" s="184">
        <v>35.07</v>
      </c>
      <c r="G66" s="17">
        <f t="shared" ref="G66:G87" si="2">ROUND(F66*1.2522,2)</f>
        <v>43.91</v>
      </c>
      <c r="H66" s="187">
        <f t="shared" ref="H66:H87" si="3">ROUND(E66*G66,2)</f>
        <v>317.02999999999997</v>
      </c>
      <c r="I66" s="170">
        <f>H66/$H$960*100</f>
        <v>7.8954340990756322E-2</v>
      </c>
    </row>
    <row r="67" spans="1:9" ht="25.5" hidden="1" customHeight="1">
      <c r="A67" s="16"/>
      <c r="B67" s="50" t="s">
        <v>495</v>
      </c>
      <c r="C67" s="164"/>
      <c r="D67" s="16"/>
      <c r="E67" s="17"/>
      <c r="F67" s="17"/>
      <c r="G67" s="17">
        <f t="shared" si="2"/>
        <v>0</v>
      </c>
      <c r="H67" s="187">
        <f t="shared" si="3"/>
        <v>0</v>
      </c>
      <c r="I67" s="170"/>
    </row>
    <row r="68" spans="1:9" ht="12.75" hidden="1" customHeight="1">
      <c r="A68" s="16"/>
      <c r="B68" s="51" t="s">
        <v>491</v>
      </c>
      <c r="C68" s="54"/>
      <c r="D68" s="32"/>
      <c r="E68" s="32"/>
      <c r="F68" s="172"/>
      <c r="G68" s="17">
        <f t="shared" si="2"/>
        <v>0</v>
      </c>
      <c r="H68" s="187">
        <f t="shared" si="3"/>
        <v>0</v>
      </c>
      <c r="I68" s="170"/>
    </row>
    <row r="69" spans="1:9" ht="12.75" hidden="1" customHeight="1">
      <c r="A69" s="16"/>
      <c r="B69" s="49" t="s">
        <v>496</v>
      </c>
      <c r="C69" s="54"/>
      <c r="D69" s="32"/>
      <c r="E69" s="32">
        <f>4.9*0.6*0.8</f>
        <v>2.3519999999999999</v>
      </c>
      <c r="F69" s="172"/>
      <c r="G69" s="17">
        <f t="shared" si="2"/>
        <v>0</v>
      </c>
      <c r="H69" s="187">
        <f t="shared" si="3"/>
        <v>0</v>
      </c>
      <c r="I69" s="170"/>
    </row>
    <row r="70" spans="1:9" ht="12.75" hidden="1" customHeight="1">
      <c r="A70" s="16"/>
      <c r="B70" s="51" t="s">
        <v>492</v>
      </c>
      <c r="C70" s="54"/>
      <c r="D70" s="32"/>
      <c r="E70" s="32"/>
      <c r="F70" s="172"/>
      <c r="G70" s="17">
        <f t="shared" si="2"/>
        <v>0</v>
      </c>
      <c r="H70" s="187">
        <f t="shared" si="3"/>
        <v>0</v>
      </c>
      <c r="I70" s="170"/>
    </row>
    <row r="71" spans="1:9" ht="12.75" hidden="1" customHeight="1">
      <c r="A71" s="16"/>
      <c r="B71" s="49" t="s">
        <v>496</v>
      </c>
      <c r="C71" s="54"/>
      <c r="D71" s="32"/>
      <c r="E71" s="32">
        <f>4.9*0.6*0.8</f>
        <v>2.3519999999999999</v>
      </c>
      <c r="F71" s="172"/>
      <c r="G71" s="17">
        <f t="shared" si="2"/>
        <v>0</v>
      </c>
      <c r="H71" s="187">
        <f t="shared" si="3"/>
        <v>0</v>
      </c>
      <c r="I71" s="170"/>
    </row>
    <row r="72" spans="1:9" ht="12.75" hidden="1" customHeight="1">
      <c r="A72" s="16"/>
      <c r="B72" s="51" t="s">
        <v>493</v>
      </c>
      <c r="C72" s="54"/>
      <c r="D72" s="32"/>
      <c r="E72" s="32"/>
      <c r="F72" s="172"/>
      <c r="G72" s="17">
        <f t="shared" si="2"/>
        <v>0</v>
      </c>
      <c r="H72" s="187">
        <f t="shared" si="3"/>
        <v>0</v>
      </c>
      <c r="I72" s="170"/>
    </row>
    <row r="73" spans="1:9" ht="12.75" hidden="1" customHeight="1">
      <c r="A73" s="16"/>
      <c r="B73" s="49" t="s">
        <v>497</v>
      </c>
      <c r="C73" s="54"/>
      <c r="D73" s="32"/>
      <c r="E73" s="32">
        <f>2.45*0.6*0.8</f>
        <v>1.1759999999999999</v>
      </c>
      <c r="F73" s="172"/>
      <c r="G73" s="17">
        <f t="shared" si="2"/>
        <v>0</v>
      </c>
      <c r="H73" s="187">
        <f t="shared" si="3"/>
        <v>0</v>
      </c>
      <c r="I73" s="170"/>
    </row>
    <row r="74" spans="1:9" ht="25.5" hidden="1" customHeight="1">
      <c r="A74" s="16"/>
      <c r="B74" s="50" t="s">
        <v>494</v>
      </c>
      <c r="C74" s="54"/>
      <c r="D74" s="32"/>
      <c r="E74" s="32"/>
      <c r="F74" s="172"/>
      <c r="G74" s="17">
        <f t="shared" si="2"/>
        <v>0</v>
      </c>
      <c r="H74" s="187">
        <f t="shared" si="3"/>
        <v>0</v>
      </c>
      <c r="I74" s="170"/>
    </row>
    <row r="75" spans="1:9" ht="12.75" hidden="1" customHeight="1">
      <c r="A75" s="16"/>
      <c r="B75" s="49" t="s">
        <v>498</v>
      </c>
      <c r="C75" s="54"/>
      <c r="D75" s="32"/>
      <c r="E75" s="32">
        <f>2.8*0.6*0.8</f>
        <v>1.3440000000000001</v>
      </c>
      <c r="F75" s="172"/>
      <c r="G75" s="17">
        <f t="shared" si="2"/>
        <v>0</v>
      </c>
      <c r="H75" s="187">
        <f t="shared" si="3"/>
        <v>0</v>
      </c>
      <c r="I75" s="170"/>
    </row>
    <row r="76" spans="1:9" ht="12.75" hidden="1" customHeight="1">
      <c r="A76" s="16"/>
      <c r="B76" s="24" t="s">
        <v>463</v>
      </c>
      <c r="C76" s="54"/>
      <c r="D76" s="32"/>
      <c r="E76" s="40">
        <f>SUM(E68:E75)</f>
        <v>7.2240000000000002</v>
      </c>
      <c r="F76" s="172"/>
      <c r="G76" s="17">
        <f t="shared" si="2"/>
        <v>0</v>
      </c>
      <c r="H76" s="187">
        <f t="shared" si="3"/>
        <v>0</v>
      </c>
      <c r="I76" s="170"/>
    </row>
    <row r="77" spans="1:9" ht="15.75" customHeight="1">
      <c r="A77" s="16" t="s">
        <v>202</v>
      </c>
      <c r="B77" s="49" t="s">
        <v>200</v>
      </c>
      <c r="C77" s="164">
        <v>55835</v>
      </c>
      <c r="D77" s="16" t="s">
        <v>199</v>
      </c>
      <c r="E77" s="17">
        <v>12.44</v>
      </c>
      <c r="F77" s="184">
        <v>35.07</v>
      </c>
      <c r="G77" s="17">
        <f t="shared" si="2"/>
        <v>43.91</v>
      </c>
      <c r="H77" s="187">
        <f t="shared" si="3"/>
        <v>546.24</v>
      </c>
      <c r="I77" s="170">
        <f>H77/$H$960*100</f>
        <v>0.13603765959937777</v>
      </c>
    </row>
    <row r="78" spans="1:9" ht="12.75" hidden="1" customHeight="1">
      <c r="A78" s="16"/>
      <c r="B78" s="51" t="s">
        <v>499</v>
      </c>
      <c r="C78" s="54"/>
      <c r="D78" s="32"/>
      <c r="E78" s="32"/>
      <c r="F78" s="172"/>
      <c r="G78" s="17">
        <f t="shared" si="2"/>
        <v>0</v>
      </c>
      <c r="H78" s="187">
        <f t="shared" si="3"/>
        <v>0</v>
      </c>
      <c r="I78" s="170"/>
    </row>
    <row r="79" spans="1:9" ht="12.75" hidden="1" customHeight="1">
      <c r="A79" s="16"/>
      <c r="B79" s="49" t="s">
        <v>500</v>
      </c>
      <c r="C79" s="54"/>
      <c r="D79" s="32"/>
      <c r="E79" s="32">
        <f>5.45*0.3</f>
        <v>1.635</v>
      </c>
      <c r="F79" s="172"/>
      <c r="G79" s="17">
        <f t="shared" si="2"/>
        <v>0</v>
      </c>
      <c r="H79" s="187">
        <f t="shared" si="3"/>
        <v>0</v>
      </c>
      <c r="I79" s="170"/>
    </row>
    <row r="80" spans="1:9" ht="12.75" hidden="1" customHeight="1">
      <c r="A80" s="16"/>
      <c r="B80" s="51" t="s">
        <v>501</v>
      </c>
      <c r="C80" s="54"/>
      <c r="D80" s="32"/>
      <c r="E80" s="32"/>
      <c r="F80" s="172"/>
      <c r="G80" s="17">
        <f t="shared" si="2"/>
        <v>0</v>
      </c>
      <c r="H80" s="187">
        <f t="shared" si="3"/>
        <v>0</v>
      </c>
      <c r="I80" s="170"/>
    </row>
    <row r="81" spans="1:9" ht="12.75" hidden="1" customHeight="1">
      <c r="A81" s="16"/>
      <c r="B81" s="49" t="s">
        <v>503</v>
      </c>
      <c r="C81" s="54"/>
      <c r="D81" s="32"/>
      <c r="E81" s="32">
        <f>9.52*0.3</f>
        <v>2.8559999999999999</v>
      </c>
      <c r="F81" s="172"/>
      <c r="G81" s="17">
        <f t="shared" si="2"/>
        <v>0</v>
      </c>
      <c r="H81" s="187">
        <f t="shared" si="3"/>
        <v>0</v>
      </c>
      <c r="I81" s="170"/>
    </row>
    <row r="82" spans="1:9" ht="12.75" hidden="1" customHeight="1">
      <c r="A82" s="16"/>
      <c r="B82" s="49" t="s">
        <v>502</v>
      </c>
      <c r="C82" s="54"/>
      <c r="D82" s="32"/>
      <c r="E82" s="32"/>
      <c r="F82" s="172"/>
      <c r="G82" s="17">
        <f t="shared" si="2"/>
        <v>0</v>
      </c>
      <c r="H82" s="187">
        <f t="shared" si="3"/>
        <v>0</v>
      </c>
      <c r="I82" s="170"/>
    </row>
    <row r="83" spans="1:9" ht="12.75" hidden="1" customHeight="1">
      <c r="A83" s="16"/>
      <c r="B83" s="49" t="s">
        <v>504</v>
      </c>
      <c r="C83" s="54"/>
      <c r="D83" s="32"/>
      <c r="E83" s="32">
        <f>9.94*0.4</f>
        <v>3.976</v>
      </c>
      <c r="F83" s="172"/>
      <c r="G83" s="17">
        <f t="shared" si="2"/>
        <v>0</v>
      </c>
      <c r="H83" s="187">
        <f t="shared" si="3"/>
        <v>0</v>
      </c>
      <c r="I83" s="170"/>
    </row>
    <row r="84" spans="1:9" ht="12.75" hidden="1" customHeight="1">
      <c r="A84" s="16"/>
      <c r="B84" s="49" t="s">
        <v>505</v>
      </c>
      <c r="C84" s="54"/>
      <c r="D84" s="32"/>
      <c r="E84" s="32"/>
      <c r="F84" s="172"/>
      <c r="G84" s="17">
        <f t="shared" si="2"/>
        <v>0</v>
      </c>
      <c r="H84" s="187">
        <f t="shared" si="3"/>
        <v>0</v>
      </c>
      <c r="I84" s="170"/>
    </row>
    <row r="85" spans="1:9" ht="12.75" hidden="1" customHeight="1">
      <c r="A85" s="16"/>
      <c r="B85" s="49" t="s">
        <v>504</v>
      </c>
      <c r="C85" s="54"/>
      <c r="D85" s="32"/>
      <c r="E85" s="32">
        <f>9.94*0.4</f>
        <v>3.976</v>
      </c>
      <c r="F85" s="172"/>
      <c r="G85" s="17">
        <f t="shared" si="2"/>
        <v>0</v>
      </c>
      <c r="H85" s="187">
        <f t="shared" si="3"/>
        <v>0</v>
      </c>
      <c r="I85" s="170"/>
    </row>
    <row r="86" spans="1:9" ht="12.75" hidden="1" customHeight="1">
      <c r="A86" s="16"/>
      <c r="B86" s="24" t="s">
        <v>463</v>
      </c>
      <c r="C86" s="54"/>
      <c r="D86" s="32"/>
      <c r="E86" s="40">
        <f>SUM(E78:E85)</f>
        <v>12.442999999999998</v>
      </c>
      <c r="F86" s="172"/>
      <c r="G86" s="17">
        <f t="shared" si="2"/>
        <v>0</v>
      </c>
      <c r="H86" s="187">
        <f t="shared" si="3"/>
        <v>0</v>
      </c>
      <c r="I86" s="170"/>
    </row>
    <row r="87" spans="1:9" ht="15.75" customHeight="1">
      <c r="A87" s="16" t="s">
        <v>203</v>
      </c>
      <c r="B87" s="49" t="s">
        <v>201</v>
      </c>
      <c r="C87" s="164">
        <v>72897</v>
      </c>
      <c r="D87" s="16" t="s">
        <v>199</v>
      </c>
      <c r="E87" s="17">
        <v>77.81</v>
      </c>
      <c r="F87" s="184">
        <v>17.059999999999999</v>
      </c>
      <c r="G87" s="17">
        <f t="shared" si="2"/>
        <v>21.36</v>
      </c>
      <c r="H87" s="187">
        <f t="shared" si="3"/>
        <v>1662.02</v>
      </c>
      <c r="I87" s="170">
        <f>H87/$H$960*100</f>
        <v>0.4139156982413551</v>
      </c>
    </row>
    <row r="88" spans="1:9" ht="12.75" hidden="1" customHeight="1">
      <c r="A88" s="16"/>
      <c r="B88" s="51" t="s">
        <v>192</v>
      </c>
      <c r="C88" s="54"/>
      <c r="D88" s="32"/>
      <c r="E88" s="32"/>
      <c r="F88" s="172"/>
      <c r="G88" s="17">
        <v>0</v>
      </c>
      <c r="H88" s="17"/>
      <c r="I88" s="170"/>
    </row>
    <row r="89" spans="1:9" ht="12.75" hidden="1" customHeight="1">
      <c r="A89" s="16"/>
      <c r="B89" s="49" t="s">
        <v>509</v>
      </c>
      <c r="C89" s="54"/>
      <c r="D89" s="32"/>
      <c r="E89" s="32">
        <f>460.32*0.05</f>
        <v>23.016000000000002</v>
      </c>
      <c r="F89" s="172"/>
      <c r="G89" s="17">
        <v>0</v>
      </c>
      <c r="H89" s="17"/>
      <c r="I89" s="170"/>
    </row>
    <row r="90" spans="1:9" ht="12.75" hidden="1" customHeight="1">
      <c r="A90" s="16"/>
      <c r="B90" s="51" t="s">
        <v>314</v>
      </c>
      <c r="C90" s="54"/>
      <c r="D90" s="32"/>
      <c r="E90" s="32"/>
      <c r="F90" s="172"/>
      <c r="G90" s="17">
        <v>0</v>
      </c>
      <c r="H90" s="17"/>
      <c r="I90" s="170"/>
    </row>
    <row r="91" spans="1:9" ht="12.75" hidden="1" customHeight="1">
      <c r="A91" s="16"/>
      <c r="B91" s="49" t="s">
        <v>510</v>
      </c>
      <c r="C91" s="54"/>
      <c r="D91" s="32"/>
      <c r="E91" s="32">
        <f>131.31*0.1</f>
        <v>13.131</v>
      </c>
      <c r="F91" s="172"/>
      <c r="G91" s="17">
        <v>0</v>
      </c>
      <c r="H91" s="17"/>
      <c r="I91" s="170"/>
    </row>
    <row r="92" spans="1:9" ht="12.75" hidden="1" customHeight="1">
      <c r="A92" s="16"/>
      <c r="B92" s="49" t="s">
        <v>147</v>
      </c>
      <c r="C92" s="54"/>
      <c r="D92" s="32"/>
      <c r="E92" s="32"/>
      <c r="F92" s="172"/>
      <c r="G92" s="17">
        <v>0</v>
      </c>
      <c r="H92" s="17"/>
      <c r="I92" s="170"/>
    </row>
    <row r="93" spans="1:9" ht="12.75" hidden="1" customHeight="1">
      <c r="A93" s="16"/>
      <c r="B93" s="49" t="s">
        <v>508</v>
      </c>
      <c r="C93" s="54"/>
      <c r="D93" s="32"/>
      <c r="E93" s="32">
        <f>277.74*0.1</f>
        <v>27.774000000000001</v>
      </c>
      <c r="F93" s="172"/>
      <c r="G93" s="17">
        <v>0</v>
      </c>
      <c r="H93" s="17"/>
      <c r="I93" s="170"/>
    </row>
    <row r="94" spans="1:9" ht="12.75" hidden="1" customHeight="1">
      <c r="A94" s="16"/>
      <c r="B94" s="49" t="s">
        <v>507</v>
      </c>
      <c r="C94" s="54"/>
      <c r="D94" s="32"/>
      <c r="E94" s="32"/>
      <c r="F94" s="172"/>
      <c r="G94" s="17">
        <v>0</v>
      </c>
      <c r="H94" s="17"/>
      <c r="I94" s="170"/>
    </row>
    <row r="95" spans="1:9" ht="12.75" hidden="1" customHeight="1">
      <c r="A95" s="16"/>
      <c r="B95" s="49" t="s">
        <v>506</v>
      </c>
      <c r="C95" s="54"/>
      <c r="D95" s="32"/>
      <c r="E95" s="32">
        <f>277.74*0.05</f>
        <v>13.887</v>
      </c>
      <c r="F95" s="172"/>
      <c r="G95" s="17">
        <v>0</v>
      </c>
      <c r="H95" s="17"/>
      <c r="I95" s="170"/>
    </row>
    <row r="96" spans="1:9" ht="12.75" hidden="1" customHeight="1">
      <c r="A96" s="16"/>
      <c r="B96" s="24" t="s">
        <v>463</v>
      </c>
      <c r="C96" s="54"/>
      <c r="D96" s="32"/>
      <c r="E96" s="40">
        <f>SUM(E88:E95)</f>
        <v>77.808000000000007</v>
      </c>
      <c r="F96" s="172"/>
      <c r="G96" s="17">
        <v>0</v>
      </c>
      <c r="H96" s="17"/>
      <c r="I96" s="170"/>
    </row>
    <row r="97" spans="1:9" ht="15.75" customHeight="1">
      <c r="A97" s="190" t="s">
        <v>111</v>
      </c>
      <c r="B97" s="190"/>
      <c r="C97" s="163"/>
      <c r="D97" s="23"/>
      <c r="E97" s="22"/>
      <c r="F97" s="22"/>
      <c r="G97" s="17"/>
      <c r="H97" s="22">
        <f>H66+H77+H87</f>
        <v>2525.29</v>
      </c>
      <c r="I97" s="170">
        <f>H97/$H$960*100</f>
        <v>0.62890769883148923</v>
      </c>
    </row>
    <row r="98" spans="1:9" ht="15.75" customHeight="1">
      <c r="A98" s="23" t="s">
        <v>74</v>
      </c>
      <c r="B98" s="24" t="s">
        <v>196</v>
      </c>
      <c r="C98" s="163"/>
      <c r="D98" s="23"/>
      <c r="E98" s="22"/>
      <c r="F98" s="22"/>
      <c r="G98" s="17"/>
      <c r="H98" s="17"/>
      <c r="I98" s="170"/>
    </row>
    <row r="99" spans="1:9" ht="29.25" customHeight="1">
      <c r="A99" s="16" t="s">
        <v>331</v>
      </c>
      <c r="B99" s="50" t="s">
        <v>204</v>
      </c>
      <c r="C99" s="164">
        <v>73611</v>
      </c>
      <c r="D99" s="16" t="s">
        <v>199</v>
      </c>
      <c r="E99" s="17">
        <v>5.21</v>
      </c>
      <c r="F99" s="17">
        <v>309.47000000000003</v>
      </c>
      <c r="G99" s="17">
        <f t="shared" ref="G99:G140" si="4">ROUND(F99*1.2522,2)</f>
        <v>387.52</v>
      </c>
      <c r="H99" s="187">
        <f t="shared" ref="H99:H129" si="5">ROUND(E99*G99,2)</f>
        <v>2018.98</v>
      </c>
      <c r="I99" s="170">
        <f>H99/$H$960*100</f>
        <v>0.5028143562865256</v>
      </c>
    </row>
    <row r="100" spans="1:9" ht="51" hidden="1" customHeight="1">
      <c r="A100" s="16"/>
      <c r="B100" s="50" t="s">
        <v>511</v>
      </c>
      <c r="C100" s="164"/>
      <c r="D100" s="16"/>
      <c r="E100" s="17"/>
      <c r="F100" s="17"/>
      <c r="G100" s="17">
        <f t="shared" si="4"/>
        <v>0</v>
      </c>
      <c r="H100" s="187">
        <f t="shared" si="5"/>
        <v>0</v>
      </c>
      <c r="I100" s="170"/>
    </row>
    <row r="101" spans="1:9" ht="12.75" hidden="1" customHeight="1">
      <c r="A101" s="16"/>
      <c r="B101" s="51" t="s">
        <v>491</v>
      </c>
      <c r="C101" s="54"/>
      <c r="D101" s="32"/>
      <c r="E101" s="32"/>
      <c r="F101" s="172"/>
      <c r="G101" s="17">
        <f t="shared" si="4"/>
        <v>0</v>
      </c>
      <c r="H101" s="187">
        <f t="shared" si="5"/>
        <v>0</v>
      </c>
      <c r="I101" s="170"/>
    </row>
    <row r="102" spans="1:9" ht="12.75" hidden="1" customHeight="1">
      <c r="A102" s="16"/>
      <c r="B102" s="49" t="s">
        <v>512</v>
      </c>
      <c r="C102" s="54"/>
      <c r="D102" s="32"/>
      <c r="E102" s="32">
        <f>(4.9-1.2)*0.6*0.8</f>
        <v>1.7760000000000002</v>
      </c>
      <c r="F102" s="172"/>
      <c r="G102" s="17">
        <f t="shared" si="4"/>
        <v>0</v>
      </c>
      <c r="H102" s="187">
        <f t="shared" si="5"/>
        <v>0</v>
      </c>
      <c r="I102" s="170"/>
    </row>
    <row r="103" spans="1:9" ht="12.75" hidden="1" customHeight="1">
      <c r="A103" s="16"/>
      <c r="B103" s="51" t="s">
        <v>492</v>
      </c>
      <c r="C103" s="54"/>
      <c r="D103" s="32"/>
      <c r="E103" s="32"/>
      <c r="F103" s="172"/>
      <c r="G103" s="17">
        <f t="shared" si="4"/>
        <v>0</v>
      </c>
      <c r="H103" s="187">
        <f t="shared" si="5"/>
        <v>0</v>
      </c>
      <c r="I103" s="170"/>
    </row>
    <row r="104" spans="1:9" ht="12.75" hidden="1" customHeight="1">
      <c r="A104" s="16"/>
      <c r="B104" s="49" t="s">
        <v>512</v>
      </c>
      <c r="C104" s="54"/>
      <c r="D104" s="32"/>
      <c r="E104" s="32">
        <f>(4.9-1.2)*0.6*0.8</f>
        <v>1.7760000000000002</v>
      </c>
      <c r="F104" s="172"/>
      <c r="G104" s="17">
        <f t="shared" si="4"/>
        <v>0</v>
      </c>
      <c r="H104" s="187">
        <f t="shared" si="5"/>
        <v>0</v>
      </c>
      <c r="I104" s="170"/>
    </row>
    <row r="105" spans="1:9" ht="12.75" hidden="1" customHeight="1">
      <c r="A105" s="16"/>
      <c r="B105" s="51" t="s">
        <v>493</v>
      </c>
      <c r="C105" s="54"/>
      <c r="D105" s="32"/>
      <c r="E105" s="32"/>
      <c r="F105" s="172"/>
      <c r="G105" s="17">
        <f t="shared" si="4"/>
        <v>0</v>
      </c>
      <c r="H105" s="187">
        <f t="shared" si="5"/>
        <v>0</v>
      </c>
      <c r="I105" s="170"/>
    </row>
    <row r="106" spans="1:9" ht="12.75" hidden="1" customHeight="1">
      <c r="A106" s="16"/>
      <c r="B106" s="49" t="s">
        <v>513</v>
      </c>
      <c r="C106" s="54"/>
      <c r="D106" s="32"/>
      <c r="E106" s="32">
        <f>(2.45-0.6)*0.6*0.8</f>
        <v>0.88800000000000012</v>
      </c>
      <c r="F106" s="172"/>
      <c r="G106" s="17">
        <f t="shared" si="4"/>
        <v>0</v>
      </c>
      <c r="H106" s="187">
        <f t="shared" si="5"/>
        <v>0</v>
      </c>
      <c r="I106" s="170"/>
    </row>
    <row r="107" spans="1:9" ht="25.5" hidden="1" customHeight="1">
      <c r="A107" s="16"/>
      <c r="B107" s="50" t="s">
        <v>494</v>
      </c>
      <c r="C107" s="54"/>
      <c r="D107" s="32"/>
      <c r="E107" s="32"/>
      <c r="F107" s="172"/>
      <c r="G107" s="17">
        <f t="shared" si="4"/>
        <v>0</v>
      </c>
      <c r="H107" s="187">
        <f t="shared" si="5"/>
        <v>0</v>
      </c>
      <c r="I107" s="170"/>
    </row>
    <row r="108" spans="1:9" ht="12.75" hidden="1" customHeight="1">
      <c r="A108" s="16"/>
      <c r="B108" s="49" t="s">
        <v>514</v>
      </c>
      <c r="C108" s="54"/>
      <c r="D108" s="32"/>
      <c r="E108" s="32">
        <f>(2.8-1.2)*0.6*0.8</f>
        <v>0.7679999999999999</v>
      </c>
      <c r="F108" s="172"/>
      <c r="G108" s="17">
        <f t="shared" si="4"/>
        <v>0</v>
      </c>
      <c r="H108" s="187">
        <f t="shared" si="5"/>
        <v>0</v>
      </c>
      <c r="I108" s="170"/>
    </row>
    <row r="109" spans="1:9" ht="12.75" hidden="1" customHeight="1">
      <c r="A109" s="16"/>
      <c r="B109" s="24" t="s">
        <v>463</v>
      </c>
      <c r="C109" s="54"/>
      <c r="D109" s="32"/>
      <c r="E109" s="40">
        <f>SUM(E101:E108)</f>
        <v>5.2080000000000002</v>
      </c>
      <c r="F109" s="172"/>
      <c r="G109" s="17">
        <f t="shared" si="4"/>
        <v>0</v>
      </c>
      <c r="H109" s="187">
        <f t="shared" si="5"/>
        <v>0</v>
      </c>
      <c r="I109" s="170"/>
    </row>
    <row r="110" spans="1:9" ht="15.75" customHeight="1">
      <c r="A110" s="16" t="s">
        <v>332</v>
      </c>
      <c r="B110" s="49" t="s">
        <v>515</v>
      </c>
      <c r="C110" s="54">
        <v>73361</v>
      </c>
      <c r="D110" s="32" t="s">
        <v>199</v>
      </c>
      <c r="E110" s="32">
        <v>3.36</v>
      </c>
      <c r="F110" s="17">
        <v>337.39</v>
      </c>
      <c r="G110" s="17">
        <f t="shared" si="4"/>
        <v>422.48</v>
      </c>
      <c r="H110" s="187">
        <f t="shared" si="5"/>
        <v>1419.53</v>
      </c>
      <c r="I110" s="170">
        <f>H110/$H$960*100</f>
        <v>0.35352507859385013</v>
      </c>
    </row>
    <row r="111" spans="1:9" ht="25.5" hidden="1" customHeight="1">
      <c r="A111" s="16"/>
      <c r="B111" s="50" t="s">
        <v>517</v>
      </c>
      <c r="C111" s="164"/>
      <c r="D111" s="16"/>
      <c r="E111" s="17"/>
      <c r="F111" s="17"/>
      <c r="G111" s="17">
        <f t="shared" si="4"/>
        <v>0</v>
      </c>
      <c r="H111" s="187">
        <f t="shared" si="5"/>
        <v>0</v>
      </c>
      <c r="I111" s="170"/>
    </row>
    <row r="112" spans="1:9" ht="12.75" hidden="1" customHeight="1">
      <c r="A112" s="16"/>
      <c r="B112" s="51" t="s">
        <v>491</v>
      </c>
      <c r="C112" s="54"/>
      <c r="D112" s="32"/>
      <c r="E112" s="32"/>
      <c r="F112" s="172"/>
      <c r="G112" s="17">
        <f t="shared" si="4"/>
        <v>0</v>
      </c>
      <c r="H112" s="187">
        <f t="shared" si="5"/>
        <v>0</v>
      </c>
      <c r="I112" s="170"/>
    </row>
    <row r="113" spans="1:9" ht="12.75" hidden="1" customHeight="1">
      <c r="A113" s="16"/>
      <c r="B113" s="49" t="s">
        <v>518</v>
      </c>
      <c r="C113" s="54"/>
      <c r="D113" s="32"/>
      <c r="E113" s="32">
        <f>2*0.6*0.8</f>
        <v>0.96</v>
      </c>
      <c r="F113" s="172"/>
      <c r="G113" s="17">
        <f t="shared" si="4"/>
        <v>0</v>
      </c>
      <c r="H113" s="187">
        <f t="shared" si="5"/>
        <v>0</v>
      </c>
      <c r="I113" s="170"/>
    </row>
    <row r="114" spans="1:9" ht="12.75" hidden="1" customHeight="1">
      <c r="A114" s="16"/>
      <c r="B114" s="51" t="s">
        <v>492</v>
      </c>
      <c r="C114" s="54"/>
      <c r="D114" s="32"/>
      <c r="E114" s="32"/>
      <c r="F114" s="172"/>
      <c r="G114" s="17">
        <f t="shared" si="4"/>
        <v>0</v>
      </c>
      <c r="H114" s="187">
        <f t="shared" si="5"/>
        <v>0</v>
      </c>
      <c r="I114" s="170"/>
    </row>
    <row r="115" spans="1:9" ht="12.75" hidden="1" customHeight="1">
      <c r="A115" s="16"/>
      <c r="B115" s="49" t="s">
        <v>518</v>
      </c>
      <c r="C115" s="54"/>
      <c r="D115" s="32"/>
      <c r="E115" s="32">
        <f>2*0.6*0.8</f>
        <v>0.96</v>
      </c>
      <c r="F115" s="172"/>
      <c r="G115" s="17">
        <f t="shared" si="4"/>
        <v>0</v>
      </c>
      <c r="H115" s="187">
        <f t="shared" si="5"/>
        <v>0</v>
      </c>
      <c r="I115" s="170"/>
    </row>
    <row r="116" spans="1:9" ht="12.75" hidden="1" customHeight="1">
      <c r="A116" s="16"/>
      <c r="B116" s="51" t="s">
        <v>493</v>
      </c>
      <c r="C116" s="54"/>
      <c r="D116" s="32"/>
      <c r="E116" s="32"/>
      <c r="F116" s="172"/>
      <c r="G116" s="17">
        <f t="shared" si="4"/>
        <v>0</v>
      </c>
      <c r="H116" s="187">
        <f t="shared" si="5"/>
        <v>0</v>
      </c>
      <c r="I116" s="170"/>
    </row>
    <row r="117" spans="1:9" ht="12.75" hidden="1" customHeight="1">
      <c r="A117" s="16"/>
      <c r="B117" s="49" t="s">
        <v>519</v>
      </c>
      <c r="C117" s="54"/>
      <c r="D117" s="32"/>
      <c r="E117" s="32">
        <f>0.6*0.8</f>
        <v>0.48</v>
      </c>
      <c r="F117" s="172"/>
      <c r="G117" s="17">
        <f t="shared" si="4"/>
        <v>0</v>
      </c>
      <c r="H117" s="187">
        <f t="shared" si="5"/>
        <v>0</v>
      </c>
      <c r="I117" s="170"/>
    </row>
    <row r="118" spans="1:9" ht="25.5" hidden="1" customHeight="1">
      <c r="A118" s="16"/>
      <c r="B118" s="50" t="s">
        <v>494</v>
      </c>
      <c r="C118" s="54"/>
      <c r="D118" s="32"/>
      <c r="E118" s="32"/>
      <c r="F118" s="172"/>
      <c r="G118" s="17">
        <f t="shared" si="4"/>
        <v>0</v>
      </c>
      <c r="H118" s="187">
        <f t="shared" si="5"/>
        <v>0</v>
      </c>
      <c r="I118" s="170"/>
    </row>
    <row r="119" spans="1:9" ht="12.75" hidden="1" customHeight="1">
      <c r="A119" s="16"/>
      <c r="B119" s="49" t="s">
        <v>518</v>
      </c>
      <c r="C119" s="54"/>
      <c r="D119" s="32"/>
      <c r="E119" s="32">
        <f>2*0.6*0.8</f>
        <v>0.96</v>
      </c>
      <c r="F119" s="172"/>
      <c r="G119" s="17">
        <f t="shared" si="4"/>
        <v>0</v>
      </c>
      <c r="H119" s="187">
        <f t="shared" si="5"/>
        <v>0</v>
      </c>
      <c r="I119" s="170"/>
    </row>
    <row r="120" spans="1:9" ht="12.75" hidden="1" customHeight="1">
      <c r="A120" s="16"/>
      <c r="B120" s="24" t="s">
        <v>463</v>
      </c>
      <c r="C120" s="54"/>
      <c r="D120" s="32"/>
      <c r="E120" s="40">
        <f>SUM(E112:E119)</f>
        <v>3.36</v>
      </c>
      <c r="F120" s="172"/>
      <c r="G120" s="17">
        <f t="shared" si="4"/>
        <v>0</v>
      </c>
      <c r="H120" s="187">
        <f t="shared" si="5"/>
        <v>0</v>
      </c>
      <c r="I120" s="170"/>
    </row>
    <row r="121" spans="1:9" ht="63.75">
      <c r="A121" s="16" t="s">
        <v>333</v>
      </c>
      <c r="B121" s="25" t="s">
        <v>745</v>
      </c>
      <c r="C121" s="54">
        <v>73346</v>
      </c>
      <c r="D121" s="16" t="s">
        <v>199</v>
      </c>
      <c r="E121" s="17">
        <v>0.48</v>
      </c>
      <c r="F121" s="17">
        <v>1613.99</v>
      </c>
      <c r="G121" s="17">
        <f t="shared" si="4"/>
        <v>2021.04</v>
      </c>
      <c r="H121" s="187">
        <f t="shared" si="5"/>
        <v>970.1</v>
      </c>
      <c r="I121" s="170">
        <f>H121/$H$960*100</f>
        <v>0.24159734471542982</v>
      </c>
    </row>
    <row r="122" spans="1:9" ht="38.25" hidden="1">
      <c r="A122" s="16"/>
      <c r="B122" s="50" t="s">
        <v>549</v>
      </c>
      <c r="C122" s="164"/>
      <c r="D122" s="16"/>
      <c r="E122" s="17"/>
      <c r="F122" s="17"/>
      <c r="G122" s="17">
        <f t="shared" si="4"/>
        <v>0</v>
      </c>
      <c r="H122" s="187">
        <f t="shared" si="5"/>
        <v>0</v>
      </c>
      <c r="I122" s="170"/>
    </row>
    <row r="123" spans="1:9" ht="12.75" hidden="1">
      <c r="A123" s="16"/>
      <c r="B123" s="27" t="s">
        <v>548</v>
      </c>
      <c r="C123" s="164"/>
      <c r="D123" s="16"/>
      <c r="E123" s="17">
        <f>(7*0.1*0.2)+(11.45*0.1*0.3)</f>
        <v>0.48349999999999999</v>
      </c>
      <c r="F123" s="17"/>
      <c r="G123" s="17">
        <f t="shared" si="4"/>
        <v>0</v>
      </c>
      <c r="H123" s="187">
        <f t="shared" si="5"/>
        <v>0</v>
      </c>
      <c r="I123" s="170"/>
    </row>
    <row r="124" spans="1:9" ht="12.75" hidden="1">
      <c r="A124" s="16"/>
      <c r="B124" s="24" t="s">
        <v>463</v>
      </c>
      <c r="C124" s="54"/>
      <c r="D124" s="32"/>
      <c r="E124" s="40">
        <f>SUM(E123)</f>
        <v>0.48349999999999999</v>
      </c>
      <c r="F124" s="17"/>
      <c r="G124" s="17">
        <f t="shared" si="4"/>
        <v>0</v>
      </c>
      <c r="H124" s="187">
        <f t="shared" si="5"/>
        <v>0</v>
      </c>
      <c r="I124" s="170"/>
    </row>
    <row r="125" spans="1:9" ht="25.5">
      <c r="A125" s="16" t="s">
        <v>334</v>
      </c>
      <c r="B125" s="25" t="s">
        <v>206</v>
      </c>
      <c r="C125" s="164">
        <v>6110</v>
      </c>
      <c r="D125" s="16" t="s">
        <v>199</v>
      </c>
      <c r="E125" s="17">
        <v>0.76</v>
      </c>
      <c r="F125" s="184">
        <v>469.89</v>
      </c>
      <c r="G125" s="17">
        <f t="shared" si="4"/>
        <v>588.4</v>
      </c>
      <c r="H125" s="187">
        <f t="shared" si="5"/>
        <v>447.18</v>
      </c>
      <c r="I125" s="170">
        <f>H125/$H$960*100</f>
        <v>0.11136738543433243</v>
      </c>
    </row>
    <row r="126" spans="1:9" ht="25.5" hidden="1">
      <c r="A126" s="16"/>
      <c r="B126" s="50" t="s">
        <v>520</v>
      </c>
      <c r="C126" s="164"/>
      <c r="D126" s="16"/>
      <c r="E126" s="17"/>
      <c r="F126" s="17"/>
      <c r="G126" s="17">
        <f t="shared" si="4"/>
        <v>0</v>
      </c>
      <c r="H126" s="187">
        <f t="shared" si="5"/>
        <v>0</v>
      </c>
      <c r="I126" s="170"/>
    </row>
    <row r="127" spans="1:9" ht="12.75" hidden="1">
      <c r="A127" s="16"/>
      <c r="B127" s="27" t="s">
        <v>521</v>
      </c>
      <c r="C127" s="164"/>
      <c r="D127" s="16"/>
      <c r="E127" s="17">
        <f>11.45*0.22*0.3</f>
        <v>0.75569999999999993</v>
      </c>
      <c r="F127" s="17"/>
      <c r="G127" s="17">
        <f t="shared" si="4"/>
        <v>0</v>
      </c>
      <c r="H127" s="187">
        <f t="shared" si="5"/>
        <v>0</v>
      </c>
      <c r="I127" s="170"/>
    </row>
    <row r="128" spans="1:9" ht="12.75" hidden="1">
      <c r="A128" s="16"/>
      <c r="B128" s="24" t="s">
        <v>463</v>
      </c>
      <c r="C128" s="54"/>
      <c r="D128" s="32"/>
      <c r="E128" s="40">
        <f>SUM(E127)</f>
        <v>0.75569999999999993</v>
      </c>
      <c r="F128" s="17"/>
      <c r="G128" s="17">
        <f t="shared" si="4"/>
        <v>0</v>
      </c>
      <c r="H128" s="187">
        <f t="shared" si="5"/>
        <v>0</v>
      </c>
      <c r="I128" s="170"/>
    </row>
    <row r="129" spans="1:9" ht="13.5" customHeight="1">
      <c r="A129" s="16" t="s">
        <v>44</v>
      </c>
      <c r="B129" s="179" t="s">
        <v>793</v>
      </c>
      <c r="C129" s="33" t="s">
        <v>794</v>
      </c>
      <c r="D129" s="32" t="s">
        <v>109</v>
      </c>
      <c r="E129" s="17">
        <v>47.06</v>
      </c>
      <c r="F129" s="172">
        <v>54.77</v>
      </c>
      <c r="G129" s="17">
        <f t="shared" si="4"/>
        <v>68.58</v>
      </c>
      <c r="H129" s="187">
        <f t="shared" si="5"/>
        <v>3227.37</v>
      </c>
      <c r="I129" s="170">
        <f>H129/$H$960*100</f>
        <v>0.80375633688716275</v>
      </c>
    </row>
    <row r="130" spans="1:9" ht="12.75" hidden="1">
      <c r="A130" s="16"/>
      <c r="B130" s="51" t="s">
        <v>476</v>
      </c>
      <c r="C130" s="54"/>
      <c r="D130" s="32"/>
      <c r="E130" s="32"/>
      <c r="F130" s="172"/>
      <c r="G130" s="17">
        <f t="shared" si="4"/>
        <v>0</v>
      </c>
      <c r="H130" s="17"/>
      <c r="I130" s="170"/>
    </row>
    <row r="131" spans="1:9" ht="12.75" hidden="1">
      <c r="A131" s="16"/>
      <c r="B131" s="49" t="s">
        <v>522</v>
      </c>
      <c r="C131" s="54"/>
      <c r="D131" s="32"/>
      <c r="E131" s="32">
        <f>5.45</f>
        <v>5.45</v>
      </c>
      <c r="F131" s="172"/>
      <c r="G131" s="17">
        <f t="shared" si="4"/>
        <v>0</v>
      </c>
      <c r="H131" s="17"/>
      <c r="I131" s="170"/>
    </row>
    <row r="132" spans="1:9" ht="12.75" hidden="1">
      <c r="A132" s="16"/>
      <c r="B132" s="51" t="s">
        <v>478</v>
      </c>
      <c r="C132" s="54"/>
      <c r="D132" s="32"/>
      <c r="E132" s="32"/>
      <c r="F132" s="172"/>
      <c r="G132" s="17">
        <f t="shared" si="4"/>
        <v>0</v>
      </c>
      <c r="H132" s="17"/>
      <c r="I132" s="170"/>
    </row>
    <row r="133" spans="1:9" ht="12.75" hidden="1">
      <c r="A133" s="16"/>
      <c r="B133" s="49" t="s">
        <v>523</v>
      </c>
      <c r="C133" s="54"/>
      <c r="D133" s="32"/>
      <c r="E133" s="32">
        <f>9.52</f>
        <v>9.52</v>
      </c>
      <c r="F133" s="172"/>
      <c r="G133" s="17">
        <f t="shared" si="4"/>
        <v>0</v>
      </c>
      <c r="H133" s="17"/>
      <c r="I133" s="170"/>
    </row>
    <row r="134" spans="1:9" ht="12.75" hidden="1">
      <c r="A134" s="16"/>
      <c r="B134" s="49" t="s">
        <v>479</v>
      </c>
      <c r="C134" s="54"/>
      <c r="D134" s="32"/>
      <c r="E134" s="32"/>
      <c r="F134" s="172"/>
      <c r="G134" s="17">
        <f t="shared" si="4"/>
        <v>0</v>
      </c>
      <c r="H134" s="17"/>
      <c r="I134" s="170"/>
    </row>
    <row r="135" spans="1:9" ht="12.75" hidden="1">
      <c r="A135" s="16"/>
      <c r="B135" s="49" t="s">
        <v>524</v>
      </c>
      <c r="C135" s="54"/>
      <c r="D135" s="32"/>
      <c r="E135" s="32">
        <f>9.94</f>
        <v>9.94</v>
      </c>
      <c r="F135" s="172"/>
      <c r="G135" s="17">
        <f t="shared" si="4"/>
        <v>0</v>
      </c>
      <c r="H135" s="17"/>
      <c r="I135" s="170"/>
    </row>
    <row r="136" spans="1:9" ht="12.75" hidden="1">
      <c r="A136" s="16"/>
      <c r="B136" s="49" t="s">
        <v>485</v>
      </c>
      <c r="C136" s="54"/>
      <c r="D136" s="32"/>
      <c r="E136" s="32"/>
      <c r="F136" s="172"/>
      <c r="G136" s="17">
        <f t="shared" si="4"/>
        <v>0</v>
      </c>
      <c r="H136" s="17"/>
      <c r="I136" s="170"/>
    </row>
    <row r="137" spans="1:9" ht="12.75" hidden="1">
      <c r="A137" s="16"/>
      <c r="B137" s="49" t="s">
        <v>524</v>
      </c>
      <c r="C137" s="54"/>
      <c r="D137" s="32"/>
      <c r="E137" s="32">
        <f>9.94</f>
        <v>9.94</v>
      </c>
      <c r="F137" s="172"/>
      <c r="G137" s="17">
        <f t="shared" si="4"/>
        <v>0</v>
      </c>
      <c r="H137" s="17"/>
      <c r="I137" s="170"/>
    </row>
    <row r="138" spans="1:9" ht="12.75" hidden="1">
      <c r="A138" s="16"/>
      <c r="B138" s="49" t="s">
        <v>466</v>
      </c>
      <c r="C138" s="54"/>
      <c r="D138" s="32"/>
      <c r="E138" s="32"/>
      <c r="F138" s="172"/>
      <c r="G138" s="17">
        <f t="shared" si="4"/>
        <v>0</v>
      </c>
      <c r="H138" s="17"/>
      <c r="I138" s="170"/>
    </row>
    <row r="139" spans="1:9" ht="12.75" hidden="1">
      <c r="A139" s="16"/>
      <c r="B139" s="49" t="s">
        <v>525</v>
      </c>
      <c r="C139" s="54"/>
      <c r="D139" s="32"/>
      <c r="E139" s="32">
        <f xml:space="preserve"> 5.55*2.2</f>
        <v>12.21</v>
      </c>
      <c r="F139" s="172"/>
      <c r="G139" s="17">
        <f t="shared" si="4"/>
        <v>0</v>
      </c>
      <c r="H139" s="17"/>
      <c r="I139" s="170"/>
    </row>
    <row r="140" spans="1:9" ht="12.75" hidden="1">
      <c r="A140" s="16"/>
      <c r="B140" s="24" t="s">
        <v>463</v>
      </c>
      <c r="C140" s="54"/>
      <c r="D140" s="32"/>
      <c r="E140" s="40">
        <f>SUM(E130:E139)</f>
        <v>47.059999999999995</v>
      </c>
      <c r="F140" s="172"/>
      <c r="G140" s="17">
        <f t="shared" si="4"/>
        <v>0</v>
      </c>
      <c r="H140" s="17"/>
      <c r="I140" s="170"/>
    </row>
    <row r="141" spans="1:9" ht="15.75" customHeight="1">
      <c r="A141" s="190" t="s">
        <v>111</v>
      </c>
      <c r="B141" s="190"/>
      <c r="C141" s="163"/>
      <c r="D141" s="23"/>
      <c r="E141" s="22"/>
      <c r="F141" s="22"/>
      <c r="G141" s="17"/>
      <c r="H141" s="22">
        <f>H99+H110+H121+H125+H129</f>
        <v>8083.1600000000008</v>
      </c>
      <c r="I141" s="170">
        <f>H141/$H$960*100</f>
        <v>2.0130605019173009</v>
      </c>
    </row>
    <row r="142" spans="1:9" s="52" customFormat="1" ht="12.75">
      <c r="A142" s="35" t="s">
        <v>75</v>
      </c>
      <c r="B142" s="36" t="s">
        <v>119</v>
      </c>
      <c r="C142" s="165"/>
      <c r="D142" s="38"/>
      <c r="E142" s="39"/>
      <c r="F142" s="17"/>
      <c r="G142" s="17"/>
      <c r="H142" s="40"/>
      <c r="I142" s="170"/>
    </row>
    <row r="143" spans="1:9" s="52" customFormat="1" ht="38.25">
      <c r="A143" s="33" t="s">
        <v>83</v>
      </c>
      <c r="B143" s="34" t="s">
        <v>151</v>
      </c>
      <c r="C143" s="54" t="s">
        <v>765</v>
      </c>
      <c r="D143" s="33" t="s">
        <v>109</v>
      </c>
      <c r="E143" s="32">
        <v>173.23</v>
      </c>
      <c r="F143" s="172">
        <v>53.5</v>
      </c>
      <c r="G143" s="17">
        <f>ROUND(F143*1.2522,2)</f>
        <v>66.989999999999995</v>
      </c>
      <c r="H143" s="187">
        <f>ROUND(E143*G143,2)</f>
        <v>11604.68</v>
      </c>
      <c r="I143" s="170">
        <f>H143/$H$960*100</f>
        <v>2.8900730587282277</v>
      </c>
    </row>
    <row r="144" spans="1:9" s="52" customFormat="1" ht="25.5" hidden="1">
      <c r="A144" s="16"/>
      <c r="B144" s="50" t="s">
        <v>526</v>
      </c>
      <c r="C144" s="164"/>
      <c r="D144" s="16"/>
      <c r="E144" s="17"/>
      <c r="F144" s="17"/>
      <c r="G144" s="17">
        <v>0</v>
      </c>
      <c r="H144" s="17"/>
      <c r="I144" s="170"/>
    </row>
    <row r="145" spans="1:9" s="52" customFormat="1" ht="12.75" hidden="1">
      <c r="A145" s="16"/>
      <c r="B145" s="27" t="s">
        <v>528</v>
      </c>
      <c r="C145" s="164"/>
      <c r="D145" s="16"/>
      <c r="E145" s="17">
        <f>11.45*3</f>
        <v>34.349999999999994</v>
      </c>
      <c r="F145" s="17"/>
      <c r="G145" s="17">
        <v>0</v>
      </c>
      <c r="H145" s="17"/>
      <c r="I145" s="170"/>
    </row>
    <row r="146" spans="1:9" s="52" customFormat="1" ht="12.75" hidden="1">
      <c r="A146" s="16"/>
      <c r="B146" s="50" t="s">
        <v>527</v>
      </c>
      <c r="C146" s="164"/>
      <c r="D146" s="16"/>
      <c r="E146" s="17"/>
      <c r="F146" s="17"/>
      <c r="G146" s="17">
        <v>0</v>
      </c>
      <c r="H146" s="17"/>
      <c r="I146" s="170"/>
    </row>
    <row r="147" spans="1:9" s="52" customFormat="1" ht="12.75" hidden="1">
      <c r="A147" s="16"/>
      <c r="B147" s="50" t="s">
        <v>530</v>
      </c>
      <c r="C147" s="164"/>
      <c r="D147" s="16"/>
      <c r="E147" s="17"/>
      <c r="F147" s="17"/>
      <c r="G147" s="17">
        <v>0</v>
      </c>
      <c r="H147" s="17"/>
      <c r="I147" s="170"/>
    </row>
    <row r="148" spans="1:9" s="52" customFormat="1" ht="12.75" hidden="1">
      <c r="A148" s="16"/>
      <c r="B148" s="27" t="s">
        <v>529</v>
      </c>
      <c r="C148" s="164"/>
      <c r="D148" s="16"/>
      <c r="E148" s="17">
        <f>0.3*2.1</f>
        <v>0.63</v>
      </c>
      <c r="F148" s="17"/>
      <c r="G148" s="17">
        <v>0</v>
      </c>
      <c r="H148" s="17"/>
      <c r="I148" s="170"/>
    </row>
    <row r="149" spans="1:9" s="52" customFormat="1" ht="12.75" hidden="1">
      <c r="A149" s="16"/>
      <c r="B149" s="50" t="s">
        <v>469</v>
      </c>
      <c r="C149" s="164"/>
      <c r="D149" s="16"/>
      <c r="E149" s="17"/>
      <c r="F149" s="17"/>
      <c r="G149" s="17">
        <v>0</v>
      </c>
      <c r="H149" s="17"/>
      <c r="I149" s="170"/>
    </row>
    <row r="150" spans="1:9" s="52" customFormat="1" ht="12.75" hidden="1">
      <c r="A150" s="16"/>
      <c r="B150" s="27" t="s">
        <v>531</v>
      </c>
      <c r="C150" s="164"/>
      <c r="D150" s="16"/>
      <c r="E150" s="17">
        <f>0.8*2*2.1</f>
        <v>3.3600000000000003</v>
      </c>
      <c r="F150" s="17"/>
      <c r="G150" s="17">
        <v>0</v>
      </c>
      <c r="H150" s="17"/>
      <c r="I150" s="170"/>
    </row>
    <row r="151" spans="1:9" s="52" customFormat="1" ht="12.75" hidden="1">
      <c r="A151" s="16"/>
      <c r="B151" s="27" t="s">
        <v>532</v>
      </c>
      <c r="C151" s="164"/>
      <c r="D151" s="16"/>
      <c r="E151" s="17"/>
      <c r="F151" s="17"/>
      <c r="G151" s="17">
        <v>0</v>
      </c>
      <c r="H151" s="17"/>
      <c r="I151" s="170"/>
    </row>
    <row r="152" spans="1:9" s="52" customFormat="1" ht="12.75" hidden="1">
      <c r="A152" s="16"/>
      <c r="B152" s="27" t="s">
        <v>533</v>
      </c>
      <c r="C152" s="164"/>
      <c r="D152" s="16"/>
      <c r="E152" s="17">
        <f>0.8*2.1</f>
        <v>1.6800000000000002</v>
      </c>
      <c r="F152" s="17"/>
      <c r="G152" s="17">
        <v>0</v>
      </c>
      <c r="H152" s="17"/>
      <c r="I152" s="170"/>
    </row>
    <row r="153" spans="1:9" s="52" customFormat="1" ht="12.75" hidden="1">
      <c r="A153" s="16"/>
      <c r="B153" s="51" t="s">
        <v>478</v>
      </c>
      <c r="C153" s="54"/>
      <c r="D153" s="32"/>
      <c r="E153" s="32"/>
      <c r="F153" s="17"/>
      <c r="G153" s="17">
        <v>0</v>
      </c>
      <c r="H153" s="17"/>
      <c r="I153" s="170"/>
    </row>
    <row r="154" spans="1:9" s="52" customFormat="1" ht="12.75" hidden="1">
      <c r="A154" s="16"/>
      <c r="B154" s="49" t="s">
        <v>534</v>
      </c>
      <c r="C154" s="54"/>
      <c r="D154" s="32"/>
      <c r="E154" s="32">
        <f>1.25*3*2+0.8*2.1</f>
        <v>9.18</v>
      </c>
      <c r="F154" s="17"/>
      <c r="G154" s="17">
        <v>0</v>
      </c>
      <c r="H154" s="17"/>
      <c r="I154" s="170"/>
    </row>
    <row r="155" spans="1:9" s="52" customFormat="1" ht="12.75" hidden="1">
      <c r="A155" s="16"/>
      <c r="B155" s="51" t="s">
        <v>476</v>
      </c>
      <c r="C155" s="54"/>
      <c r="D155" s="32"/>
      <c r="E155" s="32"/>
      <c r="F155" s="17"/>
      <c r="G155" s="17">
        <v>0</v>
      </c>
      <c r="H155" s="17"/>
      <c r="I155" s="170"/>
    </row>
    <row r="156" spans="1:9" s="52" customFormat="1" ht="12.75" hidden="1">
      <c r="A156" s="16"/>
      <c r="B156" s="49" t="s">
        <v>477</v>
      </c>
      <c r="C156" s="54"/>
      <c r="D156" s="32"/>
      <c r="E156" s="32">
        <f>(3.6+1.25)*3</f>
        <v>14.549999999999999</v>
      </c>
      <c r="F156" s="17"/>
      <c r="G156" s="17">
        <v>0</v>
      </c>
      <c r="H156" s="17"/>
      <c r="I156" s="170"/>
    </row>
    <row r="157" spans="1:9" s="52" customFormat="1" ht="12.75" hidden="1">
      <c r="A157" s="16"/>
      <c r="B157" s="49" t="s">
        <v>561</v>
      </c>
      <c r="C157" s="54"/>
      <c r="D157" s="32"/>
      <c r="E157" s="32"/>
      <c r="F157" s="17"/>
      <c r="G157" s="17">
        <v>0</v>
      </c>
      <c r="H157" s="17"/>
      <c r="I157" s="170"/>
    </row>
    <row r="158" spans="1:9" s="52" customFormat="1" ht="12.75" hidden="1">
      <c r="A158" s="16"/>
      <c r="B158" s="49" t="s">
        <v>562</v>
      </c>
      <c r="C158" s="54"/>
      <c r="D158" s="32"/>
      <c r="E158" s="32">
        <f>(22.35+9.85)*2*1.7</f>
        <v>109.48</v>
      </c>
      <c r="F158" s="17"/>
      <c r="G158" s="17">
        <v>0</v>
      </c>
      <c r="H158" s="17"/>
      <c r="I158" s="170"/>
    </row>
    <row r="159" spans="1:9" s="52" customFormat="1" ht="12.75" hidden="1">
      <c r="A159" s="16"/>
      <c r="B159" s="24" t="s">
        <v>463</v>
      </c>
      <c r="C159" s="54"/>
      <c r="D159" s="32"/>
      <c r="E159" s="40">
        <f>SUM(E145:E158)</f>
        <v>173.23</v>
      </c>
      <c r="F159" s="17"/>
      <c r="G159" s="17">
        <v>0</v>
      </c>
      <c r="H159" s="17"/>
      <c r="I159" s="170"/>
    </row>
    <row r="160" spans="1:9" s="52" customFormat="1" ht="12.75">
      <c r="A160" s="190" t="s">
        <v>111</v>
      </c>
      <c r="B160" s="190"/>
      <c r="C160" s="163"/>
      <c r="D160" s="23"/>
      <c r="E160" s="22"/>
      <c r="F160" s="22"/>
      <c r="G160" s="17"/>
      <c r="H160" s="22">
        <f>H143</f>
        <v>11604.68</v>
      </c>
      <c r="I160" s="170">
        <f>H160/$H$960*100</f>
        <v>2.8900730587282277</v>
      </c>
    </row>
    <row r="161" spans="1:9" s="52" customFormat="1" ht="12.75">
      <c r="A161" s="35" t="s">
        <v>76</v>
      </c>
      <c r="B161" s="36" t="s">
        <v>209</v>
      </c>
      <c r="C161" s="54"/>
      <c r="D161" s="33"/>
      <c r="E161" s="32"/>
      <c r="F161" s="172"/>
      <c r="G161" s="17"/>
      <c r="H161" s="32"/>
      <c r="I161" s="170"/>
    </row>
    <row r="162" spans="1:9" s="52" customFormat="1" ht="66" customHeight="1">
      <c r="A162" s="33" t="s">
        <v>80</v>
      </c>
      <c r="B162" s="25" t="s">
        <v>766</v>
      </c>
      <c r="C162" s="54">
        <v>73346</v>
      </c>
      <c r="D162" s="16" t="s">
        <v>199</v>
      </c>
      <c r="E162" s="17">
        <v>1.0900000000000001</v>
      </c>
      <c r="F162" s="17">
        <v>1613.99</v>
      </c>
      <c r="G162" s="17">
        <f t="shared" ref="G162:G195" si="6">ROUND(F162*1.2522,2)</f>
        <v>2021.04</v>
      </c>
      <c r="H162" s="187">
        <f t="shared" ref="H162:H195" si="7">ROUND(E162*G162,2)</f>
        <v>2202.9299999999998</v>
      </c>
      <c r="I162" s="170">
        <f>H162/$H$960*100</f>
        <v>0.54862595463762676</v>
      </c>
    </row>
    <row r="163" spans="1:9" s="52" customFormat="1" ht="12.75" hidden="1" customHeight="1">
      <c r="A163" s="16"/>
      <c r="B163" s="50" t="s">
        <v>541</v>
      </c>
      <c r="C163" s="164"/>
      <c r="D163" s="16"/>
      <c r="E163" s="17"/>
      <c r="F163" s="17"/>
      <c r="G163" s="17">
        <f t="shared" si="6"/>
        <v>0</v>
      </c>
      <c r="H163" s="187">
        <f t="shared" si="7"/>
        <v>0</v>
      </c>
      <c r="I163" s="170"/>
    </row>
    <row r="164" spans="1:9" s="52" customFormat="1" ht="12.75" hidden="1" customHeight="1">
      <c r="A164" s="16"/>
      <c r="B164" s="27" t="s">
        <v>542</v>
      </c>
      <c r="C164" s="164"/>
      <c r="D164" s="16"/>
      <c r="E164" s="17">
        <f>7*0.1*0.2*3.2</f>
        <v>0.44800000000000006</v>
      </c>
      <c r="F164" s="17"/>
      <c r="G164" s="17">
        <f t="shared" si="6"/>
        <v>0</v>
      </c>
      <c r="H164" s="187">
        <f t="shared" si="7"/>
        <v>0</v>
      </c>
      <c r="I164" s="170"/>
    </row>
    <row r="165" spans="1:9" s="52" customFormat="1" ht="12.75" hidden="1" customHeight="1">
      <c r="A165" s="16"/>
      <c r="B165" s="27" t="s">
        <v>563</v>
      </c>
      <c r="C165" s="164"/>
      <c r="D165" s="16"/>
      <c r="E165" s="17"/>
      <c r="F165" s="17"/>
      <c r="G165" s="17">
        <f t="shared" si="6"/>
        <v>0</v>
      </c>
      <c r="H165" s="187">
        <f t="shared" si="7"/>
        <v>0</v>
      </c>
      <c r="I165" s="170"/>
    </row>
    <row r="166" spans="1:9" s="52" customFormat="1" ht="12.75" hidden="1" customHeight="1">
      <c r="A166" s="16"/>
      <c r="B166" s="27" t="s">
        <v>564</v>
      </c>
      <c r="C166" s="164"/>
      <c r="D166" s="16"/>
      <c r="E166" s="17">
        <f>19*0.1*0.2*1.7</f>
        <v>0.64600000000000013</v>
      </c>
      <c r="F166" s="17"/>
      <c r="G166" s="17">
        <f t="shared" si="6"/>
        <v>0</v>
      </c>
      <c r="H166" s="187">
        <f t="shared" si="7"/>
        <v>0</v>
      </c>
      <c r="I166" s="170"/>
    </row>
    <row r="167" spans="1:9" s="52" customFormat="1" ht="12.75" hidden="1" customHeight="1">
      <c r="A167" s="33"/>
      <c r="B167" s="24" t="s">
        <v>463</v>
      </c>
      <c r="C167" s="54"/>
      <c r="D167" s="32"/>
      <c r="E167" s="40">
        <f>SUM(E164:E166)</f>
        <v>1.0940000000000003</v>
      </c>
      <c r="F167" s="17"/>
      <c r="G167" s="17">
        <f t="shared" si="6"/>
        <v>0</v>
      </c>
      <c r="H167" s="187">
        <f t="shared" si="7"/>
        <v>0</v>
      </c>
      <c r="I167" s="170"/>
    </row>
    <row r="168" spans="1:9" ht="66" customHeight="1">
      <c r="A168" s="33" t="s">
        <v>218</v>
      </c>
      <c r="B168" s="25" t="s">
        <v>767</v>
      </c>
      <c r="C168" s="54">
        <v>73346</v>
      </c>
      <c r="D168" s="16" t="s">
        <v>199</v>
      </c>
      <c r="E168" s="17">
        <v>1.03</v>
      </c>
      <c r="F168" s="17">
        <v>1613.99</v>
      </c>
      <c r="G168" s="17">
        <f t="shared" si="6"/>
        <v>2021.04</v>
      </c>
      <c r="H168" s="187">
        <f t="shared" si="7"/>
        <v>2081.67</v>
      </c>
      <c r="I168" s="170">
        <f>H168/$H$960*100</f>
        <v>0.51842690915758038</v>
      </c>
    </row>
    <row r="169" spans="1:9" ht="12.75" hidden="1" customHeight="1">
      <c r="A169" s="33"/>
      <c r="B169" s="50" t="s">
        <v>543</v>
      </c>
      <c r="C169" s="164"/>
      <c r="D169" s="16"/>
      <c r="E169" s="17"/>
      <c r="F169" s="17"/>
      <c r="G169" s="17">
        <f t="shared" si="6"/>
        <v>0</v>
      </c>
      <c r="H169" s="187">
        <f t="shared" si="7"/>
        <v>0</v>
      </c>
      <c r="I169" s="170"/>
    </row>
    <row r="170" spans="1:9" s="52" customFormat="1" ht="12.75" hidden="1" customHeight="1">
      <c r="A170" s="16"/>
      <c r="B170" s="27" t="s">
        <v>545</v>
      </c>
      <c r="C170" s="164"/>
      <c r="D170" s="16"/>
      <c r="E170" s="17"/>
      <c r="F170" s="17"/>
      <c r="G170" s="17">
        <f t="shared" si="6"/>
        <v>0</v>
      </c>
      <c r="H170" s="187">
        <f t="shared" si="7"/>
        <v>0</v>
      </c>
      <c r="I170" s="170"/>
    </row>
    <row r="171" spans="1:9" s="52" customFormat="1" ht="12.75" hidden="1" customHeight="1">
      <c r="A171" s="16"/>
      <c r="B171" s="50" t="s">
        <v>469</v>
      </c>
      <c r="C171" s="164"/>
      <c r="D171" s="16"/>
      <c r="E171" s="17"/>
      <c r="F171" s="17"/>
      <c r="G171" s="17">
        <f t="shared" si="6"/>
        <v>0</v>
      </c>
      <c r="H171" s="187">
        <f t="shared" si="7"/>
        <v>0</v>
      </c>
      <c r="I171" s="170"/>
    </row>
    <row r="172" spans="1:9" s="52" customFormat="1" ht="12.75" hidden="1" customHeight="1">
      <c r="A172" s="16"/>
      <c r="B172" s="27" t="s">
        <v>535</v>
      </c>
      <c r="C172" s="164"/>
      <c r="D172" s="16"/>
      <c r="E172" s="17">
        <f>1.4*0.1*0.2</f>
        <v>2.7999999999999997E-2</v>
      </c>
      <c r="F172" s="17"/>
      <c r="G172" s="17">
        <f t="shared" si="6"/>
        <v>0</v>
      </c>
      <c r="H172" s="187">
        <f t="shared" si="7"/>
        <v>0</v>
      </c>
      <c r="I172" s="170"/>
    </row>
    <row r="173" spans="1:9" s="52" customFormat="1" ht="12.75" hidden="1" customHeight="1">
      <c r="A173" s="16"/>
      <c r="B173" s="27" t="s">
        <v>532</v>
      </c>
      <c r="C173" s="164"/>
      <c r="D173" s="16"/>
      <c r="E173" s="17"/>
      <c r="F173" s="17"/>
      <c r="G173" s="17">
        <f t="shared" si="6"/>
        <v>0</v>
      </c>
      <c r="H173" s="187">
        <f t="shared" si="7"/>
        <v>0</v>
      </c>
      <c r="I173" s="170"/>
    </row>
    <row r="174" spans="1:9" s="52" customFormat="1" ht="12.75" hidden="1" customHeight="1">
      <c r="A174" s="16"/>
      <c r="B174" s="27" t="s">
        <v>536</v>
      </c>
      <c r="C174" s="164"/>
      <c r="D174" s="16"/>
      <c r="E174" s="17">
        <f>1*0.1*0.2</f>
        <v>2.0000000000000004E-2</v>
      </c>
      <c r="F174" s="17"/>
      <c r="G174" s="17">
        <f t="shared" si="6"/>
        <v>0</v>
      </c>
      <c r="H174" s="187">
        <f t="shared" si="7"/>
        <v>0</v>
      </c>
      <c r="I174" s="170"/>
    </row>
    <row r="175" spans="1:9" s="52" customFormat="1" ht="12.75" hidden="1" customHeight="1">
      <c r="A175" s="16"/>
      <c r="B175" s="27" t="s">
        <v>537</v>
      </c>
      <c r="C175" s="164"/>
      <c r="D175" s="16"/>
      <c r="E175" s="17"/>
      <c r="F175" s="17"/>
      <c r="G175" s="17">
        <f t="shared" si="6"/>
        <v>0</v>
      </c>
      <c r="H175" s="187">
        <f t="shared" si="7"/>
        <v>0</v>
      </c>
      <c r="I175" s="170"/>
    </row>
    <row r="176" spans="1:9" s="52" customFormat="1" ht="12.75" hidden="1" customHeight="1">
      <c r="A176" s="16"/>
      <c r="B176" s="27" t="s">
        <v>536</v>
      </c>
      <c r="C176" s="164"/>
      <c r="D176" s="16"/>
      <c r="E176" s="17">
        <f>1*0.1*0.2</f>
        <v>2.0000000000000004E-2</v>
      </c>
      <c r="F176" s="17"/>
      <c r="G176" s="17">
        <f t="shared" si="6"/>
        <v>0</v>
      </c>
      <c r="H176" s="187">
        <f t="shared" si="7"/>
        <v>0</v>
      </c>
      <c r="I176" s="170"/>
    </row>
    <row r="177" spans="1:9" s="52" customFormat="1" ht="12.75" hidden="1" customHeight="1">
      <c r="A177" s="33"/>
      <c r="B177" s="51" t="s">
        <v>478</v>
      </c>
      <c r="C177" s="54"/>
      <c r="D177" s="32"/>
      <c r="E177" s="32"/>
      <c r="F177" s="17"/>
      <c r="G177" s="17">
        <f t="shared" si="6"/>
        <v>0</v>
      </c>
      <c r="H177" s="187">
        <f t="shared" si="7"/>
        <v>0</v>
      </c>
      <c r="I177" s="170"/>
    </row>
    <row r="178" spans="1:9" s="52" customFormat="1" ht="12.75" hidden="1" customHeight="1">
      <c r="A178" s="33"/>
      <c r="B178" s="27" t="s">
        <v>536</v>
      </c>
      <c r="C178" s="164"/>
      <c r="D178" s="16"/>
      <c r="E178" s="17">
        <f>1*0.1*0.2</f>
        <v>2.0000000000000004E-2</v>
      </c>
      <c r="F178" s="17"/>
      <c r="G178" s="17">
        <f t="shared" si="6"/>
        <v>0</v>
      </c>
      <c r="H178" s="187">
        <f t="shared" si="7"/>
        <v>0</v>
      </c>
      <c r="I178" s="170"/>
    </row>
    <row r="179" spans="1:9" s="52" customFormat="1" ht="12.75" hidden="1" customHeight="1">
      <c r="A179" s="33"/>
      <c r="B179" s="51" t="s">
        <v>538</v>
      </c>
      <c r="C179" s="54"/>
      <c r="D179" s="32"/>
      <c r="E179" s="32"/>
      <c r="F179" s="17"/>
      <c r="G179" s="17">
        <f t="shared" si="6"/>
        <v>0</v>
      </c>
      <c r="H179" s="187">
        <f t="shared" si="7"/>
        <v>0</v>
      </c>
      <c r="I179" s="170"/>
    </row>
    <row r="180" spans="1:9" s="52" customFormat="1" ht="12.75" hidden="1" customHeight="1">
      <c r="A180" s="33"/>
      <c r="B180" s="49" t="s">
        <v>539</v>
      </c>
      <c r="C180" s="54"/>
      <c r="D180" s="32"/>
      <c r="E180" s="32">
        <f>3*0.1*0.2</f>
        <v>6.0000000000000012E-2</v>
      </c>
      <c r="F180" s="17"/>
      <c r="G180" s="17">
        <f t="shared" si="6"/>
        <v>0</v>
      </c>
      <c r="H180" s="187">
        <f t="shared" si="7"/>
        <v>0</v>
      </c>
      <c r="I180" s="170"/>
    </row>
    <row r="181" spans="1:9" s="52" customFormat="1" ht="12.75" hidden="1" customHeight="1">
      <c r="A181" s="33"/>
      <c r="B181" s="51" t="s">
        <v>540</v>
      </c>
      <c r="C181" s="54"/>
      <c r="D181" s="32"/>
      <c r="E181" s="32"/>
      <c r="F181" s="17"/>
      <c r="G181" s="17">
        <f t="shared" si="6"/>
        <v>0</v>
      </c>
      <c r="H181" s="187">
        <f t="shared" si="7"/>
        <v>0</v>
      </c>
      <c r="I181" s="170"/>
    </row>
    <row r="182" spans="1:9" s="52" customFormat="1" ht="12.75" hidden="1" customHeight="1">
      <c r="A182" s="33"/>
      <c r="B182" s="49" t="s">
        <v>535</v>
      </c>
      <c r="C182" s="54"/>
      <c r="D182" s="32"/>
      <c r="E182" s="32">
        <f>1.4*0.1*0.2</f>
        <v>2.7999999999999997E-2</v>
      </c>
      <c r="F182" s="17"/>
      <c r="G182" s="17">
        <f t="shared" si="6"/>
        <v>0</v>
      </c>
      <c r="H182" s="187">
        <f t="shared" si="7"/>
        <v>0</v>
      </c>
      <c r="I182" s="170"/>
    </row>
    <row r="183" spans="1:9" ht="12.75" hidden="1" customHeight="1">
      <c r="A183" s="33"/>
      <c r="B183" s="51" t="s">
        <v>546</v>
      </c>
      <c r="C183" s="54"/>
      <c r="D183" s="32"/>
      <c r="E183" s="32"/>
      <c r="F183" s="17"/>
      <c r="G183" s="17">
        <f t="shared" si="6"/>
        <v>0</v>
      </c>
      <c r="H183" s="187">
        <f t="shared" si="7"/>
        <v>0</v>
      </c>
      <c r="I183" s="170"/>
    </row>
    <row r="184" spans="1:9" ht="12.75" hidden="1" customHeight="1">
      <c r="A184" s="33"/>
      <c r="B184" s="49" t="s">
        <v>544</v>
      </c>
      <c r="C184" s="54"/>
      <c r="D184" s="32"/>
      <c r="E184" s="32">
        <f>11.45*0.1*0.3</f>
        <v>0.34349999999999997</v>
      </c>
      <c r="F184" s="17"/>
      <c r="G184" s="17">
        <f t="shared" si="6"/>
        <v>0</v>
      </c>
      <c r="H184" s="187">
        <f t="shared" si="7"/>
        <v>0</v>
      </c>
      <c r="I184" s="170"/>
    </row>
    <row r="185" spans="1:9" ht="12.75" hidden="1" customHeight="1">
      <c r="A185" s="33"/>
      <c r="B185" s="51" t="s">
        <v>547</v>
      </c>
      <c r="C185" s="54"/>
      <c r="D185" s="32"/>
      <c r="E185" s="32"/>
      <c r="F185" s="17"/>
      <c r="G185" s="17">
        <f t="shared" si="6"/>
        <v>0</v>
      </c>
      <c r="H185" s="187">
        <f t="shared" si="7"/>
        <v>0</v>
      </c>
      <c r="I185" s="170"/>
    </row>
    <row r="186" spans="1:9" ht="12.75" hidden="1" customHeight="1">
      <c r="A186" s="33"/>
      <c r="B186" s="51" t="s">
        <v>478</v>
      </c>
      <c r="C186" s="54"/>
      <c r="D186" s="32"/>
      <c r="E186" s="32"/>
      <c r="F186" s="17"/>
      <c r="G186" s="17">
        <f t="shared" si="6"/>
        <v>0</v>
      </c>
      <c r="H186" s="187">
        <f t="shared" si="7"/>
        <v>0</v>
      </c>
      <c r="I186" s="170"/>
    </row>
    <row r="187" spans="1:9" ht="12.75" hidden="1" customHeight="1">
      <c r="A187" s="33"/>
      <c r="B187" s="27" t="s">
        <v>550</v>
      </c>
      <c r="C187" s="164"/>
      <c r="D187" s="16"/>
      <c r="E187" s="17">
        <f>3.9*0.1*0.4</f>
        <v>0.15600000000000003</v>
      </c>
      <c r="F187" s="17"/>
      <c r="G187" s="17">
        <f t="shared" si="6"/>
        <v>0</v>
      </c>
      <c r="H187" s="187">
        <f t="shared" si="7"/>
        <v>0</v>
      </c>
      <c r="I187" s="170"/>
    </row>
    <row r="188" spans="1:9" ht="12.75" hidden="1" customHeight="1">
      <c r="A188" s="33"/>
      <c r="B188" s="51" t="s">
        <v>476</v>
      </c>
      <c r="C188" s="54"/>
      <c r="D188" s="32"/>
      <c r="E188" s="32"/>
      <c r="F188" s="17"/>
      <c r="G188" s="17">
        <f t="shared" si="6"/>
        <v>0</v>
      </c>
      <c r="H188" s="187">
        <f t="shared" si="7"/>
        <v>0</v>
      </c>
      <c r="I188" s="170"/>
    </row>
    <row r="189" spans="1:9" ht="12.75" hidden="1" customHeight="1">
      <c r="A189" s="33"/>
      <c r="B189" s="27" t="s">
        <v>550</v>
      </c>
      <c r="C189" s="164"/>
      <c r="D189" s="16"/>
      <c r="E189" s="17">
        <f>3.9*0.1*0.4</f>
        <v>0.15600000000000003</v>
      </c>
      <c r="F189" s="17"/>
      <c r="G189" s="17">
        <f t="shared" si="6"/>
        <v>0</v>
      </c>
      <c r="H189" s="187">
        <f t="shared" si="7"/>
        <v>0</v>
      </c>
      <c r="I189" s="170"/>
    </row>
    <row r="190" spans="1:9" ht="12.75" hidden="1" customHeight="1">
      <c r="A190" s="33"/>
      <c r="B190" s="50" t="s">
        <v>479</v>
      </c>
      <c r="C190" s="54"/>
      <c r="D190" s="32"/>
      <c r="E190" s="32"/>
      <c r="F190" s="17"/>
      <c r="G190" s="17">
        <f t="shared" si="6"/>
        <v>0</v>
      </c>
      <c r="H190" s="187">
        <f t="shared" si="7"/>
        <v>0</v>
      </c>
      <c r="I190" s="170"/>
    </row>
    <row r="191" spans="1:9" ht="12.75" hidden="1" customHeight="1">
      <c r="A191" s="33"/>
      <c r="B191" s="27" t="s">
        <v>551</v>
      </c>
      <c r="C191" s="164"/>
      <c r="D191" s="16"/>
      <c r="E191" s="17">
        <f>2.8*0.1*0.35</f>
        <v>9.799999999999999E-2</v>
      </c>
      <c r="F191" s="17"/>
      <c r="G191" s="17">
        <f t="shared" si="6"/>
        <v>0</v>
      </c>
      <c r="H191" s="187">
        <f t="shared" si="7"/>
        <v>0</v>
      </c>
      <c r="I191" s="170"/>
    </row>
    <row r="192" spans="1:9" ht="12.75" hidden="1" customHeight="1">
      <c r="A192" s="33"/>
      <c r="B192" s="51" t="s">
        <v>485</v>
      </c>
      <c r="C192" s="54"/>
      <c r="D192" s="32"/>
      <c r="E192" s="32"/>
      <c r="F192" s="17"/>
      <c r="G192" s="17">
        <f t="shared" si="6"/>
        <v>0</v>
      </c>
      <c r="H192" s="187">
        <f t="shared" si="7"/>
        <v>0</v>
      </c>
      <c r="I192" s="170"/>
    </row>
    <row r="193" spans="1:9" ht="12.75" hidden="1" customHeight="1">
      <c r="A193" s="33"/>
      <c r="B193" s="27" t="s">
        <v>551</v>
      </c>
      <c r="C193" s="164"/>
      <c r="D193" s="16"/>
      <c r="E193" s="17">
        <f>2.8*0.1*0.35</f>
        <v>9.799999999999999E-2</v>
      </c>
      <c r="F193" s="17"/>
      <c r="G193" s="17">
        <f t="shared" si="6"/>
        <v>0</v>
      </c>
      <c r="H193" s="187">
        <f t="shared" si="7"/>
        <v>0</v>
      </c>
      <c r="I193" s="170"/>
    </row>
    <row r="194" spans="1:9" ht="12.75" hidden="1" customHeight="1">
      <c r="A194" s="33"/>
      <c r="B194" s="24" t="s">
        <v>463</v>
      </c>
      <c r="C194" s="54"/>
      <c r="D194" s="32"/>
      <c r="E194" s="40">
        <f>SUM(E172:E193)</f>
        <v>1.0275000000000001</v>
      </c>
      <c r="F194" s="17"/>
      <c r="G194" s="17">
        <f t="shared" si="6"/>
        <v>0</v>
      </c>
      <c r="H194" s="187">
        <f t="shared" si="7"/>
        <v>0</v>
      </c>
      <c r="I194" s="170"/>
    </row>
    <row r="195" spans="1:9" ht="39" customHeight="1">
      <c r="A195" s="33" t="s">
        <v>219</v>
      </c>
      <c r="B195" s="25" t="s">
        <v>336</v>
      </c>
      <c r="C195" s="54" t="s">
        <v>746</v>
      </c>
      <c r="D195" s="54" t="s">
        <v>109</v>
      </c>
      <c r="E195" s="17">
        <v>25.44</v>
      </c>
      <c r="F195" s="184">
        <v>31.53</v>
      </c>
      <c r="G195" s="17">
        <f t="shared" si="6"/>
        <v>39.479999999999997</v>
      </c>
      <c r="H195" s="187">
        <f t="shared" si="7"/>
        <v>1004.37</v>
      </c>
      <c r="I195" s="170">
        <f>H195/$H$960*100</f>
        <v>0.25013207412827154</v>
      </c>
    </row>
    <row r="196" spans="1:9" ht="25.5" hidden="1" customHeight="1">
      <c r="A196" s="33"/>
      <c r="B196" s="25" t="s">
        <v>556</v>
      </c>
      <c r="C196" s="164"/>
      <c r="D196" s="32"/>
      <c r="E196" s="17"/>
      <c r="F196" s="17"/>
      <c r="G196" s="17">
        <v>0</v>
      </c>
      <c r="H196" s="17"/>
      <c r="I196" s="170"/>
    </row>
    <row r="197" spans="1:9" ht="12.75" hidden="1" customHeight="1">
      <c r="A197" s="33"/>
      <c r="B197" s="25" t="s">
        <v>555</v>
      </c>
      <c r="C197" s="164"/>
      <c r="D197" s="32"/>
      <c r="E197" s="17"/>
      <c r="F197" s="17"/>
      <c r="G197" s="17">
        <v>0</v>
      </c>
      <c r="H197" s="17"/>
      <c r="I197" s="170"/>
    </row>
    <row r="198" spans="1:9" ht="12.75" hidden="1" customHeight="1">
      <c r="A198" s="33"/>
      <c r="B198" s="27" t="s">
        <v>565</v>
      </c>
      <c r="C198" s="164"/>
      <c r="D198" s="16"/>
      <c r="E198" s="17">
        <f>(1.03+1.09)*12</f>
        <v>25.44</v>
      </c>
      <c r="F198" s="17"/>
      <c r="G198" s="17">
        <v>0</v>
      </c>
      <c r="H198" s="17"/>
      <c r="I198" s="170"/>
    </row>
    <row r="199" spans="1:9" ht="12.75" hidden="1" customHeight="1">
      <c r="A199" s="33"/>
      <c r="B199" s="24" t="s">
        <v>463</v>
      </c>
      <c r="C199" s="54"/>
      <c r="D199" s="32"/>
      <c r="E199" s="40">
        <f>SUM(E198)</f>
        <v>25.44</v>
      </c>
      <c r="F199" s="17"/>
      <c r="G199" s="17">
        <v>0</v>
      </c>
      <c r="H199" s="17"/>
      <c r="I199" s="170"/>
    </row>
    <row r="200" spans="1:9" ht="12.75">
      <c r="A200" s="190" t="s">
        <v>111</v>
      </c>
      <c r="B200" s="190"/>
      <c r="C200" s="163"/>
      <c r="D200" s="23"/>
      <c r="E200" s="22"/>
      <c r="F200" s="22"/>
      <c r="G200" s="17"/>
      <c r="H200" s="22">
        <f>H195+H168+H162</f>
        <v>5288.9699999999993</v>
      </c>
      <c r="I200" s="170">
        <f>H200/$H$960*100</f>
        <v>1.3171849379234786</v>
      </c>
    </row>
    <row r="201" spans="1:9" ht="12.75">
      <c r="A201" s="23" t="s">
        <v>77</v>
      </c>
      <c r="B201" s="18" t="s">
        <v>104</v>
      </c>
      <c r="C201" s="163"/>
      <c r="D201" s="16"/>
      <c r="E201" s="17"/>
      <c r="F201" s="17"/>
      <c r="G201" s="17"/>
      <c r="H201" s="17"/>
      <c r="I201" s="170"/>
    </row>
    <row r="202" spans="1:9" s="52" customFormat="1" ht="12.75" customHeight="1">
      <c r="A202" s="33" t="s">
        <v>84</v>
      </c>
      <c r="B202" s="178" t="s">
        <v>440</v>
      </c>
      <c r="C202" s="33" t="s">
        <v>795</v>
      </c>
      <c r="D202" s="33" t="s">
        <v>109</v>
      </c>
      <c r="E202" s="32">
        <v>285.99</v>
      </c>
      <c r="F202" s="172">
        <v>76.709999999999994</v>
      </c>
      <c r="G202" s="17">
        <f t="shared" ref="G202:G219" si="8">ROUND(F202*1.2522,2)</f>
        <v>96.06</v>
      </c>
      <c r="H202" s="187">
        <f t="shared" ref="H202:H219" si="9">ROUND(E202*G202,2)</f>
        <v>27472.2</v>
      </c>
      <c r="I202" s="170">
        <f>H202/$H$960*100</f>
        <v>6.8417797891879504</v>
      </c>
    </row>
    <row r="203" spans="1:9" s="52" customFormat="1" ht="25.5" hidden="1" customHeight="1">
      <c r="A203" s="33"/>
      <c r="B203" s="53" t="s">
        <v>557</v>
      </c>
      <c r="C203" s="54"/>
      <c r="D203" s="33"/>
      <c r="E203" s="32"/>
      <c r="F203" s="172"/>
      <c r="G203" s="17">
        <f t="shared" si="8"/>
        <v>0</v>
      </c>
      <c r="H203" s="187">
        <f t="shared" si="9"/>
        <v>0</v>
      </c>
      <c r="I203" s="170"/>
    </row>
    <row r="204" spans="1:9" s="52" customFormat="1" ht="12.75" hidden="1" customHeight="1">
      <c r="A204" s="33"/>
      <c r="B204" s="53" t="s">
        <v>558</v>
      </c>
      <c r="C204" s="54"/>
      <c r="D204" s="33"/>
      <c r="E204" s="32">
        <f>277.74+8.25</f>
        <v>285.99</v>
      </c>
      <c r="F204" s="172"/>
      <c r="G204" s="17">
        <f t="shared" si="8"/>
        <v>0</v>
      </c>
      <c r="H204" s="187">
        <f t="shared" si="9"/>
        <v>0</v>
      </c>
      <c r="I204" s="170"/>
    </row>
    <row r="205" spans="1:9" s="52" customFormat="1" ht="12.75" hidden="1" customHeight="1">
      <c r="A205" s="33"/>
      <c r="B205" s="24" t="s">
        <v>463</v>
      </c>
      <c r="C205" s="54"/>
      <c r="D205" s="32"/>
      <c r="E205" s="40">
        <f>SUM(E204)</f>
        <v>285.99</v>
      </c>
      <c r="F205" s="172"/>
      <c r="G205" s="17">
        <f t="shared" si="8"/>
        <v>0</v>
      </c>
      <c r="H205" s="187">
        <f t="shared" si="9"/>
        <v>0</v>
      </c>
      <c r="I205" s="170"/>
    </row>
    <row r="206" spans="1:9" s="52" customFormat="1" ht="24.75" customHeight="1">
      <c r="A206" s="33" t="s">
        <v>220</v>
      </c>
      <c r="B206" s="53" t="s">
        <v>442</v>
      </c>
      <c r="C206" s="54" t="s">
        <v>443</v>
      </c>
      <c r="D206" s="33" t="s">
        <v>109</v>
      </c>
      <c r="E206" s="32">
        <v>285.99</v>
      </c>
      <c r="F206" s="184">
        <v>28.69</v>
      </c>
      <c r="G206" s="17">
        <f t="shared" si="8"/>
        <v>35.93</v>
      </c>
      <c r="H206" s="187">
        <f t="shared" si="9"/>
        <v>10275.620000000001</v>
      </c>
      <c r="I206" s="170">
        <f>H206/$H$960*100</f>
        <v>2.5590789684617721</v>
      </c>
    </row>
    <row r="207" spans="1:9" s="52" customFormat="1" ht="12.75" hidden="1" customHeight="1">
      <c r="A207" s="33"/>
      <c r="B207" s="53" t="s">
        <v>559</v>
      </c>
      <c r="C207" s="54"/>
      <c r="D207" s="33"/>
      <c r="E207" s="32"/>
      <c r="F207" s="172"/>
      <c r="G207" s="17">
        <f t="shared" si="8"/>
        <v>0</v>
      </c>
      <c r="H207" s="187">
        <f t="shared" si="9"/>
        <v>0</v>
      </c>
      <c r="I207" s="170"/>
    </row>
    <row r="208" spans="1:9" s="52" customFormat="1" ht="12.75" hidden="1" customHeight="1">
      <c r="A208" s="33"/>
      <c r="B208" s="53" t="s">
        <v>560</v>
      </c>
      <c r="C208" s="54"/>
      <c r="D208" s="33"/>
      <c r="E208" s="32">
        <f>277.74+8.25</f>
        <v>285.99</v>
      </c>
      <c r="F208" s="172"/>
      <c r="G208" s="17">
        <f t="shared" si="8"/>
        <v>0</v>
      </c>
      <c r="H208" s="187">
        <f t="shared" si="9"/>
        <v>0</v>
      </c>
      <c r="I208" s="170"/>
    </row>
    <row r="209" spans="1:9" s="52" customFormat="1" ht="12.75" hidden="1" customHeight="1">
      <c r="A209" s="33"/>
      <c r="B209" s="24" t="s">
        <v>463</v>
      </c>
      <c r="C209" s="54"/>
      <c r="D209" s="32"/>
      <c r="E209" s="40">
        <f>SUM(E208)</f>
        <v>285.99</v>
      </c>
      <c r="F209" s="172"/>
      <c r="G209" s="17">
        <f t="shared" si="8"/>
        <v>0</v>
      </c>
      <c r="H209" s="187">
        <f t="shared" si="9"/>
        <v>0</v>
      </c>
      <c r="I209" s="170"/>
    </row>
    <row r="210" spans="1:9" s="52" customFormat="1" ht="27.75" customHeight="1">
      <c r="A210" s="33" t="s">
        <v>221</v>
      </c>
      <c r="B210" s="53" t="s">
        <v>444</v>
      </c>
      <c r="C210" s="54" t="s">
        <v>445</v>
      </c>
      <c r="D210" s="33" t="s">
        <v>81</v>
      </c>
      <c r="E210" s="32">
        <v>22.35</v>
      </c>
      <c r="F210" s="184">
        <v>19.23</v>
      </c>
      <c r="G210" s="17">
        <f t="shared" si="8"/>
        <v>24.08</v>
      </c>
      <c r="H210" s="187">
        <f t="shared" si="9"/>
        <v>538.19000000000005</v>
      </c>
      <c r="I210" s="170">
        <f>H210/$H$960*100</f>
        <v>0.13403285738830756</v>
      </c>
    </row>
    <row r="211" spans="1:9" s="52" customFormat="1" ht="25.5" hidden="1" customHeight="1">
      <c r="A211" s="33"/>
      <c r="B211" s="53" t="s">
        <v>566</v>
      </c>
      <c r="C211" s="54"/>
      <c r="D211" s="33"/>
      <c r="E211" s="32"/>
      <c r="F211" s="172"/>
      <c r="G211" s="17">
        <f t="shared" si="8"/>
        <v>0</v>
      </c>
      <c r="H211" s="187">
        <f t="shared" si="9"/>
        <v>0</v>
      </c>
      <c r="I211" s="170"/>
    </row>
    <row r="212" spans="1:9" s="52" customFormat="1" ht="12.75" hidden="1" customHeight="1">
      <c r="A212" s="33"/>
      <c r="B212" s="27" t="s">
        <v>567</v>
      </c>
      <c r="C212" s="54"/>
      <c r="D212" s="33"/>
      <c r="E212" s="32">
        <f>22.5-0.15</f>
        <v>22.35</v>
      </c>
      <c r="F212" s="172"/>
      <c r="G212" s="17">
        <f t="shared" si="8"/>
        <v>0</v>
      </c>
      <c r="H212" s="187">
        <f t="shared" si="9"/>
        <v>0</v>
      </c>
      <c r="I212" s="170"/>
    </row>
    <row r="213" spans="1:9" s="52" customFormat="1" ht="12.75" hidden="1" customHeight="1">
      <c r="A213" s="33"/>
      <c r="B213" s="24" t="s">
        <v>463</v>
      </c>
      <c r="C213" s="54"/>
      <c r="D213" s="32"/>
      <c r="E213" s="40">
        <f>SUM(E212)</f>
        <v>22.35</v>
      </c>
      <c r="F213" s="172"/>
      <c r="G213" s="17">
        <f t="shared" si="8"/>
        <v>0</v>
      </c>
      <c r="H213" s="187">
        <f t="shared" si="9"/>
        <v>0</v>
      </c>
      <c r="I213" s="170"/>
    </row>
    <row r="214" spans="1:9" s="52" customFormat="1" ht="25.5" customHeight="1">
      <c r="A214" s="33" t="s">
        <v>222</v>
      </c>
      <c r="B214" s="53" t="s">
        <v>446</v>
      </c>
      <c r="C214" s="54" t="s">
        <v>447</v>
      </c>
      <c r="D214" s="33" t="s">
        <v>81</v>
      </c>
      <c r="E214" s="32">
        <v>22.35</v>
      </c>
      <c r="F214" s="184">
        <v>28.86</v>
      </c>
      <c r="G214" s="17">
        <f t="shared" si="8"/>
        <v>36.14</v>
      </c>
      <c r="H214" s="187">
        <f t="shared" si="9"/>
        <v>807.73</v>
      </c>
      <c r="I214" s="170">
        <f>H214/$H$960*100</f>
        <v>0.20116011055251429</v>
      </c>
    </row>
    <row r="215" spans="1:9" s="52" customFormat="1" ht="12.75" hidden="1" customHeight="1">
      <c r="A215" s="33"/>
      <c r="B215" s="53" t="s">
        <v>605</v>
      </c>
      <c r="C215" s="54"/>
      <c r="D215" s="33"/>
      <c r="E215" s="32">
        <f>E210</f>
        <v>22.35</v>
      </c>
      <c r="F215" s="172"/>
      <c r="G215" s="17">
        <f t="shared" si="8"/>
        <v>0</v>
      </c>
      <c r="H215" s="187">
        <f t="shared" si="9"/>
        <v>0</v>
      </c>
      <c r="I215" s="170"/>
    </row>
    <row r="216" spans="1:9" s="52" customFormat="1" ht="25.5" customHeight="1">
      <c r="A216" s="33" t="s">
        <v>223</v>
      </c>
      <c r="B216" s="53" t="s">
        <v>448</v>
      </c>
      <c r="C216" s="54">
        <v>68058</v>
      </c>
      <c r="D216" s="33" t="s">
        <v>109</v>
      </c>
      <c r="E216" s="32">
        <v>5.85</v>
      </c>
      <c r="F216" s="184">
        <v>55.99</v>
      </c>
      <c r="G216" s="17">
        <f t="shared" si="8"/>
        <v>70.11</v>
      </c>
      <c r="H216" s="187">
        <f t="shared" si="9"/>
        <v>410.14</v>
      </c>
      <c r="I216" s="170">
        <f>H216/$H$960*100</f>
        <v>0.10214280482588019</v>
      </c>
    </row>
    <row r="217" spans="1:9" s="52" customFormat="1" ht="12.75" hidden="1" customHeight="1">
      <c r="A217" s="33"/>
      <c r="B217" s="53" t="s">
        <v>606</v>
      </c>
      <c r="C217" s="54"/>
      <c r="D217" s="33"/>
      <c r="E217" s="32">
        <f>(22.35+2*9.7)*0.14</f>
        <v>5.8450000000000006</v>
      </c>
      <c r="F217" s="172"/>
      <c r="G217" s="17">
        <f t="shared" si="8"/>
        <v>0</v>
      </c>
      <c r="H217" s="187">
        <f t="shared" si="9"/>
        <v>0</v>
      </c>
      <c r="I217" s="170"/>
    </row>
    <row r="218" spans="1:9" s="52" customFormat="1" ht="12.75" hidden="1" customHeight="1">
      <c r="A218" s="33"/>
      <c r="B218" s="24" t="s">
        <v>463</v>
      </c>
      <c r="C218" s="54"/>
      <c r="D218" s="32"/>
      <c r="E218" s="40">
        <f>SUM(E217)</f>
        <v>5.8450000000000006</v>
      </c>
      <c r="F218" s="172"/>
      <c r="G218" s="17">
        <f t="shared" si="8"/>
        <v>0</v>
      </c>
      <c r="H218" s="187">
        <f t="shared" si="9"/>
        <v>0</v>
      </c>
      <c r="I218" s="170"/>
    </row>
    <row r="219" spans="1:9" s="52" customFormat="1" ht="38.25" customHeight="1">
      <c r="A219" s="33" t="s">
        <v>450</v>
      </c>
      <c r="B219" s="53" t="s">
        <v>451</v>
      </c>
      <c r="C219" s="54">
        <v>71623</v>
      </c>
      <c r="D219" s="33" t="s">
        <v>81</v>
      </c>
      <c r="E219" s="32">
        <v>55</v>
      </c>
      <c r="F219" s="184">
        <v>21.84</v>
      </c>
      <c r="G219" s="17">
        <f t="shared" si="8"/>
        <v>27.35</v>
      </c>
      <c r="H219" s="187">
        <f t="shared" si="9"/>
        <v>1504.25</v>
      </c>
      <c r="I219" s="170">
        <f>H219/$H$960*100</f>
        <v>0.37462406534190834</v>
      </c>
    </row>
    <row r="220" spans="1:9" s="52" customFormat="1" ht="12.75" hidden="1" customHeight="1">
      <c r="A220" s="33"/>
      <c r="B220" s="53" t="s">
        <v>568</v>
      </c>
      <c r="C220" s="54"/>
      <c r="D220" s="33"/>
      <c r="E220" s="32">
        <f>(22.2+9.7)*2-8.8</f>
        <v>55</v>
      </c>
      <c r="F220" s="172"/>
      <c r="G220" s="17">
        <v>0</v>
      </c>
      <c r="H220" s="17"/>
      <c r="I220" s="170"/>
    </row>
    <row r="221" spans="1:9" ht="12.75">
      <c r="A221" s="190" t="s">
        <v>111</v>
      </c>
      <c r="B221" s="190"/>
      <c r="C221" s="163"/>
      <c r="D221" s="23"/>
      <c r="E221" s="22"/>
      <c r="F221" s="22"/>
      <c r="G221" s="17"/>
      <c r="H221" s="22">
        <f>H202+H206+H210+H214+H216+H219</f>
        <v>41008.130000000005</v>
      </c>
      <c r="I221" s="170">
        <f>H221/$H$960*100</f>
        <v>10.212818595758332</v>
      </c>
    </row>
    <row r="222" spans="1:9" s="52" customFormat="1" ht="12.75">
      <c r="A222" s="35" t="s">
        <v>78</v>
      </c>
      <c r="B222" s="36" t="s">
        <v>380</v>
      </c>
      <c r="C222" s="165"/>
      <c r="D222" s="38"/>
      <c r="E222" s="39"/>
      <c r="F222" s="17"/>
      <c r="G222" s="17"/>
      <c r="H222" s="40"/>
      <c r="I222" s="170"/>
    </row>
    <row r="223" spans="1:9" s="52" customFormat="1" ht="25.5">
      <c r="A223" s="33" t="s">
        <v>85</v>
      </c>
      <c r="B223" s="55" t="s">
        <v>769</v>
      </c>
      <c r="C223" s="54">
        <v>87875</v>
      </c>
      <c r="D223" s="33" t="s">
        <v>109</v>
      </c>
      <c r="E223" s="32">
        <v>629.95000000000005</v>
      </c>
      <c r="F223" s="172">
        <v>2.62</v>
      </c>
      <c r="G223" s="17">
        <f t="shared" ref="G223:G286" si="10">ROUND(F223*1.2522,2)</f>
        <v>3.28</v>
      </c>
      <c r="H223" s="187">
        <f t="shared" ref="H223:H286" si="11">ROUND(E223*G223,2)</f>
        <v>2066.2399999999998</v>
      </c>
      <c r="I223" s="170">
        <f>H223/$H$960*100</f>
        <v>0.5145841640499017</v>
      </c>
    </row>
    <row r="224" spans="1:9" s="52" customFormat="1" ht="12.75" hidden="1">
      <c r="A224" s="16"/>
      <c r="B224" s="51" t="s">
        <v>466</v>
      </c>
      <c r="C224" s="54"/>
      <c r="D224" s="32"/>
      <c r="E224" s="32"/>
      <c r="F224" s="172"/>
      <c r="G224" s="17">
        <f t="shared" si="10"/>
        <v>0</v>
      </c>
      <c r="H224" s="187">
        <f t="shared" si="11"/>
        <v>0</v>
      </c>
      <c r="I224" s="170"/>
    </row>
    <row r="225" spans="1:9" s="52" customFormat="1" ht="12.75" hidden="1">
      <c r="A225" s="16"/>
      <c r="B225" s="49" t="s">
        <v>572</v>
      </c>
      <c r="C225" s="54"/>
      <c r="D225" s="32"/>
      <c r="E225" s="32">
        <f>(5.55*2+2.2)*3</f>
        <v>39.900000000000006</v>
      </c>
      <c r="F225" s="172"/>
      <c r="G225" s="17">
        <f t="shared" si="10"/>
        <v>0</v>
      </c>
      <c r="H225" s="187">
        <f t="shared" si="11"/>
        <v>0</v>
      </c>
      <c r="I225" s="170"/>
    </row>
    <row r="226" spans="1:9" s="52" customFormat="1" ht="12.75" hidden="1">
      <c r="A226" s="16"/>
      <c r="B226" s="51" t="s">
        <v>469</v>
      </c>
      <c r="C226" s="54"/>
      <c r="D226" s="32"/>
      <c r="E226" s="32"/>
      <c r="F226" s="172"/>
      <c r="G226" s="17">
        <f t="shared" si="10"/>
        <v>0</v>
      </c>
      <c r="H226" s="187">
        <f t="shared" si="11"/>
        <v>0</v>
      </c>
      <c r="I226" s="170"/>
    </row>
    <row r="227" spans="1:9" s="52" customFormat="1" ht="12.75" hidden="1">
      <c r="A227" s="16"/>
      <c r="B227" s="49" t="s">
        <v>573</v>
      </c>
      <c r="C227" s="54"/>
      <c r="D227" s="32"/>
      <c r="E227" s="32">
        <f>(4.9*4+2.9*2+3.22*2)-(2*3)*3</f>
        <v>13.840000000000003</v>
      </c>
      <c r="F227" s="172"/>
      <c r="G227" s="17">
        <f t="shared" si="10"/>
        <v>0</v>
      </c>
      <c r="H227" s="187">
        <f t="shared" si="11"/>
        <v>0</v>
      </c>
      <c r="I227" s="170"/>
    </row>
    <row r="228" spans="1:9" s="52" customFormat="1" ht="12.75" hidden="1">
      <c r="A228" s="16"/>
      <c r="B228" s="51" t="s">
        <v>470</v>
      </c>
      <c r="C228" s="54"/>
      <c r="D228" s="32"/>
      <c r="E228" s="32"/>
      <c r="F228" s="172"/>
      <c r="G228" s="17">
        <f t="shared" si="10"/>
        <v>0</v>
      </c>
      <c r="H228" s="187">
        <f t="shared" si="11"/>
        <v>0</v>
      </c>
      <c r="I228" s="170"/>
    </row>
    <row r="229" spans="1:9" s="52" customFormat="1" ht="12.75" hidden="1">
      <c r="A229" s="16"/>
      <c r="B229" s="49" t="s">
        <v>574</v>
      </c>
      <c r="C229" s="54"/>
      <c r="D229" s="32"/>
      <c r="E229" s="32">
        <f>(2.9+4.9)*2*3</f>
        <v>46.800000000000004</v>
      </c>
      <c r="F229" s="172"/>
      <c r="G229" s="17">
        <f t="shared" si="10"/>
        <v>0</v>
      </c>
      <c r="H229" s="187">
        <f t="shared" si="11"/>
        <v>0</v>
      </c>
      <c r="I229" s="170"/>
    </row>
    <row r="230" spans="1:9" s="52" customFormat="1" ht="12.75" hidden="1">
      <c r="A230" s="16"/>
      <c r="B230" s="51" t="s">
        <v>530</v>
      </c>
      <c r="C230" s="54"/>
      <c r="D230" s="32"/>
      <c r="E230" s="32"/>
      <c r="F230" s="172"/>
      <c r="G230" s="17">
        <f t="shared" si="10"/>
        <v>0</v>
      </c>
      <c r="H230" s="187">
        <f t="shared" si="11"/>
        <v>0</v>
      </c>
      <c r="I230" s="170"/>
    </row>
    <row r="231" spans="1:9" s="52" customFormat="1" ht="12.75" hidden="1">
      <c r="A231" s="16"/>
      <c r="B231" s="49" t="s">
        <v>575</v>
      </c>
      <c r="C231" s="54"/>
      <c r="D231" s="32"/>
      <c r="E231" s="32">
        <f>(2.33+4.9)*2*3</f>
        <v>43.38</v>
      </c>
      <c r="F231" s="172">
        <v>4.3</v>
      </c>
      <c r="G231" s="17">
        <f t="shared" si="10"/>
        <v>5.38</v>
      </c>
      <c r="H231" s="187">
        <f t="shared" si="11"/>
        <v>233.38</v>
      </c>
      <c r="I231" s="170"/>
    </row>
    <row r="232" spans="1:9" s="52" customFormat="1" ht="12.75" hidden="1">
      <c r="A232" s="16"/>
      <c r="B232" s="51" t="s">
        <v>471</v>
      </c>
      <c r="C232" s="54"/>
      <c r="D232" s="32"/>
      <c r="E232" s="32"/>
      <c r="F232" s="172"/>
      <c r="G232" s="17">
        <f t="shared" si="10"/>
        <v>0</v>
      </c>
      <c r="H232" s="187">
        <f t="shared" si="11"/>
        <v>0</v>
      </c>
      <c r="I232" s="170"/>
    </row>
    <row r="233" spans="1:9" s="52" customFormat="1" ht="12.75" hidden="1">
      <c r="A233" s="16"/>
      <c r="B233" s="49" t="s">
        <v>575</v>
      </c>
      <c r="C233" s="54"/>
      <c r="D233" s="32"/>
      <c r="E233" s="32">
        <f>(2.33+4.9)*2*3</f>
        <v>43.38</v>
      </c>
      <c r="F233" s="172"/>
      <c r="G233" s="17">
        <f t="shared" si="10"/>
        <v>0</v>
      </c>
      <c r="H233" s="187">
        <f t="shared" si="11"/>
        <v>0</v>
      </c>
      <c r="I233" s="170"/>
    </row>
    <row r="234" spans="1:9" s="52" customFormat="1" ht="12.75" hidden="1">
      <c r="A234" s="16"/>
      <c r="B234" s="51" t="s">
        <v>472</v>
      </c>
      <c r="C234" s="54"/>
      <c r="D234" s="32"/>
      <c r="E234" s="32"/>
      <c r="F234" s="172"/>
      <c r="G234" s="17">
        <f t="shared" si="10"/>
        <v>0</v>
      </c>
      <c r="H234" s="187">
        <f t="shared" si="11"/>
        <v>0</v>
      </c>
      <c r="I234" s="170"/>
    </row>
    <row r="235" spans="1:9" s="52" customFormat="1" ht="12.75" hidden="1">
      <c r="A235" s="16"/>
      <c r="B235" s="49" t="s">
        <v>576</v>
      </c>
      <c r="C235" s="54"/>
      <c r="D235" s="32"/>
      <c r="E235" s="32">
        <f>(3.75+2.9)*2*3</f>
        <v>39.900000000000006</v>
      </c>
      <c r="F235" s="172"/>
      <c r="G235" s="17">
        <f t="shared" si="10"/>
        <v>0</v>
      </c>
      <c r="H235" s="187">
        <f t="shared" si="11"/>
        <v>0</v>
      </c>
      <c r="I235" s="170"/>
    </row>
    <row r="236" spans="1:9" s="52" customFormat="1" ht="12.75" hidden="1">
      <c r="A236" s="16"/>
      <c r="B236" s="51" t="s">
        <v>597</v>
      </c>
      <c r="C236" s="54"/>
      <c r="D236" s="32"/>
      <c r="E236" s="32"/>
      <c r="F236" s="172"/>
      <c r="G236" s="17">
        <f t="shared" si="10"/>
        <v>0</v>
      </c>
      <c r="H236" s="187">
        <f t="shared" si="11"/>
        <v>0</v>
      </c>
      <c r="I236" s="170"/>
    </row>
    <row r="237" spans="1:9" s="52" customFormat="1" ht="12.75" hidden="1">
      <c r="A237" s="16"/>
      <c r="B237" s="49" t="s">
        <v>598</v>
      </c>
      <c r="C237" s="54"/>
      <c r="D237" s="32"/>
      <c r="E237" s="32">
        <f>(1.2+2.3)*2*3</f>
        <v>21</v>
      </c>
      <c r="F237" s="172"/>
      <c r="G237" s="17">
        <f t="shared" si="10"/>
        <v>0</v>
      </c>
      <c r="H237" s="187">
        <f t="shared" si="11"/>
        <v>0</v>
      </c>
      <c r="I237" s="170"/>
    </row>
    <row r="238" spans="1:9" s="52" customFormat="1" ht="12.75" hidden="1">
      <c r="A238" s="16"/>
      <c r="B238" s="51" t="s">
        <v>473</v>
      </c>
      <c r="C238" s="54"/>
      <c r="D238" s="32"/>
      <c r="E238" s="32"/>
      <c r="F238" s="172"/>
      <c r="G238" s="17">
        <f t="shared" si="10"/>
        <v>0</v>
      </c>
      <c r="H238" s="187">
        <f t="shared" si="11"/>
        <v>0</v>
      </c>
      <c r="I238" s="170"/>
    </row>
    <row r="239" spans="1:9" s="52" customFormat="1" ht="12.75" hidden="1">
      <c r="A239" s="16"/>
      <c r="B239" s="49" t="s">
        <v>577</v>
      </c>
      <c r="C239" s="54"/>
      <c r="D239" s="32"/>
      <c r="E239" s="32">
        <f>(3.55+5.2)*2*3</f>
        <v>52.5</v>
      </c>
      <c r="F239" s="172"/>
      <c r="G239" s="17">
        <f t="shared" si="10"/>
        <v>0</v>
      </c>
      <c r="H239" s="187">
        <f t="shared" si="11"/>
        <v>0</v>
      </c>
      <c r="I239" s="170"/>
    </row>
    <row r="240" spans="1:9" s="52" customFormat="1" ht="12.75" hidden="1">
      <c r="A240" s="16"/>
      <c r="B240" s="51" t="s">
        <v>474</v>
      </c>
      <c r="C240" s="54"/>
      <c r="D240" s="32"/>
      <c r="E240" s="32"/>
      <c r="F240" s="172"/>
      <c r="G240" s="17">
        <f t="shared" si="10"/>
        <v>0</v>
      </c>
      <c r="H240" s="187">
        <f t="shared" si="11"/>
        <v>0</v>
      </c>
      <c r="I240" s="170"/>
    </row>
    <row r="241" spans="1:9" s="52" customFormat="1" ht="12.75" hidden="1">
      <c r="A241" s="16"/>
      <c r="B241" s="49" t="s">
        <v>578</v>
      </c>
      <c r="C241" s="54"/>
      <c r="D241" s="32"/>
      <c r="E241" s="32">
        <f>(2.23+2.45)*2*3</f>
        <v>28.08</v>
      </c>
      <c r="F241" s="172"/>
      <c r="G241" s="17">
        <f t="shared" si="10"/>
        <v>0</v>
      </c>
      <c r="H241" s="187">
        <f t="shared" si="11"/>
        <v>0</v>
      </c>
      <c r="I241" s="170"/>
    </row>
    <row r="242" spans="1:9" s="52" customFormat="1" ht="12.75" hidden="1">
      <c r="A242" s="16"/>
      <c r="B242" s="51" t="s">
        <v>476</v>
      </c>
      <c r="C242" s="54"/>
      <c r="D242" s="32"/>
      <c r="E242" s="32"/>
      <c r="F242" s="172"/>
      <c r="G242" s="17">
        <f t="shared" si="10"/>
        <v>0</v>
      </c>
      <c r="H242" s="187">
        <f t="shared" si="11"/>
        <v>0</v>
      </c>
      <c r="I242" s="170"/>
    </row>
    <row r="243" spans="1:9" s="52" customFormat="1" ht="12.75" hidden="1">
      <c r="A243" s="16"/>
      <c r="B243" s="49" t="s">
        <v>579</v>
      </c>
      <c r="C243" s="54"/>
      <c r="D243" s="32"/>
      <c r="E243" s="32">
        <f>(3.6+3.35)*2*3</f>
        <v>41.7</v>
      </c>
      <c r="F243" s="172"/>
      <c r="G243" s="17">
        <f t="shared" si="10"/>
        <v>0</v>
      </c>
      <c r="H243" s="187">
        <f t="shared" si="11"/>
        <v>0</v>
      </c>
      <c r="I243" s="170"/>
    </row>
    <row r="244" spans="1:9" s="52" customFormat="1" ht="12.75" hidden="1">
      <c r="A244" s="16"/>
      <c r="B244" s="51" t="s">
        <v>478</v>
      </c>
      <c r="C244" s="54"/>
      <c r="D244" s="32"/>
      <c r="E244" s="32"/>
      <c r="F244" s="172"/>
      <c r="G244" s="17">
        <f t="shared" si="10"/>
        <v>0</v>
      </c>
      <c r="H244" s="187">
        <f t="shared" si="11"/>
        <v>0</v>
      </c>
      <c r="I244" s="170"/>
    </row>
    <row r="245" spans="1:9" s="52" customFormat="1" ht="12.75" hidden="1">
      <c r="A245" s="16"/>
      <c r="B245" s="49" t="s">
        <v>580</v>
      </c>
      <c r="C245" s="54"/>
      <c r="D245" s="32"/>
      <c r="E245" s="32">
        <f>(2.65+3.6)*2*3</f>
        <v>37.5</v>
      </c>
      <c r="F245" s="172"/>
      <c r="G245" s="17">
        <f t="shared" si="10"/>
        <v>0</v>
      </c>
      <c r="H245" s="187">
        <f t="shared" si="11"/>
        <v>0</v>
      </c>
      <c r="I245" s="170"/>
    </row>
    <row r="246" spans="1:9" s="52" customFormat="1" ht="12.75" hidden="1">
      <c r="A246" s="16"/>
      <c r="B246" s="49" t="s">
        <v>479</v>
      </c>
      <c r="C246" s="54"/>
      <c r="D246" s="32"/>
      <c r="E246" s="32"/>
      <c r="F246" s="172"/>
      <c r="G246" s="17">
        <f t="shared" si="10"/>
        <v>0</v>
      </c>
      <c r="H246" s="187">
        <f t="shared" si="11"/>
        <v>0</v>
      </c>
      <c r="I246" s="170"/>
    </row>
    <row r="247" spans="1:9" s="52" customFormat="1" ht="12.75" hidden="1">
      <c r="A247" s="16"/>
      <c r="B247" s="49" t="s">
        <v>581</v>
      </c>
      <c r="C247" s="54"/>
      <c r="D247" s="32"/>
      <c r="E247" s="32">
        <f>(3.55+2.8)*2*3</f>
        <v>38.099999999999994</v>
      </c>
      <c r="F247" s="172"/>
      <c r="G247" s="17">
        <f t="shared" si="10"/>
        <v>0</v>
      </c>
      <c r="H247" s="187">
        <f t="shared" si="11"/>
        <v>0</v>
      </c>
      <c r="I247" s="170"/>
    </row>
    <row r="248" spans="1:9" s="52" customFormat="1" ht="12.75" hidden="1">
      <c r="A248" s="16"/>
      <c r="B248" s="49" t="s">
        <v>485</v>
      </c>
      <c r="C248" s="54"/>
      <c r="D248" s="32"/>
      <c r="E248" s="32"/>
      <c r="F248" s="172"/>
      <c r="G248" s="17">
        <f t="shared" si="10"/>
        <v>0</v>
      </c>
      <c r="H248" s="187">
        <f t="shared" si="11"/>
        <v>0</v>
      </c>
      <c r="I248" s="170"/>
    </row>
    <row r="249" spans="1:9" s="52" customFormat="1" ht="12.75" hidden="1">
      <c r="A249" s="16"/>
      <c r="B249" s="49" t="s">
        <v>581</v>
      </c>
      <c r="C249" s="54"/>
      <c r="D249" s="32"/>
      <c r="E249" s="32">
        <f>(3.55+2.8)*2*3</f>
        <v>38.099999999999994</v>
      </c>
      <c r="F249" s="172"/>
      <c r="G249" s="17">
        <f t="shared" si="10"/>
        <v>0</v>
      </c>
      <c r="H249" s="187">
        <f t="shared" si="11"/>
        <v>0</v>
      </c>
      <c r="I249" s="170"/>
    </row>
    <row r="250" spans="1:9" s="52" customFormat="1" ht="12.75" hidden="1">
      <c r="A250" s="16"/>
      <c r="B250" s="49" t="s">
        <v>486</v>
      </c>
      <c r="C250" s="54"/>
      <c r="D250" s="32"/>
      <c r="E250" s="32"/>
      <c r="F250" s="172"/>
      <c r="G250" s="17">
        <f t="shared" si="10"/>
        <v>0</v>
      </c>
      <c r="H250" s="187">
        <f t="shared" si="11"/>
        <v>0</v>
      </c>
      <c r="I250" s="170"/>
    </row>
    <row r="251" spans="1:9" s="52" customFormat="1" ht="12.75" hidden="1">
      <c r="A251" s="16"/>
      <c r="B251" s="49" t="s">
        <v>582</v>
      </c>
      <c r="C251" s="54"/>
      <c r="D251" s="32"/>
      <c r="E251" s="32">
        <f>(1.7+2.15)*2*3</f>
        <v>23.099999999999998</v>
      </c>
      <c r="F251" s="172"/>
      <c r="G251" s="17">
        <f t="shared" si="10"/>
        <v>0</v>
      </c>
      <c r="H251" s="187">
        <f t="shared" si="11"/>
        <v>0</v>
      </c>
      <c r="I251" s="170"/>
    </row>
    <row r="252" spans="1:9" s="52" customFormat="1" ht="12.75" hidden="1">
      <c r="A252" s="16"/>
      <c r="B252" s="49" t="s">
        <v>584</v>
      </c>
      <c r="C252" s="54"/>
      <c r="D252" s="32"/>
      <c r="E252" s="32"/>
      <c r="F252" s="172"/>
      <c r="G252" s="17">
        <f t="shared" si="10"/>
        <v>0</v>
      </c>
      <c r="H252" s="187">
        <f t="shared" si="11"/>
        <v>0</v>
      </c>
      <c r="I252" s="170"/>
    </row>
    <row r="253" spans="1:9" s="52" customFormat="1" ht="12.75" hidden="1">
      <c r="A253" s="16"/>
      <c r="B253" s="49" t="s">
        <v>583</v>
      </c>
      <c r="C253" s="54"/>
      <c r="D253" s="32"/>
      <c r="E253" s="32">
        <f>40.89*3</f>
        <v>122.67</v>
      </c>
      <c r="F253" s="172"/>
      <c r="G253" s="17">
        <f t="shared" si="10"/>
        <v>0</v>
      </c>
      <c r="H253" s="187">
        <f t="shared" si="11"/>
        <v>0</v>
      </c>
      <c r="I253" s="170"/>
    </row>
    <row r="254" spans="1:9" s="52" customFormat="1" ht="12.75" hidden="1">
      <c r="A254" s="16"/>
      <c r="B254" s="24" t="s">
        <v>463</v>
      </c>
      <c r="C254" s="54"/>
      <c r="D254" s="32"/>
      <c r="E254" s="40">
        <f>SUM(E225:E253)</f>
        <v>629.95000000000005</v>
      </c>
      <c r="F254" s="172"/>
      <c r="G254" s="17">
        <f t="shared" si="10"/>
        <v>0</v>
      </c>
      <c r="H254" s="187">
        <f t="shared" si="11"/>
        <v>0</v>
      </c>
      <c r="I254" s="170"/>
    </row>
    <row r="255" spans="1:9" s="52" customFormat="1" ht="38.25">
      <c r="A255" s="33" t="s">
        <v>86</v>
      </c>
      <c r="B255" s="55" t="s">
        <v>213</v>
      </c>
      <c r="C255" s="54">
        <v>87893</v>
      </c>
      <c r="D255" s="33" t="s">
        <v>109</v>
      </c>
      <c r="E255" s="32">
        <v>450.7</v>
      </c>
      <c r="F255" s="172">
        <v>3.99</v>
      </c>
      <c r="G255" s="17">
        <f t="shared" si="10"/>
        <v>5</v>
      </c>
      <c r="H255" s="187">
        <f t="shared" si="11"/>
        <v>2253.5</v>
      </c>
      <c r="I255" s="170">
        <f>H255/$H$960*100</f>
        <v>0.56122009722319455</v>
      </c>
    </row>
    <row r="256" spans="1:9" s="52" customFormat="1" ht="25.5" hidden="1">
      <c r="A256" s="33"/>
      <c r="B256" s="55" t="s">
        <v>569</v>
      </c>
      <c r="C256" s="54"/>
      <c r="D256" s="33"/>
      <c r="E256" s="32"/>
      <c r="F256" s="172"/>
      <c r="G256" s="17">
        <f t="shared" si="10"/>
        <v>0</v>
      </c>
      <c r="H256" s="187">
        <f t="shared" si="11"/>
        <v>0</v>
      </c>
      <c r="I256" s="170"/>
    </row>
    <row r="257" spans="1:9" s="52" customFormat="1" ht="12.75" hidden="1">
      <c r="A257" s="33"/>
      <c r="B257" s="49" t="s">
        <v>570</v>
      </c>
      <c r="C257" s="54"/>
      <c r="D257" s="33"/>
      <c r="E257" s="32">
        <f>(22.5+10+1.38)*2*3.42</f>
        <v>231.73920000000001</v>
      </c>
      <c r="F257" s="172"/>
      <c r="G257" s="17">
        <f t="shared" si="10"/>
        <v>0</v>
      </c>
      <c r="H257" s="187">
        <f t="shared" si="11"/>
        <v>0</v>
      </c>
      <c r="I257" s="170"/>
    </row>
    <row r="258" spans="1:9" s="52" customFormat="1" ht="12.75" hidden="1">
      <c r="A258" s="16"/>
      <c r="B258" s="49" t="s">
        <v>561</v>
      </c>
      <c r="C258" s="54"/>
      <c r="D258" s="32"/>
      <c r="E258" s="32"/>
      <c r="F258" s="17"/>
      <c r="G258" s="17">
        <f t="shared" si="10"/>
        <v>0</v>
      </c>
      <c r="H258" s="187">
        <f t="shared" si="11"/>
        <v>0</v>
      </c>
      <c r="I258" s="170"/>
    </row>
    <row r="259" spans="1:9" s="52" customFormat="1" ht="12.75" hidden="1">
      <c r="A259" s="16"/>
      <c r="B259" s="49" t="s">
        <v>571</v>
      </c>
      <c r="C259" s="54"/>
      <c r="D259" s="32"/>
      <c r="E259" s="32">
        <f>(22.35+9.85)*2*1.7*2</f>
        <v>218.96</v>
      </c>
      <c r="F259" s="17"/>
      <c r="G259" s="17">
        <f t="shared" si="10"/>
        <v>0</v>
      </c>
      <c r="H259" s="187">
        <f t="shared" si="11"/>
        <v>0</v>
      </c>
      <c r="I259" s="170"/>
    </row>
    <row r="260" spans="1:9" s="52" customFormat="1" ht="12.75" hidden="1">
      <c r="A260" s="16"/>
      <c r="B260" s="24" t="s">
        <v>463</v>
      </c>
      <c r="C260" s="54"/>
      <c r="D260" s="32"/>
      <c r="E260" s="40">
        <f>SUM(E257:E259)</f>
        <v>450.69920000000002</v>
      </c>
      <c r="F260" s="17"/>
      <c r="G260" s="17">
        <f t="shared" si="10"/>
        <v>0</v>
      </c>
      <c r="H260" s="187">
        <f t="shared" si="11"/>
        <v>0</v>
      </c>
      <c r="I260" s="170"/>
    </row>
    <row r="261" spans="1:9" s="52" customFormat="1" ht="25.5">
      <c r="A261" s="33" t="s">
        <v>126</v>
      </c>
      <c r="B261" s="53" t="s">
        <v>768</v>
      </c>
      <c r="C261" s="54">
        <v>87881</v>
      </c>
      <c r="D261" s="33" t="s">
        <v>109</v>
      </c>
      <c r="E261" s="32">
        <v>200.65</v>
      </c>
      <c r="F261" s="184">
        <v>2.65</v>
      </c>
      <c r="G261" s="17">
        <f t="shared" si="10"/>
        <v>3.32</v>
      </c>
      <c r="H261" s="187">
        <f t="shared" si="11"/>
        <v>666.16</v>
      </c>
      <c r="I261" s="170">
        <f>H261/$H$960*100</f>
        <v>0.16590298645050067</v>
      </c>
    </row>
    <row r="262" spans="1:9" s="52" customFormat="1" ht="12.75" hidden="1">
      <c r="A262" s="16"/>
      <c r="B262" s="51" t="s">
        <v>466</v>
      </c>
      <c r="C262" s="54"/>
      <c r="D262" s="32"/>
      <c r="E262" s="32"/>
      <c r="F262" s="172"/>
      <c r="G262" s="17">
        <f t="shared" si="10"/>
        <v>0</v>
      </c>
      <c r="H262" s="187">
        <f t="shared" si="11"/>
        <v>0</v>
      </c>
      <c r="I262" s="170"/>
    </row>
    <row r="263" spans="1:9" s="52" customFormat="1" ht="12.75" hidden="1">
      <c r="A263" s="16"/>
      <c r="B263" s="49" t="s">
        <v>585</v>
      </c>
      <c r="C263" s="54"/>
      <c r="D263" s="32"/>
      <c r="E263" s="32">
        <f>5.55*2.2</f>
        <v>12.21</v>
      </c>
      <c r="F263" s="172"/>
      <c r="G263" s="17">
        <f t="shared" si="10"/>
        <v>0</v>
      </c>
      <c r="H263" s="187">
        <f t="shared" si="11"/>
        <v>0</v>
      </c>
      <c r="I263" s="170"/>
    </row>
    <row r="264" spans="1:9" s="52" customFormat="1" ht="12.75" hidden="1">
      <c r="A264" s="16"/>
      <c r="B264" s="51" t="s">
        <v>469</v>
      </c>
      <c r="C264" s="54"/>
      <c r="D264" s="32"/>
      <c r="E264" s="32"/>
      <c r="F264" s="172"/>
      <c r="G264" s="17">
        <f t="shared" si="10"/>
        <v>0</v>
      </c>
      <c r="H264" s="187">
        <f t="shared" si="11"/>
        <v>0</v>
      </c>
      <c r="I264" s="170"/>
    </row>
    <row r="265" spans="1:9" s="52" customFormat="1" ht="12.75" hidden="1">
      <c r="A265" s="16"/>
      <c r="B265" s="49" t="s">
        <v>586</v>
      </c>
      <c r="C265" s="54"/>
      <c r="D265" s="32"/>
      <c r="E265" s="32">
        <v>34.26</v>
      </c>
      <c r="F265" s="172"/>
      <c r="G265" s="17">
        <f t="shared" si="10"/>
        <v>0</v>
      </c>
      <c r="H265" s="187">
        <f t="shared" si="11"/>
        <v>0</v>
      </c>
      <c r="I265" s="170"/>
    </row>
    <row r="266" spans="1:9" s="52" customFormat="1" ht="12.75" hidden="1">
      <c r="A266" s="16"/>
      <c r="B266" s="51" t="s">
        <v>470</v>
      </c>
      <c r="C266" s="54"/>
      <c r="D266" s="32"/>
      <c r="E266" s="32"/>
      <c r="F266" s="172"/>
      <c r="G266" s="17">
        <f t="shared" si="10"/>
        <v>0</v>
      </c>
      <c r="H266" s="187">
        <f t="shared" si="11"/>
        <v>0</v>
      </c>
      <c r="I266" s="170"/>
    </row>
    <row r="267" spans="1:9" s="52" customFormat="1" ht="12.75" hidden="1">
      <c r="A267" s="16"/>
      <c r="B267" s="49" t="s">
        <v>587</v>
      </c>
      <c r="C267" s="54"/>
      <c r="D267" s="32"/>
      <c r="E267" s="32">
        <v>15.51</v>
      </c>
      <c r="F267" s="172"/>
      <c r="G267" s="17">
        <f t="shared" si="10"/>
        <v>0</v>
      </c>
      <c r="H267" s="187">
        <f t="shared" si="11"/>
        <v>0</v>
      </c>
      <c r="I267" s="170"/>
    </row>
    <row r="268" spans="1:9" s="52" customFormat="1" ht="12.75" hidden="1">
      <c r="A268" s="16"/>
      <c r="B268" s="51" t="s">
        <v>530</v>
      </c>
      <c r="C268" s="54"/>
      <c r="D268" s="32"/>
      <c r="E268" s="32"/>
      <c r="F268" s="172"/>
      <c r="G268" s="17">
        <f t="shared" si="10"/>
        <v>0</v>
      </c>
      <c r="H268" s="187">
        <f t="shared" si="11"/>
        <v>0</v>
      </c>
      <c r="I268" s="170"/>
    </row>
    <row r="269" spans="1:9" s="52" customFormat="1" ht="12.75" hidden="1">
      <c r="A269" s="16"/>
      <c r="B269" s="49" t="s">
        <v>588</v>
      </c>
      <c r="C269" s="54"/>
      <c r="D269" s="32"/>
      <c r="E269" s="32">
        <v>12.43</v>
      </c>
      <c r="F269" s="172"/>
      <c r="G269" s="17">
        <f t="shared" si="10"/>
        <v>0</v>
      </c>
      <c r="H269" s="187">
        <f t="shared" si="11"/>
        <v>0</v>
      </c>
      <c r="I269" s="170"/>
    </row>
    <row r="270" spans="1:9" s="52" customFormat="1" ht="12.75" hidden="1">
      <c r="A270" s="16"/>
      <c r="B270" s="51" t="s">
        <v>471</v>
      </c>
      <c r="C270" s="54"/>
      <c r="D270" s="32"/>
      <c r="E270" s="32"/>
      <c r="F270" s="172"/>
      <c r="G270" s="17">
        <f t="shared" si="10"/>
        <v>0</v>
      </c>
      <c r="H270" s="187">
        <f t="shared" si="11"/>
        <v>0</v>
      </c>
      <c r="I270" s="170"/>
    </row>
    <row r="271" spans="1:9" s="52" customFormat="1" ht="12.75" hidden="1">
      <c r="A271" s="16"/>
      <c r="B271" s="49" t="s">
        <v>588</v>
      </c>
      <c r="C271" s="54"/>
      <c r="D271" s="32"/>
      <c r="E271" s="32">
        <v>12.43</v>
      </c>
      <c r="F271" s="172"/>
      <c r="G271" s="17">
        <f t="shared" si="10"/>
        <v>0</v>
      </c>
      <c r="H271" s="187">
        <f t="shared" si="11"/>
        <v>0</v>
      </c>
      <c r="I271" s="170"/>
    </row>
    <row r="272" spans="1:9" s="52" customFormat="1" ht="12.75" hidden="1">
      <c r="A272" s="16"/>
      <c r="B272" s="51" t="s">
        <v>472</v>
      </c>
      <c r="C272" s="54"/>
      <c r="D272" s="32"/>
      <c r="E272" s="32"/>
      <c r="F272" s="172"/>
      <c r="G272" s="17">
        <f t="shared" si="10"/>
        <v>0</v>
      </c>
      <c r="H272" s="187">
        <f t="shared" si="11"/>
        <v>0</v>
      </c>
      <c r="I272" s="170"/>
    </row>
    <row r="273" spans="1:9" s="52" customFormat="1" ht="12.75" hidden="1">
      <c r="A273" s="16"/>
      <c r="B273" s="49" t="s">
        <v>589</v>
      </c>
      <c r="C273" s="54"/>
      <c r="D273" s="32"/>
      <c r="E273" s="32">
        <v>10.87</v>
      </c>
      <c r="F273" s="172"/>
      <c r="G273" s="17">
        <f t="shared" si="10"/>
        <v>0</v>
      </c>
      <c r="H273" s="187">
        <f t="shared" si="11"/>
        <v>0</v>
      </c>
      <c r="I273" s="170"/>
    </row>
    <row r="274" spans="1:9" s="52" customFormat="1" ht="12.75" hidden="1">
      <c r="A274" s="16"/>
      <c r="B274" s="51" t="s">
        <v>597</v>
      </c>
      <c r="C274" s="54"/>
      <c r="D274" s="32"/>
      <c r="E274" s="32"/>
      <c r="F274" s="172"/>
      <c r="G274" s="17">
        <f t="shared" si="10"/>
        <v>0</v>
      </c>
      <c r="H274" s="187">
        <f t="shared" si="11"/>
        <v>0</v>
      </c>
      <c r="I274" s="170"/>
    </row>
    <row r="275" spans="1:9" s="52" customFormat="1" ht="12.75" hidden="1">
      <c r="A275" s="16"/>
      <c r="B275" s="49" t="s">
        <v>607</v>
      </c>
      <c r="C275" s="54"/>
      <c r="D275" s="32"/>
      <c r="E275" s="32">
        <v>2.76</v>
      </c>
      <c r="F275" s="172"/>
      <c r="G275" s="17">
        <f t="shared" si="10"/>
        <v>0</v>
      </c>
      <c r="H275" s="187">
        <f t="shared" si="11"/>
        <v>0</v>
      </c>
      <c r="I275" s="170"/>
    </row>
    <row r="276" spans="1:9" s="52" customFormat="1" ht="12.75" hidden="1">
      <c r="A276" s="16"/>
      <c r="B276" s="51" t="s">
        <v>473</v>
      </c>
      <c r="C276" s="54"/>
      <c r="D276" s="32"/>
      <c r="E276" s="32"/>
      <c r="F276" s="172"/>
      <c r="G276" s="17">
        <f t="shared" si="10"/>
        <v>0</v>
      </c>
      <c r="H276" s="187">
        <f t="shared" si="11"/>
        <v>0</v>
      </c>
      <c r="I276" s="170"/>
    </row>
    <row r="277" spans="1:9" s="52" customFormat="1" ht="12.75" hidden="1">
      <c r="A277" s="16"/>
      <c r="B277" s="49" t="s">
        <v>590</v>
      </c>
      <c r="C277" s="54"/>
      <c r="D277" s="32"/>
      <c r="E277" s="32">
        <v>18.46</v>
      </c>
      <c r="F277" s="172"/>
      <c r="G277" s="17">
        <f t="shared" si="10"/>
        <v>0</v>
      </c>
      <c r="H277" s="187">
        <f t="shared" si="11"/>
        <v>0</v>
      </c>
      <c r="I277" s="170"/>
    </row>
    <row r="278" spans="1:9" s="52" customFormat="1" ht="12.75" hidden="1">
      <c r="A278" s="16"/>
      <c r="B278" s="51" t="s">
        <v>474</v>
      </c>
      <c r="C278" s="54"/>
      <c r="D278" s="32"/>
      <c r="E278" s="32"/>
      <c r="F278" s="172"/>
      <c r="G278" s="17">
        <f t="shared" si="10"/>
        <v>0</v>
      </c>
      <c r="H278" s="187">
        <f t="shared" si="11"/>
        <v>0</v>
      </c>
      <c r="I278" s="170"/>
    </row>
    <row r="279" spans="1:9" s="52" customFormat="1" ht="12.75" hidden="1">
      <c r="A279" s="16"/>
      <c r="B279" s="49" t="s">
        <v>591</v>
      </c>
      <c r="C279" s="54"/>
      <c r="D279" s="32"/>
      <c r="E279" s="32">
        <v>5.45</v>
      </c>
      <c r="F279" s="172"/>
      <c r="G279" s="17">
        <f t="shared" si="10"/>
        <v>0</v>
      </c>
      <c r="H279" s="187">
        <f t="shared" si="11"/>
        <v>0</v>
      </c>
      <c r="I279" s="170"/>
    </row>
    <row r="280" spans="1:9" s="52" customFormat="1" ht="12.75" hidden="1">
      <c r="A280" s="16"/>
      <c r="B280" s="51" t="s">
        <v>476</v>
      </c>
      <c r="C280" s="54"/>
      <c r="D280" s="32"/>
      <c r="E280" s="32"/>
      <c r="F280" s="172"/>
      <c r="G280" s="17">
        <f t="shared" si="10"/>
        <v>0</v>
      </c>
      <c r="H280" s="187">
        <f t="shared" si="11"/>
        <v>0</v>
      </c>
      <c r="I280" s="170"/>
    </row>
    <row r="281" spans="1:9" s="52" customFormat="1" ht="12.75" hidden="1">
      <c r="A281" s="16"/>
      <c r="B281" s="49" t="s">
        <v>592</v>
      </c>
      <c r="C281" s="54"/>
      <c r="D281" s="32"/>
      <c r="E281" s="32">
        <v>12.06</v>
      </c>
      <c r="F281" s="172"/>
      <c r="G281" s="17">
        <f t="shared" si="10"/>
        <v>0</v>
      </c>
      <c r="H281" s="187">
        <f t="shared" si="11"/>
        <v>0</v>
      </c>
      <c r="I281" s="170"/>
    </row>
    <row r="282" spans="1:9" s="52" customFormat="1" ht="12.75" hidden="1">
      <c r="A282" s="16"/>
      <c r="B282" s="51" t="s">
        <v>478</v>
      </c>
      <c r="C282" s="54"/>
      <c r="D282" s="32"/>
      <c r="E282" s="32"/>
      <c r="F282" s="172"/>
      <c r="G282" s="17">
        <f t="shared" si="10"/>
        <v>0</v>
      </c>
      <c r="H282" s="187">
        <f t="shared" si="11"/>
        <v>0</v>
      </c>
      <c r="I282" s="170"/>
    </row>
    <row r="283" spans="1:9" s="52" customFormat="1" ht="12.75" hidden="1">
      <c r="A283" s="16"/>
      <c r="B283" s="49" t="s">
        <v>593</v>
      </c>
      <c r="C283" s="54"/>
      <c r="D283" s="32"/>
      <c r="E283" s="32">
        <v>9.52</v>
      </c>
      <c r="F283" s="172"/>
      <c r="G283" s="17">
        <f t="shared" si="10"/>
        <v>0</v>
      </c>
      <c r="H283" s="187">
        <f t="shared" si="11"/>
        <v>0</v>
      </c>
      <c r="I283" s="170"/>
    </row>
    <row r="284" spans="1:9" s="52" customFormat="1" ht="12.75" hidden="1">
      <c r="A284" s="16"/>
      <c r="B284" s="49" t="s">
        <v>479</v>
      </c>
      <c r="C284" s="54"/>
      <c r="D284" s="32"/>
      <c r="E284" s="32"/>
      <c r="F284" s="172"/>
      <c r="G284" s="17">
        <f t="shared" si="10"/>
        <v>0</v>
      </c>
      <c r="H284" s="187">
        <f t="shared" si="11"/>
        <v>0</v>
      </c>
      <c r="I284" s="170"/>
    </row>
    <row r="285" spans="1:9" s="52" customFormat="1" ht="12.75" hidden="1">
      <c r="A285" s="16"/>
      <c r="B285" s="49" t="s">
        <v>594</v>
      </c>
      <c r="C285" s="54"/>
      <c r="D285" s="32"/>
      <c r="E285" s="32">
        <v>9.94</v>
      </c>
      <c r="F285" s="172"/>
      <c r="G285" s="17">
        <f t="shared" si="10"/>
        <v>0</v>
      </c>
      <c r="H285" s="187">
        <f t="shared" si="11"/>
        <v>0</v>
      </c>
      <c r="I285" s="170"/>
    </row>
    <row r="286" spans="1:9" s="52" customFormat="1" ht="12.75" hidden="1">
      <c r="A286" s="16"/>
      <c r="B286" s="49" t="s">
        <v>485</v>
      </c>
      <c r="C286" s="54"/>
      <c r="D286" s="32"/>
      <c r="E286" s="32"/>
      <c r="F286" s="172"/>
      <c r="G286" s="17">
        <f t="shared" si="10"/>
        <v>0</v>
      </c>
      <c r="H286" s="187">
        <f t="shared" si="11"/>
        <v>0</v>
      </c>
      <c r="I286" s="170"/>
    </row>
    <row r="287" spans="1:9" s="52" customFormat="1" ht="12.75" hidden="1">
      <c r="A287" s="16"/>
      <c r="B287" s="49" t="s">
        <v>594</v>
      </c>
      <c r="C287" s="54"/>
      <c r="D287" s="32"/>
      <c r="E287" s="32">
        <v>9.94</v>
      </c>
      <c r="F287" s="172"/>
      <c r="G287" s="17">
        <f t="shared" ref="G287:G315" si="12">ROUND(F287*1.2522,2)</f>
        <v>0</v>
      </c>
      <c r="H287" s="187">
        <f t="shared" ref="H287:H315" si="13">ROUND(E287*G287,2)</f>
        <v>0</v>
      </c>
      <c r="I287" s="170"/>
    </row>
    <row r="288" spans="1:9" s="52" customFormat="1" ht="12.75" hidden="1">
      <c r="A288" s="16"/>
      <c r="B288" s="49" t="s">
        <v>486</v>
      </c>
      <c r="C288" s="54"/>
      <c r="D288" s="32"/>
      <c r="E288" s="32"/>
      <c r="F288" s="172"/>
      <c r="G288" s="17">
        <f t="shared" si="12"/>
        <v>0</v>
      </c>
      <c r="H288" s="187">
        <f t="shared" si="13"/>
        <v>0</v>
      </c>
      <c r="I288" s="170"/>
    </row>
    <row r="289" spans="1:9" s="52" customFormat="1" ht="12.75" hidden="1">
      <c r="A289" s="16"/>
      <c r="B289" s="49" t="s">
        <v>595</v>
      </c>
      <c r="C289" s="54"/>
      <c r="D289" s="32"/>
      <c r="E289" s="32">
        <v>3.65</v>
      </c>
      <c r="F289" s="172"/>
      <c r="G289" s="17">
        <f t="shared" si="12"/>
        <v>0</v>
      </c>
      <c r="H289" s="187">
        <f t="shared" si="13"/>
        <v>0</v>
      </c>
      <c r="I289" s="170"/>
    </row>
    <row r="290" spans="1:9" s="52" customFormat="1" ht="12.75" hidden="1">
      <c r="A290" s="16"/>
      <c r="B290" s="49" t="s">
        <v>584</v>
      </c>
      <c r="C290" s="54"/>
      <c r="D290" s="32"/>
      <c r="E290" s="32"/>
      <c r="F290" s="172"/>
      <c r="G290" s="17">
        <f t="shared" si="12"/>
        <v>0</v>
      </c>
      <c r="H290" s="187">
        <f t="shared" si="13"/>
        <v>0</v>
      </c>
      <c r="I290" s="170"/>
    </row>
    <row r="291" spans="1:9" s="52" customFormat="1" ht="12.75" hidden="1">
      <c r="A291" s="16"/>
      <c r="B291" s="49" t="s">
        <v>596</v>
      </c>
      <c r="C291" s="54"/>
      <c r="D291" s="32"/>
      <c r="E291" s="32">
        <v>31.16</v>
      </c>
      <c r="F291" s="172"/>
      <c r="G291" s="17">
        <f t="shared" si="12"/>
        <v>0</v>
      </c>
      <c r="H291" s="187">
        <f t="shared" si="13"/>
        <v>0</v>
      </c>
      <c r="I291" s="170"/>
    </row>
    <row r="292" spans="1:9" s="52" customFormat="1" ht="12.75" hidden="1">
      <c r="A292" s="16"/>
      <c r="B292" s="24" t="s">
        <v>463</v>
      </c>
      <c r="C292" s="54"/>
      <c r="D292" s="32"/>
      <c r="E292" s="40">
        <f>SUM(E263:E291)</f>
        <v>200.65</v>
      </c>
      <c r="F292" s="172"/>
      <c r="G292" s="17">
        <f t="shared" si="12"/>
        <v>0</v>
      </c>
      <c r="H292" s="187">
        <f t="shared" si="13"/>
        <v>0</v>
      </c>
      <c r="I292" s="170"/>
    </row>
    <row r="293" spans="1:9" s="52" customFormat="1" ht="27" customHeight="1">
      <c r="A293" s="33" t="s">
        <v>127</v>
      </c>
      <c r="B293" s="53" t="s">
        <v>139</v>
      </c>
      <c r="C293" s="54">
        <v>84028</v>
      </c>
      <c r="D293" s="33" t="s">
        <v>109</v>
      </c>
      <c r="E293" s="32">
        <v>204.6</v>
      </c>
      <c r="F293" s="184">
        <v>37</v>
      </c>
      <c r="G293" s="17">
        <f t="shared" si="12"/>
        <v>46.33</v>
      </c>
      <c r="H293" s="187">
        <f t="shared" si="13"/>
        <v>9479.1200000000008</v>
      </c>
      <c r="I293" s="170">
        <f>H293/$H$960*100</f>
        <v>2.3607156192546386</v>
      </c>
    </row>
    <row r="294" spans="1:9" s="52" customFormat="1" ht="12.75" hidden="1" customHeight="1">
      <c r="A294" s="33"/>
      <c r="B294" s="51" t="s">
        <v>597</v>
      </c>
      <c r="C294" s="54"/>
      <c r="D294" s="32"/>
      <c r="E294" s="32"/>
      <c r="F294" s="172"/>
      <c r="G294" s="17">
        <f t="shared" si="12"/>
        <v>0</v>
      </c>
      <c r="H294" s="187">
        <f t="shared" si="13"/>
        <v>0</v>
      </c>
      <c r="I294" s="170"/>
    </row>
    <row r="295" spans="1:9" s="52" customFormat="1" ht="12.75" hidden="1" customHeight="1">
      <c r="A295" s="33"/>
      <c r="B295" s="49" t="s">
        <v>598</v>
      </c>
      <c r="C295" s="54"/>
      <c r="D295" s="32"/>
      <c r="E295" s="32">
        <f>(1.2+2.3)*2*3</f>
        <v>21</v>
      </c>
      <c r="F295" s="172"/>
      <c r="G295" s="17">
        <f t="shared" si="12"/>
        <v>0</v>
      </c>
      <c r="H295" s="187">
        <f t="shared" si="13"/>
        <v>0</v>
      </c>
      <c r="I295" s="170"/>
    </row>
    <row r="296" spans="1:9" s="52" customFormat="1" ht="12.75" hidden="1" customHeight="1">
      <c r="A296" s="33"/>
      <c r="B296" s="51" t="s">
        <v>470</v>
      </c>
      <c r="C296" s="54"/>
      <c r="D296" s="32"/>
      <c r="E296" s="32"/>
      <c r="F296" s="172"/>
      <c r="G296" s="17">
        <f t="shared" si="12"/>
        <v>0</v>
      </c>
      <c r="H296" s="187">
        <f t="shared" si="13"/>
        <v>0</v>
      </c>
      <c r="I296" s="170"/>
    </row>
    <row r="297" spans="1:9" s="52" customFormat="1" ht="12.75" hidden="1" customHeight="1">
      <c r="A297" s="33"/>
      <c r="B297" s="49" t="s">
        <v>574</v>
      </c>
      <c r="C297" s="54"/>
      <c r="D297" s="32"/>
      <c r="E297" s="32">
        <f>(2.9+4.9)*2*3</f>
        <v>46.800000000000004</v>
      </c>
      <c r="F297" s="172"/>
      <c r="G297" s="17">
        <f t="shared" si="12"/>
        <v>0</v>
      </c>
      <c r="H297" s="187">
        <f t="shared" si="13"/>
        <v>0</v>
      </c>
      <c r="I297" s="170"/>
    </row>
    <row r="298" spans="1:9" s="52" customFormat="1" ht="12.75" hidden="1" customHeight="1">
      <c r="A298" s="33"/>
      <c r="B298" s="49" t="s">
        <v>479</v>
      </c>
      <c r="C298" s="54"/>
      <c r="D298" s="32"/>
      <c r="E298" s="32"/>
      <c r="F298" s="172"/>
      <c r="G298" s="17">
        <f t="shared" si="12"/>
        <v>0</v>
      </c>
      <c r="H298" s="187">
        <f t="shared" si="13"/>
        <v>0</v>
      </c>
      <c r="I298" s="170"/>
    </row>
    <row r="299" spans="1:9" s="52" customFormat="1" ht="12.75" hidden="1" customHeight="1">
      <c r="A299" s="33"/>
      <c r="B299" s="49" t="s">
        <v>581</v>
      </c>
      <c r="C299" s="54"/>
      <c r="D299" s="32"/>
      <c r="E299" s="32">
        <f>(3.55+2.8)*2*3</f>
        <v>38.099999999999994</v>
      </c>
      <c r="F299" s="172"/>
      <c r="G299" s="17">
        <f t="shared" si="12"/>
        <v>0</v>
      </c>
      <c r="H299" s="187">
        <f t="shared" si="13"/>
        <v>0</v>
      </c>
      <c r="I299" s="170"/>
    </row>
    <row r="300" spans="1:9" s="52" customFormat="1" ht="12.75" hidden="1" customHeight="1">
      <c r="A300" s="33"/>
      <c r="B300" s="49" t="s">
        <v>485</v>
      </c>
      <c r="C300" s="54"/>
      <c r="D300" s="32"/>
      <c r="E300" s="32"/>
      <c r="F300" s="172"/>
      <c r="G300" s="17">
        <f t="shared" si="12"/>
        <v>0</v>
      </c>
      <c r="H300" s="187">
        <f t="shared" si="13"/>
        <v>0</v>
      </c>
      <c r="I300" s="170"/>
    </row>
    <row r="301" spans="1:9" s="52" customFormat="1" ht="12.75" hidden="1" customHeight="1">
      <c r="A301" s="33"/>
      <c r="B301" s="49" t="s">
        <v>581</v>
      </c>
      <c r="C301" s="54"/>
      <c r="D301" s="32"/>
      <c r="E301" s="32">
        <f>(3.55+2.8)*2*3</f>
        <v>38.099999999999994</v>
      </c>
      <c r="F301" s="172"/>
      <c r="G301" s="17">
        <f t="shared" si="12"/>
        <v>0</v>
      </c>
      <c r="H301" s="187">
        <f t="shared" si="13"/>
        <v>0</v>
      </c>
      <c r="I301" s="170"/>
    </row>
    <row r="302" spans="1:9" s="52" customFormat="1" ht="12.75" hidden="1" customHeight="1">
      <c r="A302" s="33"/>
      <c r="B302" s="49" t="s">
        <v>486</v>
      </c>
      <c r="C302" s="54"/>
      <c r="D302" s="32"/>
      <c r="E302" s="32"/>
      <c r="F302" s="172"/>
      <c r="G302" s="17">
        <f t="shared" si="12"/>
        <v>0</v>
      </c>
      <c r="H302" s="187">
        <f t="shared" si="13"/>
        <v>0</v>
      </c>
      <c r="I302" s="170"/>
    </row>
    <row r="303" spans="1:9" s="52" customFormat="1" ht="12.75" hidden="1" customHeight="1">
      <c r="A303" s="33"/>
      <c r="B303" s="49" t="s">
        <v>582</v>
      </c>
      <c r="C303" s="54"/>
      <c r="D303" s="32"/>
      <c r="E303" s="32">
        <f>(1.7+2.15)*2*3</f>
        <v>23.099999999999998</v>
      </c>
      <c r="F303" s="172"/>
      <c r="G303" s="17">
        <f t="shared" si="12"/>
        <v>0</v>
      </c>
      <c r="H303" s="187">
        <f t="shared" si="13"/>
        <v>0</v>
      </c>
      <c r="I303" s="170"/>
    </row>
    <row r="304" spans="1:9" s="52" customFormat="1" ht="12.75" hidden="1" customHeight="1">
      <c r="A304" s="33"/>
      <c r="B304" s="51" t="s">
        <v>478</v>
      </c>
      <c r="C304" s="54"/>
      <c r="D304" s="32"/>
      <c r="E304" s="32"/>
      <c r="F304" s="172"/>
      <c r="G304" s="17">
        <f t="shared" si="12"/>
        <v>0</v>
      </c>
      <c r="H304" s="187">
        <f t="shared" si="13"/>
        <v>0</v>
      </c>
      <c r="I304" s="170"/>
    </row>
    <row r="305" spans="1:9" s="52" customFormat="1" ht="12.75" hidden="1" customHeight="1">
      <c r="A305" s="33"/>
      <c r="B305" s="49" t="s">
        <v>580</v>
      </c>
      <c r="C305" s="54"/>
      <c r="D305" s="32"/>
      <c r="E305" s="32">
        <f>(2.65+3.6)*2*3</f>
        <v>37.5</v>
      </c>
      <c r="F305" s="172"/>
      <c r="G305" s="17">
        <f t="shared" si="12"/>
        <v>0</v>
      </c>
      <c r="H305" s="187">
        <f t="shared" si="13"/>
        <v>0</v>
      </c>
      <c r="I305" s="170"/>
    </row>
    <row r="306" spans="1:9" s="52" customFormat="1" ht="12.75" hidden="1" customHeight="1">
      <c r="A306" s="33"/>
      <c r="B306" s="24" t="s">
        <v>463</v>
      </c>
      <c r="C306" s="54"/>
      <c r="D306" s="32"/>
      <c r="E306" s="40">
        <f>SUM(E295:E305)</f>
        <v>204.6</v>
      </c>
      <c r="F306" s="172"/>
      <c r="G306" s="17">
        <f t="shared" si="12"/>
        <v>0</v>
      </c>
      <c r="H306" s="187">
        <f t="shared" si="13"/>
        <v>0</v>
      </c>
      <c r="I306" s="170"/>
    </row>
    <row r="307" spans="1:9" s="52" customFormat="1" ht="12.75" customHeight="1">
      <c r="A307" s="33" t="s">
        <v>128</v>
      </c>
      <c r="B307" s="177" t="s">
        <v>138</v>
      </c>
      <c r="C307" s="54" t="s">
        <v>728</v>
      </c>
      <c r="D307" s="33" t="s">
        <v>109</v>
      </c>
      <c r="E307" s="32">
        <v>472.15</v>
      </c>
      <c r="F307" s="172">
        <v>14.32</v>
      </c>
      <c r="G307" s="17">
        <f t="shared" si="12"/>
        <v>17.93</v>
      </c>
      <c r="H307" s="187">
        <f t="shared" si="13"/>
        <v>8465.65</v>
      </c>
      <c r="I307" s="170">
        <f>H307/$H$960*100</f>
        <v>2.108317246974722</v>
      </c>
    </row>
    <row r="308" spans="1:9" s="52" customFormat="1" ht="25.5" hidden="1" customHeight="1">
      <c r="A308" s="33"/>
      <c r="B308" s="55" t="s">
        <v>599</v>
      </c>
      <c r="C308" s="54"/>
      <c r="D308" s="33"/>
      <c r="E308" s="32"/>
      <c r="F308" s="172"/>
      <c r="G308" s="17">
        <f t="shared" si="12"/>
        <v>0</v>
      </c>
      <c r="H308" s="187">
        <f t="shared" si="13"/>
        <v>0</v>
      </c>
      <c r="I308" s="170"/>
    </row>
    <row r="309" spans="1:9" s="52" customFormat="1" ht="12.75" hidden="1" customHeight="1">
      <c r="A309" s="33"/>
      <c r="B309" s="49" t="s">
        <v>600</v>
      </c>
      <c r="C309" s="54"/>
      <c r="D309" s="33"/>
      <c r="E309" s="32">
        <f>629.95-157.8</f>
        <v>472.15000000000003</v>
      </c>
      <c r="F309" s="172"/>
      <c r="G309" s="17">
        <f t="shared" si="12"/>
        <v>0</v>
      </c>
      <c r="H309" s="187">
        <f t="shared" si="13"/>
        <v>0</v>
      </c>
      <c r="I309" s="170"/>
    </row>
    <row r="310" spans="1:9" s="52" customFormat="1" ht="12.75" hidden="1" customHeight="1">
      <c r="A310" s="33"/>
      <c r="B310" s="24" t="s">
        <v>463</v>
      </c>
      <c r="C310" s="54"/>
      <c r="D310" s="32"/>
      <c r="E310" s="40">
        <f>SUM(E309)</f>
        <v>472.15000000000003</v>
      </c>
      <c r="F310" s="172"/>
      <c r="G310" s="17">
        <f t="shared" si="12"/>
        <v>0</v>
      </c>
      <c r="H310" s="187">
        <f t="shared" si="13"/>
        <v>0</v>
      </c>
      <c r="I310" s="170"/>
    </row>
    <row r="311" spans="1:9" s="52" customFormat="1" ht="12.75" customHeight="1">
      <c r="A311" s="33" t="s">
        <v>153</v>
      </c>
      <c r="B311" s="55" t="s">
        <v>214</v>
      </c>
      <c r="C311" s="54" t="s">
        <v>728</v>
      </c>
      <c r="D311" s="33" t="s">
        <v>109</v>
      </c>
      <c r="E311" s="32">
        <v>450.7</v>
      </c>
      <c r="F311" s="172">
        <v>14.32</v>
      </c>
      <c r="G311" s="17">
        <f t="shared" si="12"/>
        <v>17.93</v>
      </c>
      <c r="H311" s="187">
        <f t="shared" si="13"/>
        <v>8081.05</v>
      </c>
      <c r="I311" s="170">
        <f>H311/$H$960*100</f>
        <v>2.0125350195986229</v>
      </c>
    </row>
    <row r="312" spans="1:9" s="52" customFormat="1" ht="12.75" hidden="1" customHeight="1">
      <c r="A312" s="33"/>
      <c r="B312" s="55" t="s">
        <v>601</v>
      </c>
      <c r="C312" s="54"/>
      <c r="D312" s="33"/>
      <c r="E312" s="32">
        <f>E255</f>
        <v>450.7</v>
      </c>
      <c r="F312" s="172"/>
      <c r="G312" s="17">
        <f t="shared" si="12"/>
        <v>0</v>
      </c>
      <c r="H312" s="187">
        <f t="shared" si="13"/>
        <v>0</v>
      </c>
      <c r="I312" s="170"/>
    </row>
    <row r="313" spans="1:9" s="52" customFormat="1" ht="26.25" customHeight="1">
      <c r="A313" s="33" t="s">
        <v>156</v>
      </c>
      <c r="B313" s="55" t="s">
        <v>141</v>
      </c>
      <c r="C313" s="54" t="s">
        <v>728</v>
      </c>
      <c r="D313" s="33" t="s">
        <v>109</v>
      </c>
      <c r="E313" s="32">
        <v>200.65</v>
      </c>
      <c r="F313" s="172">
        <v>14.32</v>
      </c>
      <c r="G313" s="17">
        <f t="shared" si="12"/>
        <v>17.93</v>
      </c>
      <c r="H313" s="187">
        <f t="shared" si="13"/>
        <v>3597.65</v>
      </c>
      <c r="I313" s="170">
        <f>H313/$H$960*100</f>
        <v>0.89597225772133393</v>
      </c>
    </row>
    <row r="314" spans="1:9" ht="12.75" hidden="1">
      <c r="A314" s="16"/>
      <c r="B314" s="55" t="s">
        <v>603</v>
      </c>
      <c r="C314" s="164"/>
      <c r="D314" s="16"/>
      <c r="E314" s="17">
        <f>E261</f>
        <v>200.65</v>
      </c>
      <c r="F314" s="17"/>
      <c r="G314" s="17">
        <f t="shared" si="12"/>
        <v>0</v>
      </c>
      <c r="H314" s="187">
        <f t="shared" si="13"/>
        <v>0</v>
      </c>
      <c r="I314" s="170"/>
    </row>
    <row r="315" spans="1:9" s="29" customFormat="1" ht="39" customHeight="1">
      <c r="A315" s="33" t="s">
        <v>157</v>
      </c>
      <c r="B315" s="178" t="s">
        <v>172</v>
      </c>
      <c r="C315" s="54">
        <v>87267</v>
      </c>
      <c r="D315" s="33" t="s">
        <v>109</v>
      </c>
      <c r="E315" s="32">
        <v>204.6</v>
      </c>
      <c r="F315" s="184">
        <v>33.53</v>
      </c>
      <c r="G315" s="17">
        <f t="shared" si="12"/>
        <v>41.99</v>
      </c>
      <c r="H315" s="187">
        <f t="shared" si="13"/>
        <v>8591.15</v>
      </c>
      <c r="I315" s="170">
        <f>H315/$H$960*100</f>
        <v>2.1395722379671835</v>
      </c>
    </row>
    <row r="316" spans="1:9" ht="12.75" hidden="1">
      <c r="A316" s="16"/>
      <c r="B316" s="27" t="s">
        <v>602</v>
      </c>
      <c r="C316" s="164"/>
      <c r="D316" s="16"/>
      <c r="E316" s="17">
        <f>E293</f>
        <v>204.6</v>
      </c>
      <c r="F316" s="17"/>
      <c r="G316" s="17">
        <v>0</v>
      </c>
      <c r="H316" s="17">
        <f>ROUND(E316*G316,2)</f>
        <v>0</v>
      </c>
      <c r="I316" s="170"/>
    </row>
    <row r="317" spans="1:9" s="29" customFormat="1" ht="12.75" hidden="1" customHeight="1">
      <c r="A317" s="33"/>
      <c r="B317" s="27" t="s">
        <v>604</v>
      </c>
      <c r="C317" s="54"/>
      <c r="D317" s="33"/>
      <c r="E317" s="32">
        <f>E315</f>
        <v>204.6</v>
      </c>
      <c r="F317" s="172"/>
      <c r="G317" s="17">
        <v>0</v>
      </c>
      <c r="H317" s="17">
        <f>ROUND(E317*G317,2)</f>
        <v>0</v>
      </c>
      <c r="I317" s="170"/>
    </row>
    <row r="318" spans="1:9" ht="12.75">
      <c r="A318" s="190" t="s">
        <v>111</v>
      </c>
      <c r="B318" s="190"/>
      <c r="C318" s="163"/>
      <c r="D318" s="23"/>
      <c r="E318" s="22"/>
      <c r="F318" s="22"/>
      <c r="G318" s="17"/>
      <c r="H318" s="22">
        <f>H223+H255+H261+H293+H307+H311+H313+H315</f>
        <v>43200.52</v>
      </c>
      <c r="I318" s="170">
        <f>H318/$H$960*100</f>
        <v>10.758819629240097</v>
      </c>
    </row>
    <row r="319" spans="1:9" s="29" customFormat="1" ht="12.75">
      <c r="A319" s="35" t="s">
        <v>79</v>
      </c>
      <c r="B319" s="36" t="s">
        <v>381</v>
      </c>
      <c r="C319" s="165"/>
      <c r="D319" s="38"/>
      <c r="E319" s="39"/>
      <c r="F319" s="17"/>
      <c r="G319" s="17"/>
      <c r="H319" s="40"/>
      <c r="I319" s="170"/>
    </row>
    <row r="320" spans="1:9" s="29" customFormat="1" ht="63.75">
      <c r="A320" s="33" t="s">
        <v>87</v>
      </c>
      <c r="B320" s="41" t="s">
        <v>182</v>
      </c>
      <c r="C320" s="54">
        <v>72186</v>
      </c>
      <c r="D320" s="33" t="s">
        <v>109</v>
      </c>
      <c r="E320" s="32">
        <v>164.84</v>
      </c>
      <c r="F320" s="184">
        <v>115.86</v>
      </c>
      <c r="G320" s="17">
        <f t="shared" ref="G320:G359" si="14">ROUND(F320*1.2522,2)</f>
        <v>145.08000000000001</v>
      </c>
      <c r="H320" s="187">
        <f t="shared" ref="H320:H359" si="15">ROUND(E320*G320,2)</f>
        <v>23914.99</v>
      </c>
      <c r="I320" s="170">
        <f>H320/$H$960*100</f>
        <v>5.9558788608350239</v>
      </c>
    </row>
    <row r="321" spans="1:9" s="29" customFormat="1" ht="12.75" hidden="1">
      <c r="A321" s="16"/>
      <c r="B321" s="51" t="s">
        <v>466</v>
      </c>
      <c r="C321" s="54"/>
      <c r="D321" s="32"/>
      <c r="E321" s="32"/>
      <c r="F321" s="172"/>
      <c r="G321" s="17">
        <f t="shared" si="14"/>
        <v>0</v>
      </c>
      <c r="H321" s="187">
        <f t="shared" si="15"/>
        <v>0</v>
      </c>
      <c r="I321" s="170"/>
    </row>
    <row r="322" spans="1:9" s="29" customFormat="1" ht="12.75" hidden="1">
      <c r="A322" s="16"/>
      <c r="B322" s="49" t="s">
        <v>585</v>
      </c>
      <c r="C322" s="54"/>
      <c r="D322" s="32"/>
      <c r="E322" s="32">
        <f>5.55*2.2</f>
        <v>12.21</v>
      </c>
      <c r="F322" s="172"/>
      <c r="G322" s="17">
        <f t="shared" si="14"/>
        <v>0</v>
      </c>
      <c r="H322" s="187">
        <f t="shared" si="15"/>
        <v>0</v>
      </c>
      <c r="I322" s="170"/>
    </row>
    <row r="323" spans="1:9" s="29" customFormat="1" ht="12.75" hidden="1">
      <c r="A323" s="16"/>
      <c r="B323" s="51" t="s">
        <v>469</v>
      </c>
      <c r="C323" s="54"/>
      <c r="D323" s="32"/>
      <c r="E323" s="32"/>
      <c r="F323" s="172"/>
      <c r="G323" s="17">
        <f t="shared" si="14"/>
        <v>0</v>
      </c>
      <c r="H323" s="187">
        <f t="shared" si="15"/>
        <v>0</v>
      </c>
      <c r="I323" s="170"/>
    </row>
    <row r="324" spans="1:9" s="29" customFormat="1" ht="12.75" hidden="1">
      <c r="A324" s="16"/>
      <c r="B324" s="49" t="s">
        <v>586</v>
      </c>
      <c r="C324" s="54"/>
      <c r="D324" s="32"/>
      <c r="E324" s="32">
        <v>34.26</v>
      </c>
      <c r="F324" s="172"/>
      <c r="G324" s="17">
        <f t="shared" si="14"/>
        <v>0</v>
      </c>
      <c r="H324" s="187">
        <f t="shared" si="15"/>
        <v>0</v>
      </c>
      <c r="I324" s="170"/>
    </row>
    <row r="325" spans="1:9" s="29" customFormat="1" ht="12.75" hidden="1">
      <c r="A325" s="16"/>
      <c r="B325" s="51" t="s">
        <v>470</v>
      </c>
      <c r="C325" s="54"/>
      <c r="D325" s="32"/>
      <c r="E325" s="32"/>
      <c r="F325" s="172"/>
      <c r="G325" s="17">
        <f t="shared" si="14"/>
        <v>0</v>
      </c>
      <c r="H325" s="187">
        <f t="shared" si="15"/>
        <v>0</v>
      </c>
      <c r="I325" s="170"/>
    </row>
    <row r="326" spans="1:9" s="29" customFormat="1" ht="12.75" hidden="1">
      <c r="A326" s="16"/>
      <c r="B326" s="49" t="s">
        <v>587</v>
      </c>
      <c r="C326" s="54"/>
      <c r="D326" s="32"/>
      <c r="E326" s="32">
        <v>15.51</v>
      </c>
      <c r="F326" s="172"/>
      <c r="G326" s="17">
        <f t="shared" si="14"/>
        <v>0</v>
      </c>
      <c r="H326" s="187">
        <f t="shared" si="15"/>
        <v>0</v>
      </c>
      <c r="I326" s="170"/>
    </row>
    <row r="327" spans="1:9" s="29" customFormat="1" ht="12.75" hidden="1">
      <c r="A327" s="16"/>
      <c r="B327" s="51" t="s">
        <v>530</v>
      </c>
      <c r="C327" s="54"/>
      <c r="D327" s="32"/>
      <c r="E327" s="32"/>
      <c r="F327" s="172"/>
      <c r="G327" s="17">
        <f t="shared" si="14"/>
        <v>0</v>
      </c>
      <c r="H327" s="187">
        <f t="shared" si="15"/>
        <v>0</v>
      </c>
      <c r="I327" s="170"/>
    </row>
    <row r="328" spans="1:9" s="29" customFormat="1" ht="12.75" hidden="1">
      <c r="A328" s="16"/>
      <c r="B328" s="49" t="s">
        <v>588</v>
      </c>
      <c r="C328" s="54"/>
      <c r="D328" s="32"/>
      <c r="E328" s="32">
        <v>12.43</v>
      </c>
      <c r="F328" s="172"/>
      <c r="G328" s="17">
        <f t="shared" si="14"/>
        <v>0</v>
      </c>
      <c r="H328" s="187">
        <f t="shared" si="15"/>
        <v>0</v>
      </c>
      <c r="I328" s="170"/>
    </row>
    <row r="329" spans="1:9" s="29" customFormat="1" ht="12.75" hidden="1">
      <c r="A329" s="16"/>
      <c r="B329" s="51" t="s">
        <v>471</v>
      </c>
      <c r="C329" s="54"/>
      <c r="D329" s="32"/>
      <c r="E329" s="32"/>
      <c r="F329" s="172"/>
      <c r="G329" s="17">
        <f t="shared" si="14"/>
        <v>0</v>
      </c>
      <c r="H329" s="187">
        <f t="shared" si="15"/>
        <v>0</v>
      </c>
      <c r="I329" s="170"/>
    </row>
    <row r="330" spans="1:9" s="29" customFormat="1" ht="12.75" hidden="1">
      <c r="A330" s="16"/>
      <c r="B330" s="49" t="s">
        <v>588</v>
      </c>
      <c r="C330" s="54"/>
      <c r="D330" s="32"/>
      <c r="E330" s="32">
        <v>12.43</v>
      </c>
      <c r="F330" s="172"/>
      <c r="G330" s="17">
        <f t="shared" si="14"/>
        <v>0</v>
      </c>
      <c r="H330" s="187">
        <f t="shared" si="15"/>
        <v>0</v>
      </c>
      <c r="I330" s="170"/>
    </row>
    <row r="331" spans="1:9" s="29" customFormat="1" ht="12.75" hidden="1">
      <c r="A331" s="16"/>
      <c r="B331" s="51" t="s">
        <v>472</v>
      </c>
      <c r="C331" s="54"/>
      <c r="D331" s="32"/>
      <c r="E331" s="32"/>
      <c r="F331" s="172"/>
      <c r="G331" s="17">
        <f t="shared" si="14"/>
        <v>0</v>
      </c>
      <c r="H331" s="187">
        <f t="shared" si="15"/>
        <v>0</v>
      </c>
      <c r="I331" s="170"/>
    </row>
    <row r="332" spans="1:9" s="29" customFormat="1" ht="12.75" hidden="1">
      <c r="A332" s="16"/>
      <c r="B332" s="49" t="s">
        <v>589</v>
      </c>
      <c r="C332" s="54"/>
      <c r="D332" s="32"/>
      <c r="E332" s="32">
        <v>10.87</v>
      </c>
      <c r="F332" s="172"/>
      <c r="G332" s="17">
        <f t="shared" si="14"/>
        <v>0</v>
      </c>
      <c r="H332" s="187">
        <f t="shared" si="15"/>
        <v>0</v>
      </c>
      <c r="I332" s="170"/>
    </row>
    <row r="333" spans="1:9" s="29" customFormat="1" ht="12.75" hidden="1">
      <c r="A333" s="16"/>
      <c r="B333" s="51" t="s">
        <v>473</v>
      </c>
      <c r="C333" s="54"/>
      <c r="D333" s="32"/>
      <c r="E333" s="32"/>
      <c r="F333" s="172"/>
      <c r="G333" s="17">
        <f t="shared" si="14"/>
        <v>0</v>
      </c>
      <c r="H333" s="187">
        <f t="shared" si="15"/>
        <v>0</v>
      </c>
      <c r="I333" s="170"/>
    </row>
    <row r="334" spans="1:9" s="29" customFormat="1" ht="12.75" hidden="1">
      <c r="A334" s="16"/>
      <c r="B334" s="49" t="s">
        <v>590</v>
      </c>
      <c r="C334" s="54"/>
      <c r="D334" s="32"/>
      <c r="E334" s="32">
        <v>18.46</v>
      </c>
      <c r="F334" s="172"/>
      <c r="G334" s="17">
        <f t="shared" si="14"/>
        <v>0</v>
      </c>
      <c r="H334" s="187">
        <f t="shared" si="15"/>
        <v>0</v>
      </c>
      <c r="I334" s="170"/>
    </row>
    <row r="335" spans="1:9" s="29" customFormat="1" ht="12.75" hidden="1">
      <c r="A335" s="16"/>
      <c r="B335" s="51" t="s">
        <v>474</v>
      </c>
      <c r="C335" s="54"/>
      <c r="D335" s="32"/>
      <c r="E335" s="32"/>
      <c r="F335" s="172"/>
      <c r="G335" s="17">
        <f t="shared" si="14"/>
        <v>0</v>
      </c>
      <c r="H335" s="187">
        <f t="shared" si="15"/>
        <v>0</v>
      </c>
      <c r="I335" s="170"/>
    </row>
    <row r="336" spans="1:9" s="29" customFormat="1" ht="12.75" hidden="1">
      <c r="A336" s="16"/>
      <c r="B336" s="49" t="s">
        <v>591</v>
      </c>
      <c r="C336" s="54"/>
      <c r="D336" s="32"/>
      <c r="E336" s="32">
        <v>5.45</v>
      </c>
      <c r="F336" s="172"/>
      <c r="G336" s="17">
        <f t="shared" si="14"/>
        <v>0</v>
      </c>
      <c r="H336" s="187">
        <f t="shared" si="15"/>
        <v>0</v>
      </c>
      <c r="I336" s="170"/>
    </row>
    <row r="337" spans="1:9" s="29" customFormat="1" ht="12.75" hidden="1">
      <c r="A337" s="16"/>
      <c r="B337" s="51" t="s">
        <v>476</v>
      </c>
      <c r="C337" s="54"/>
      <c r="D337" s="32"/>
      <c r="E337" s="32"/>
      <c r="F337" s="172"/>
      <c r="G337" s="17">
        <f t="shared" si="14"/>
        <v>0</v>
      </c>
      <c r="H337" s="187">
        <f t="shared" si="15"/>
        <v>0</v>
      </c>
      <c r="I337" s="170"/>
    </row>
    <row r="338" spans="1:9" s="29" customFormat="1" ht="12.75" hidden="1">
      <c r="A338" s="16"/>
      <c r="B338" s="49" t="s">
        <v>592</v>
      </c>
      <c r="C338" s="54"/>
      <c r="D338" s="32"/>
      <c r="E338" s="32">
        <v>12.06</v>
      </c>
      <c r="F338" s="172"/>
      <c r="G338" s="17">
        <f t="shared" si="14"/>
        <v>0</v>
      </c>
      <c r="H338" s="187">
        <f t="shared" si="15"/>
        <v>0</v>
      </c>
      <c r="I338" s="170"/>
    </row>
    <row r="339" spans="1:9" s="29" customFormat="1" ht="12.75" hidden="1">
      <c r="A339" s="16"/>
      <c r="B339" s="49" t="s">
        <v>584</v>
      </c>
      <c r="C339" s="54"/>
      <c r="D339" s="32"/>
      <c r="E339" s="32"/>
      <c r="F339" s="172"/>
      <c r="G339" s="17">
        <f t="shared" si="14"/>
        <v>0</v>
      </c>
      <c r="H339" s="187">
        <f t="shared" si="15"/>
        <v>0</v>
      </c>
      <c r="I339" s="170"/>
    </row>
    <row r="340" spans="1:9" s="29" customFormat="1" ht="12.75" hidden="1">
      <c r="A340" s="16"/>
      <c r="B340" s="49" t="s">
        <v>596</v>
      </c>
      <c r="C340" s="54"/>
      <c r="D340" s="32"/>
      <c r="E340" s="32">
        <v>31.16</v>
      </c>
      <c r="F340" s="172"/>
      <c r="G340" s="17">
        <f t="shared" si="14"/>
        <v>0</v>
      </c>
      <c r="H340" s="187">
        <f t="shared" si="15"/>
        <v>0</v>
      </c>
      <c r="I340" s="170"/>
    </row>
    <row r="341" spans="1:9" s="29" customFormat="1" ht="12.75" hidden="1">
      <c r="A341" s="16"/>
      <c r="B341" s="24" t="s">
        <v>463</v>
      </c>
      <c r="C341" s="54"/>
      <c r="D341" s="32"/>
      <c r="E341" s="40">
        <f>SUM(E322:E340)</f>
        <v>164.84</v>
      </c>
      <c r="F341" s="172"/>
      <c r="G341" s="17">
        <f t="shared" si="14"/>
        <v>0</v>
      </c>
      <c r="H341" s="187">
        <f t="shared" si="15"/>
        <v>0</v>
      </c>
      <c r="I341" s="170"/>
    </row>
    <row r="342" spans="1:9" s="29" customFormat="1" ht="39" customHeight="1">
      <c r="A342" s="33" t="s">
        <v>88</v>
      </c>
      <c r="B342" s="41" t="s">
        <v>454</v>
      </c>
      <c r="C342" s="54">
        <v>72137</v>
      </c>
      <c r="D342" s="33" t="s">
        <v>109</v>
      </c>
      <c r="E342" s="32">
        <v>12.21</v>
      </c>
      <c r="F342" s="184">
        <v>73.010000000000005</v>
      </c>
      <c r="G342" s="17">
        <f t="shared" si="14"/>
        <v>91.42</v>
      </c>
      <c r="H342" s="187">
        <f t="shared" si="15"/>
        <v>1116.24</v>
      </c>
      <c r="I342" s="170">
        <f>H342/$H$960*100</f>
        <v>0.27799259876832422</v>
      </c>
    </row>
    <row r="343" spans="1:9" s="29" customFormat="1" ht="12.75" hidden="1" customHeight="1">
      <c r="A343" s="16"/>
      <c r="B343" s="51" t="s">
        <v>466</v>
      </c>
      <c r="C343" s="54"/>
      <c r="D343" s="32"/>
      <c r="E343" s="32"/>
      <c r="F343" s="172"/>
      <c r="G343" s="17">
        <f t="shared" si="14"/>
        <v>0</v>
      </c>
      <c r="H343" s="187">
        <f t="shared" si="15"/>
        <v>0</v>
      </c>
      <c r="I343" s="170"/>
    </row>
    <row r="344" spans="1:9" s="29" customFormat="1" ht="12.75" hidden="1" customHeight="1">
      <c r="A344" s="16"/>
      <c r="B344" s="49" t="s">
        <v>585</v>
      </c>
      <c r="C344" s="54"/>
      <c r="D344" s="32"/>
      <c r="E344" s="32">
        <f>5.55*2.2</f>
        <v>12.21</v>
      </c>
      <c r="F344" s="172"/>
      <c r="G344" s="17">
        <f t="shared" si="14"/>
        <v>0</v>
      </c>
      <c r="H344" s="187">
        <f t="shared" si="15"/>
        <v>0</v>
      </c>
      <c r="I344" s="170"/>
    </row>
    <row r="345" spans="1:9" s="29" customFormat="1" ht="12.75" hidden="1" customHeight="1">
      <c r="A345" s="16"/>
      <c r="B345" s="24" t="s">
        <v>463</v>
      </c>
      <c r="C345" s="54"/>
      <c r="D345" s="32"/>
      <c r="E345" s="40">
        <f>SUM(E344)</f>
        <v>12.21</v>
      </c>
      <c r="F345" s="172"/>
      <c r="G345" s="17">
        <f t="shared" si="14"/>
        <v>0</v>
      </c>
      <c r="H345" s="187">
        <f t="shared" si="15"/>
        <v>0</v>
      </c>
      <c r="I345" s="170"/>
    </row>
    <row r="346" spans="1:9" s="29" customFormat="1" ht="25.5">
      <c r="A346" s="33" t="s">
        <v>89</v>
      </c>
      <c r="B346" s="41" t="s">
        <v>770</v>
      </c>
      <c r="C346" s="54">
        <v>87247</v>
      </c>
      <c r="D346" s="33" t="s">
        <v>109</v>
      </c>
      <c r="E346" s="32">
        <v>204.6</v>
      </c>
      <c r="F346" s="184">
        <v>29.05</v>
      </c>
      <c r="G346" s="17">
        <f t="shared" si="14"/>
        <v>36.380000000000003</v>
      </c>
      <c r="H346" s="187">
        <f t="shared" si="15"/>
        <v>7443.35</v>
      </c>
      <c r="I346" s="170">
        <f>H346/$H$960*100</f>
        <v>1.8537198183564523</v>
      </c>
    </row>
    <row r="347" spans="1:9" s="29" customFormat="1" ht="12.75" hidden="1">
      <c r="A347" s="33"/>
      <c r="B347" s="51" t="s">
        <v>597</v>
      </c>
      <c r="C347" s="54"/>
      <c r="D347" s="32"/>
      <c r="E347" s="32"/>
      <c r="F347" s="172"/>
      <c r="G347" s="17">
        <f t="shared" si="14"/>
        <v>0</v>
      </c>
      <c r="H347" s="187">
        <f t="shared" si="15"/>
        <v>0</v>
      </c>
      <c r="I347" s="170"/>
    </row>
    <row r="348" spans="1:9" s="29" customFormat="1" ht="12.75" hidden="1">
      <c r="A348" s="33"/>
      <c r="B348" s="49" t="s">
        <v>607</v>
      </c>
      <c r="C348" s="54"/>
      <c r="D348" s="32"/>
      <c r="E348" s="32">
        <f>(1.2+2.3)*2*3</f>
        <v>21</v>
      </c>
      <c r="F348" s="172"/>
      <c r="G348" s="17">
        <f t="shared" si="14"/>
        <v>0</v>
      </c>
      <c r="H348" s="187">
        <f t="shared" si="15"/>
        <v>0</v>
      </c>
      <c r="I348" s="170"/>
    </row>
    <row r="349" spans="1:9" s="29" customFormat="1" ht="12.75" hidden="1">
      <c r="A349" s="33"/>
      <c r="B349" s="51" t="s">
        <v>470</v>
      </c>
      <c r="C349" s="54"/>
      <c r="D349" s="32"/>
      <c r="E349" s="32"/>
      <c r="F349" s="172"/>
      <c r="G349" s="17">
        <f t="shared" si="14"/>
        <v>0</v>
      </c>
      <c r="H349" s="187">
        <f t="shared" si="15"/>
        <v>0</v>
      </c>
      <c r="I349" s="170"/>
    </row>
    <row r="350" spans="1:9" s="29" customFormat="1" ht="12.75" hidden="1">
      <c r="A350" s="33"/>
      <c r="B350" s="49" t="s">
        <v>587</v>
      </c>
      <c r="C350" s="54"/>
      <c r="D350" s="32"/>
      <c r="E350" s="32">
        <f>(2.9+4.9)*2*3</f>
        <v>46.800000000000004</v>
      </c>
      <c r="F350" s="172"/>
      <c r="G350" s="17">
        <f t="shared" si="14"/>
        <v>0</v>
      </c>
      <c r="H350" s="187">
        <f t="shared" si="15"/>
        <v>0</v>
      </c>
      <c r="I350" s="170"/>
    </row>
    <row r="351" spans="1:9" s="29" customFormat="1" ht="12.75" hidden="1">
      <c r="A351" s="33"/>
      <c r="B351" s="49" t="s">
        <v>479</v>
      </c>
      <c r="C351" s="54"/>
      <c r="D351" s="32"/>
      <c r="E351" s="32"/>
      <c r="F351" s="172"/>
      <c r="G351" s="17">
        <f t="shared" si="14"/>
        <v>0</v>
      </c>
      <c r="H351" s="187">
        <f t="shared" si="15"/>
        <v>0</v>
      </c>
      <c r="I351" s="170"/>
    </row>
    <row r="352" spans="1:9" s="29" customFormat="1" ht="12.75" hidden="1">
      <c r="A352" s="33"/>
      <c r="B352" s="49" t="s">
        <v>594</v>
      </c>
      <c r="C352" s="54"/>
      <c r="D352" s="32"/>
      <c r="E352" s="32">
        <f>(3.55+2.8)*2*3</f>
        <v>38.099999999999994</v>
      </c>
      <c r="F352" s="172"/>
      <c r="G352" s="17">
        <f t="shared" si="14"/>
        <v>0</v>
      </c>
      <c r="H352" s="187">
        <f t="shared" si="15"/>
        <v>0</v>
      </c>
      <c r="I352" s="170"/>
    </row>
    <row r="353" spans="1:9" s="29" customFormat="1" ht="12.75" hidden="1">
      <c r="A353" s="33"/>
      <c r="B353" s="49" t="s">
        <v>485</v>
      </c>
      <c r="C353" s="54"/>
      <c r="D353" s="32"/>
      <c r="E353" s="32"/>
      <c r="F353" s="172"/>
      <c r="G353" s="17">
        <f t="shared" si="14"/>
        <v>0</v>
      </c>
      <c r="H353" s="187">
        <f t="shared" si="15"/>
        <v>0</v>
      </c>
      <c r="I353" s="170"/>
    </row>
    <row r="354" spans="1:9" s="29" customFormat="1" ht="12.75" hidden="1">
      <c r="A354" s="33"/>
      <c r="B354" s="49" t="s">
        <v>594</v>
      </c>
      <c r="C354" s="54"/>
      <c r="D354" s="32"/>
      <c r="E354" s="32">
        <f>(3.55+2.8)*2*3</f>
        <v>38.099999999999994</v>
      </c>
      <c r="F354" s="172"/>
      <c r="G354" s="17">
        <f t="shared" si="14"/>
        <v>0</v>
      </c>
      <c r="H354" s="187">
        <f t="shared" si="15"/>
        <v>0</v>
      </c>
      <c r="I354" s="170"/>
    </row>
    <row r="355" spans="1:9" s="29" customFormat="1" ht="12.75" hidden="1">
      <c r="A355" s="33"/>
      <c r="B355" s="49" t="s">
        <v>486</v>
      </c>
      <c r="C355" s="54"/>
      <c r="D355" s="32"/>
      <c r="E355" s="32"/>
      <c r="F355" s="172"/>
      <c r="G355" s="17">
        <f t="shared" si="14"/>
        <v>0</v>
      </c>
      <c r="H355" s="187">
        <f t="shared" si="15"/>
        <v>0</v>
      </c>
      <c r="I355" s="170"/>
    </row>
    <row r="356" spans="1:9" s="29" customFormat="1" ht="12.75" hidden="1">
      <c r="A356" s="33"/>
      <c r="B356" s="49" t="s">
        <v>595</v>
      </c>
      <c r="C356" s="54"/>
      <c r="D356" s="32"/>
      <c r="E356" s="32">
        <f>(1.7+2.15)*2*3</f>
        <v>23.099999999999998</v>
      </c>
      <c r="F356" s="172"/>
      <c r="G356" s="17">
        <f t="shared" si="14"/>
        <v>0</v>
      </c>
      <c r="H356" s="187">
        <f t="shared" si="15"/>
        <v>0</v>
      </c>
      <c r="I356" s="170"/>
    </row>
    <row r="357" spans="1:9" s="29" customFormat="1" ht="12.75" hidden="1">
      <c r="A357" s="33"/>
      <c r="B357" s="51" t="s">
        <v>478</v>
      </c>
      <c r="C357" s="54"/>
      <c r="D357" s="32"/>
      <c r="E357" s="32"/>
      <c r="F357" s="172"/>
      <c r="G357" s="17">
        <f t="shared" si="14"/>
        <v>0</v>
      </c>
      <c r="H357" s="187">
        <f t="shared" si="15"/>
        <v>0</v>
      </c>
      <c r="I357" s="170"/>
    </row>
    <row r="358" spans="1:9" s="29" customFormat="1" ht="12.75" hidden="1">
      <c r="A358" s="33"/>
      <c r="B358" s="49" t="s">
        <v>593</v>
      </c>
      <c r="C358" s="54"/>
      <c r="D358" s="32"/>
      <c r="E358" s="32">
        <f>(2.65+3.6)*2*3</f>
        <v>37.5</v>
      </c>
      <c r="F358" s="172"/>
      <c r="G358" s="17">
        <f t="shared" si="14"/>
        <v>0</v>
      </c>
      <c r="H358" s="187">
        <f t="shared" si="15"/>
        <v>0</v>
      </c>
      <c r="I358" s="170"/>
    </row>
    <row r="359" spans="1:9" s="29" customFormat="1" ht="12.75" hidden="1">
      <c r="A359" s="33"/>
      <c r="B359" s="24" t="s">
        <v>463</v>
      </c>
      <c r="C359" s="54"/>
      <c r="D359" s="32"/>
      <c r="E359" s="40">
        <f>SUM(E348:E358)</f>
        <v>204.6</v>
      </c>
      <c r="F359" s="172"/>
      <c r="G359" s="17">
        <f t="shared" si="14"/>
        <v>0</v>
      </c>
      <c r="H359" s="187">
        <f t="shared" si="15"/>
        <v>0</v>
      </c>
      <c r="I359" s="170"/>
    </row>
    <row r="360" spans="1:9" s="29" customFormat="1" ht="12.75" hidden="1">
      <c r="A360" s="33"/>
      <c r="B360" s="49" t="s">
        <v>608</v>
      </c>
      <c r="C360" s="54"/>
      <c r="D360" s="33"/>
      <c r="E360" s="32">
        <f>E346</f>
        <v>204.6</v>
      </c>
      <c r="F360" s="172"/>
      <c r="G360" s="17">
        <v>0</v>
      </c>
      <c r="H360" s="32"/>
      <c r="I360" s="170"/>
    </row>
    <row r="361" spans="1:9" ht="12.75">
      <c r="A361" s="190" t="s">
        <v>111</v>
      </c>
      <c r="B361" s="190"/>
      <c r="C361" s="163"/>
      <c r="D361" s="23"/>
      <c r="E361" s="22"/>
      <c r="F361" s="22"/>
      <c r="G361" s="17"/>
      <c r="H361" s="22">
        <f>H346+H342+H320</f>
        <v>32474.58</v>
      </c>
      <c r="I361" s="170">
        <f>H361/$H$960*100</f>
        <v>8.0875912779598007</v>
      </c>
    </row>
    <row r="362" spans="1:9" s="29" customFormat="1" ht="12.75">
      <c r="A362" s="35" t="s">
        <v>90</v>
      </c>
      <c r="B362" s="36" t="s">
        <v>383</v>
      </c>
      <c r="C362" s="165"/>
      <c r="D362" s="38"/>
      <c r="E362" s="39"/>
      <c r="F362" s="17"/>
      <c r="G362" s="17"/>
      <c r="H362" s="40"/>
      <c r="I362" s="170"/>
    </row>
    <row r="363" spans="1:9" s="29" customFormat="1" ht="38.25">
      <c r="A363" s="33" t="s">
        <v>91</v>
      </c>
      <c r="B363" s="34" t="s">
        <v>771</v>
      </c>
      <c r="C363" s="54" t="s">
        <v>230</v>
      </c>
      <c r="D363" s="33" t="s">
        <v>65</v>
      </c>
      <c r="E363" s="39">
        <v>4</v>
      </c>
      <c r="F363" s="184">
        <v>179.66</v>
      </c>
      <c r="G363" s="17">
        <f t="shared" ref="G363:G426" si="16">ROUND(F363*1.2522,2)</f>
        <v>224.97</v>
      </c>
      <c r="H363" s="187">
        <f t="shared" ref="H363:H426" si="17">ROUND(E363*G363,2)</f>
        <v>899.88</v>
      </c>
      <c r="I363" s="170">
        <f>H363/$H$960*100</f>
        <v>0.2241094923848273</v>
      </c>
    </row>
    <row r="364" spans="1:9" s="52" customFormat="1" ht="12.75" hidden="1" customHeight="1">
      <c r="A364" s="33"/>
      <c r="B364" s="49" t="s">
        <v>479</v>
      </c>
      <c r="C364" s="54"/>
      <c r="D364" s="32"/>
      <c r="E364" s="32"/>
      <c r="F364" s="172"/>
      <c r="G364" s="17">
        <f t="shared" si="16"/>
        <v>0</v>
      </c>
      <c r="H364" s="187">
        <f t="shared" si="17"/>
        <v>0</v>
      </c>
      <c r="I364" s="170"/>
    </row>
    <row r="365" spans="1:9" s="52" customFormat="1" ht="12.75" hidden="1" customHeight="1">
      <c r="A365" s="33"/>
      <c r="B365" s="49" t="s">
        <v>610</v>
      </c>
      <c r="C365" s="54"/>
      <c r="D365" s="32"/>
      <c r="E365" s="32">
        <v>2</v>
      </c>
      <c r="F365" s="172"/>
      <c r="G365" s="17">
        <f t="shared" si="16"/>
        <v>0</v>
      </c>
      <c r="H365" s="187">
        <f t="shared" si="17"/>
        <v>0</v>
      </c>
      <c r="I365" s="170"/>
    </row>
    <row r="366" spans="1:9" s="52" customFormat="1" ht="12.75" hidden="1" customHeight="1">
      <c r="A366" s="33"/>
      <c r="B366" s="49" t="s">
        <v>485</v>
      </c>
      <c r="C366" s="54"/>
      <c r="D366" s="32"/>
      <c r="E366" s="32"/>
      <c r="F366" s="172"/>
      <c r="G366" s="17">
        <f t="shared" si="16"/>
        <v>0</v>
      </c>
      <c r="H366" s="187">
        <f t="shared" si="17"/>
        <v>0</v>
      </c>
      <c r="I366" s="170"/>
    </row>
    <row r="367" spans="1:9" s="52" customFormat="1" ht="12.75" hidden="1" customHeight="1">
      <c r="A367" s="33"/>
      <c r="B367" s="49" t="s">
        <v>610</v>
      </c>
      <c r="C367" s="54"/>
      <c r="D367" s="32"/>
      <c r="E367" s="32">
        <v>2</v>
      </c>
      <c r="F367" s="172"/>
      <c r="G367" s="17">
        <f t="shared" si="16"/>
        <v>0</v>
      </c>
      <c r="H367" s="187">
        <f t="shared" si="17"/>
        <v>0</v>
      </c>
      <c r="I367" s="170"/>
    </row>
    <row r="368" spans="1:9" s="52" customFormat="1" ht="12.75" hidden="1" customHeight="1">
      <c r="A368" s="33"/>
      <c r="B368" s="24" t="s">
        <v>463</v>
      </c>
      <c r="C368" s="54"/>
      <c r="D368" s="32"/>
      <c r="E368" s="40">
        <f>SUM(E365:E367)</f>
        <v>4</v>
      </c>
      <c r="F368" s="172"/>
      <c r="G368" s="17">
        <f t="shared" si="16"/>
        <v>0</v>
      </c>
      <c r="H368" s="187">
        <f t="shared" si="17"/>
        <v>0</v>
      </c>
      <c r="I368" s="170"/>
    </row>
    <row r="369" spans="1:9" s="29" customFormat="1" ht="38.25">
      <c r="A369" s="33" t="s">
        <v>92</v>
      </c>
      <c r="B369" s="34" t="s">
        <v>225</v>
      </c>
      <c r="C369" s="54" t="s">
        <v>231</v>
      </c>
      <c r="D369" s="33" t="s">
        <v>65</v>
      </c>
      <c r="E369" s="39">
        <v>9</v>
      </c>
      <c r="F369" s="184">
        <v>252.77</v>
      </c>
      <c r="G369" s="17">
        <f t="shared" si="16"/>
        <v>316.52</v>
      </c>
      <c r="H369" s="187">
        <f t="shared" si="17"/>
        <v>2848.68</v>
      </c>
      <c r="I369" s="170">
        <f>H369/$H$960*100</f>
        <v>0.70944595809086741</v>
      </c>
    </row>
    <row r="370" spans="1:9" s="29" customFormat="1" ht="12.75" hidden="1">
      <c r="A370" s="16"/>
      <c r="B370" s="51" t="s">
        <v>470</v>
      </c>
      <c r="C370" s="54"/>
      <c r="D370" s="32"/>
      <c r="E370" s="32"/>
      <c r="F370" s="172"/>
      <c r="G370" s="17">
        <f t="shared" si="16"/>
        <v>0</v>
      </c>
      <c r="H370" s="187">
        <f t="shared" si="17"/>
        <v>0</v>
      </c>
      <c r="I370" s="170"/>
    </row>
    <row r="371" spans="1:9" s="29" customFormat="1" ht="12.75" hidden="1">
      <c r="A371" s="16"/>
      <c r="B371" s="49" t="s">
        <v>611</v>
      </c>
      <c r="C371" s="54"/>
      <c r="D371" s="32"/>
      <c r="E371" s="32">
        <v>1</v>
      </c>
      <c r="F371" s="172"/>
      <c r="G371" s="17">
        <f t="shared" si="16"/>
        <v>0</v>
      </c>
      <c r="H371" s="187">
        <f t="shared" si="17"/>
        <v>0</v>
      </c>
      <c r="I371" s="170"/>
    </row>
    <row r="372" spans="1:9" s="29" customFormat="1" ht="12.75" hidden="1">
      <c r="A372" s="16"/>
      <c r="B372" s="51" t="s">
        <v>530</v>
      </c>
      <c r="C372" s="54"/>
      <c r="D372" s="32"/>
      <c r="E372" s="32"/>
      <c r="F372" s="172"/>
      <c r="G372" s="17">
        <f t="shared" si="16"/>
        <v>0</v>
      </c>
      <c r="H372" s="187">
        <f t="shared" si="17"/>
        <v>0</v>
      </c>
      <c r="I372" s="170"/>
    </row>
    <row r="373" spans="1:9" s="29" customFormat="1" ht="12.75" hidden="1">
      <c r="A373" s="16"/>
      <c r="B373" s="49" t="s">
        <v>611</v>
      </c>
      <c r="C373" s="54"/>
      <c r="D373" s="32"/>
      <c r="E373" s="32">
        <v>1</v>
      </c>
      <c r="F373" s="172"/>
      <c r="G373" s="17">
        <f t="shared" si="16"/>
        <v>0</v>
      </c>
      <c r="H373" s="187">
        <f t="shared" si="17"/>
        <v>0</v>
      </c>
      <c r="I373" s="170"/>
    </row>
    <row r="374" spans="1:9" s="29" customFormat="1" ht="12.75" hidden="1">
      <c r="A374" s="16"/>
      <c r="B374" s="51" t="s">
        <v>471</v>
      </c>
      <c r="C374" s="54"/>
      <c r="D374" s="32"/>
      <c r="E374" s="32"/>
      <c r="F374" s="172"/>
      <c r="G374" s="17">
        <f t="shared" si="16"/>
        <v>0</v>
      </c>
      <c r="H374" s="187">
        <f t="shared" si="17"/>
        <v>0</v>
      </c>
      <c r="I374" s="170"/>
    </row>
    <row r="375" spans="1:9" s="29" customFormat="1" ht="12.75" hidden="1">
      <c r="A375" s="16"/>
      <c r="B375" s="49" t="s">
        <v>611</v>
      </c>
      <c r="C375" s="54"/>
      <c r="D375" s="32"/>
      <c r="E375" s="32">
        <v>1</v>
      </c>
      <c r="F375" s="172"/>
      <c r="G375" s="17">
        <f t="shared" si="16"/>
        <v>0</v>
      </c>
      <c r="H375" s="187">
        <f t="shared" si="17"/>
        <v>0</v>
      </c>
      <c r="I375" s="170"/>
    </row>
    <row r="376" spans="1:9" s="29" customFormat="1" ht="12.75" hidden="1">
      <c r="A376" s="16"/>
      <c r="B376" s="51" t="s">
        <v>612</v>
      </c>
      <c r="C376" s="54"/>
      <c r="D376" s="32"/>
      <c r="E376" s="32"/>
      <c r="F376" s="172"/>
      <c r="G376" s="17">
        <f t="shared" si="16"/>
        <v>0</v>
      </c>
      <c r="H376" s="187">
        <f t="shared" si="17"/>
        <v>0</v>
      </c>
      <c r="I376" s="170"/>
    </row>
    <row r="377" spans="1:9" s="29" customFormat="1" ht="12.75" hidden="1">
      <c r="A377" s="16"/>
      <c r="B377" s="49" t="s">
        <v>611</v>
      </c>
      <c r="C377" s="54"/>
      <c r="D377" s="32"/>
      <c r="E377" s="32">
        <v>1</v>
      </c>
      <c r="F377" s="172"/>
      <c r="G377" s="17">
        <f t="shared" si="16"/>
        <v>0</v>
      </c>
      <c r="H377" s="187">
        <f t="shared" si="17"/>
        <v>0</v>
      </c>
      <c r="I377" s="170"/>
    </row>
    <row r="378" spans="1:9" s="29" customFormat="1" ht="12.75" hidden="1">
      <c r="A378" s="16"/>
      <c r="B378" s="51" t="s">
        <v>597</v>
      </c>
      <c r="C378" s="54"/>
      <c r="D378" s="32"/>
      <c r="E378" s="32"/>
      <c r="F378" s="172"/>
      <c r="G378" s="17">
        <f t="shared" si="16"/>
        <v>0</v>
      </c>
      <c r="H378" s="187">
        <f t="shared" si="17"/>
        <v>0</v>
      </c>
      <c r="I378" s="170"/>
    </row>
    <row r="379" spans="1:9" s="29" customFormat="1" ht="12.75" hidden="1">
      <c r="A379" s="16"/>
      <c r="B379" s="49" t="s">
        <v>611</v>
      </c>
      <c r="C379" s="54"/>
      <c r="D379" s="32"/>
      <c r="E379" s="32">
        <v>1</v>
      </c>
      <c r="F379" s="172"/>
      <c r="G379" s="17">
        <f t="shared" si="16"/>
        <v>0</v>
      </c>
      <c r="H379" s="187">
        <f t="shared" si="17"/>
        <v>0</v>
      </c>
      <c r="I379" s="170"/>
    </row>
    <row r="380" spans="1:9" s="29" customFormat="1" ht="12.75" hidden="1">
      <c r="A380" s="16"/>
      <c r="B380" s="51" t="s">
        <v>478</v>
      </c>
      <c r="C380" s="54"/>
      <c r="D380" s="32"/>
      <c r="E380" s="32"/>
      <c r="F380" s="172"/>
      <c r="G380" s="17">
        <f t="shared" si="16"/>
        <v>0</v>
      </c>
      <c r="H380" s="187">
        <f t="shared" si="17"/>
        <v>0</v>
      </c>
      <c r="I380" s="170"/>
    </row>
    <row r="381" spans="1:9" ht="12.75" hidden="1">
      <c r="A381" s="16"/>
      <c r="B381" s="49" t="s">
        <v>611</v>
      </c>
      <c r="C381" s="54"/>
      <c r="D381" s="32"/>
      <c r="E381" s="32">
        <v>1</v>
      </c>
      <c r="F381" s="172"/>
      <c r="G381" s="17">
        <f t="shared" si="16"/>
        <v>0</v>
      </c>
      <c r="H381" s="187">
        <f t="shared" si="17"/>
        <v>0</v>
      </c>
      <c r="I381" s="170"/>
    </row>
    <row r="382" spans="1:9" s="29" customFormat="1" ht="12.75" hidden="1">
      <c r="A382" s="16"/>
      <c r="B382" s="49" t="s">
        <v>479</v>
      </c>
      <c r="C382" s="54"/>
      <c r="D382" s="32"/>
      <c r="E382" s="32"/>
      <c r="F382" s="172"/>
      <c r="G382" s="17">
        <f t="shared" si="16"/>
        <v>0</v>
      </c>
      <c r="H382" s="187">
        <f t="shared" si="17"/>
        <v>0</v>
      </c>
      <c r="I382" s="170"/>
    </row>
    <row r="383" spans="1:9" s="29" customFormat="1" ht="12.75" hidden="1">
      <c r="A383" s="16"/>
      <c r="B383" s="49" t="s">
        <v>611</v>
      </c>
      <c r="C383" s="54"/>
      <c r="D383" s="32"/>
      <c r="E383" s="32">
        <v>1</v>
      </c>
      <c r="F383" s="172"/>
      <c r="G383" s="17">
        <f t="shared" si="16"/>
        <v>0</v>
      </c>
      <c r="H383" s="187">
        <f t="shared" si="17"/>
        <v>0</v>
      </c>
      <c r="I383" s="170"/>
    </row>
    <row r="384" spans="1:9" s="29" customFormat="1" ht="12.75" hidden="1">
      <c r="A384" s="16"/>
      <c r="B384" s="49" t="s">
        <v>485</v>
      </c>
      <c r="C384" s="54"/>
      <c r="D384" s="32"/>
      <c r="E384" s="32"/>
      <c r="F384" s="172"/>
      <c r="G384" s="17">
        <f t="shared" si="16"/>
        <v>0</v>
      </c>
      <c r="H384" s="187">
        <f t="shared" si="17"/>
        <v>0</v>
      </c>
      <c r="I384" s="170"/>
    </row>
    <row r="385" spans="1:9" s="29" customFormat="1" ht="12.75" hidden="1">
      <c r="A385" s="16"/>
      <c r="B385" s="49" t="s">
        <v>611</v>
      </c>
      <c r="C385" s="54"/>
      <c r="D385" s="32"/>
      <c r="E385" s="32">
        <v>1</v>
      </c>
      <c r="F385" s="172"/>
      <c r="G385" s="17">
        <f t="shared" si="16"/>
        <v>0</v>
      </c>
      <c r="H385" s="187">
        <f t="shared" si="17"/>
        <v>0</v>
      </c>
      <c r="I385" s="170"/>
    </row>
    <row r="386" spans="1:9" s="29" customFormat="1" ht="12.75" hidden="1">
      <c r="A386" s="16"/>
      <c r="B386" s="49" t="s">
        <v>486</v>
      </c>
      <c r="C386" s="54"/>
      <c r="D386" s="32"/>
      <c r="E386" s="32"/>
      <c r="F386" s="172"/>
      <c r="G386" s="17">
        <f t="shared" si="16"/>
        <v>0</v>
      </c>
      <c r="H386" s="187">
        <f t="shared" si="17"/>
        <v>0</v>
      </c>
      <c r="I386" s="170"/>
    </row>
    <row r="387" spans="1:9" s="29" customFormat="1" ht="12.75" hidden="1">
      <c r="A387" s="16"/>
      <c r="B387" s="49" t="s">
        <v>611</v>
      </c>
      <c r="C387" s="54"/>
      <c r="D387" s="32"/>
      <c r="E387" s="32">
        <v>1</v>
      </c>
      <c r="F387" s="172"/>
      <c r="G387" s="17">
        <f t="shared" si="16"/>
        <v>0</v>
      </c>
      <c r="H387" s="187">
        <f t="shared" si="17"/>
        <v>0</v>
      </c>
      <c r="I387" s="170"/>
    </row>
    <row r="388" spans="1:9" s="29" customFormat="1" ht="12.75" hidden="1">
      <c r="A388" s="16"/>
      <c r="B388" s="24" t="s">
        <v>463</v>
      </c>
      <c r="C388" s="54"/>
      <c r="D388" s="32"/>
      <c r="E388" s="40">
        <f>SUM(E370:E387)</f>
        <v>9</v>
      </c>
      <c r="F388" s="172"/>
      <c r="G388" s="17">
        <f t="shared" si="16"/>
        <v>0</v>
      </c>
      <c r="H388" s="187">
        <f t="shared" si="17"/>
        <v>0</v>
      </c>
      <c r="I388" s="170"/>
    </row>
    <row r="389" spans="1:9" s="29" customFormat="1" ht="51">
      <c r="A389" s="33" t="s">
        <v>93</v>
      </c>
      <c r="B389" s="34" t="s">
        <v>613</v>
      </c>
      <c r="C389" s="54" t="s">
        <v>615</v>
      </c>
      <c r="D389" s="33" t="s">
        <v>65</v>
      </c>
      <c r="E389" s="39">
        <v>2</v>
      </c>
      <c r="F389" s="184">
        <v>809.51</v>
      </c>
      <c r="G389" s="17">
        <f t="shared" si="16"/>
        <v>1013.67</v>
      </c>
      <c r="H389" s="187">
        <f t="shared" si="17"/>
        <v>2027.34</v>
      </c>
      <c r="I389" s="170">
        <f>H389/$H$960*100</f>
        <v>0.50489636206100341</v>
      </c>
    </row>
    <row r="390" spans="1:9" s="29" customFormat="1" ht="12.75" hidden="1">
      <c r="A390" s="16"/>
      <c r="B390" s="51" t="s">
        <v>469</v>
      </c>
      <c r="C390" s="54"/>
      <c r="D390" s="32"/>
      <c r="E390" s="32"/>
      <c r="F390" s="172"/>
      <c r="G390" s="17">
        <f t="shared" si="16"/>
        <v>0</v>
      </c>
      <c r="H390" s="187">
        <f t="shared" si="17"/>
        <v>0</v>
      </c>
      <c r="I390" s="170"/>
    </row>
    <row r="391" spans="1:9" s="29" customFormat="1" ht="12.75" hidden="1">
      <c r="A391" s="16"/>
      <c r="B391" s="49" t="s">
        <v>611</v>
      </c>
      <c r="C391" s="54"/>
      <c r="D391" s="32"/>
      <c r="E391" s="32">
        <v>1</v>
      </c>
      <c r="F391" s="172"/>
      <c r="G391" s="17">
        <f t="shared" si="16"/>
        <v>0</v>
      </c>
      <c r="H391" s="187">
        <f t="shared" si="17"/>
        <v>0</v>
      </c>
      <c r="I391" s="170"/>
    </row>
    <row r="392" spans="1:9" s="29" customFormat="1" ht="12.75" hidden="1">
      <c r="A392" s="16"/>
      <c r="B392" s="49" t="s">
        <v>584</v>
      </c>
      <c r="C392" s="54"/>
      <c r="D392" s="32"/>
      <c r="E392" s="32"/>
      <c r="F392" s="172"/>
      <c r="G392" s="17">
        <f t="shared" si="16"/>
        <v>0</v>
      </c>
      <c r="H392" s="187">
        <f t="shared" si="17"/>
        <v>0</v>
      </c>
      <c r="I392" s="170"/>
    </row>
    <row r="393" spans="1:9" s="29" customFormat="1" ht="12.75" hidden="1">
      <c r="A393" s="16"/>
      <c r="B393" s="49" t="s">
        <v>611</v>
      </c>
      <c r="C393" s="54"/>
      <c r="D393" s="32"/>
      <c r="E393" s="32">
        <v>1</v>
      </c>
      <c r="F393" s="172"/>
      <c r="G393" s="17">
        <f t="shared" si="16"/>
        <v>0</v>
      </c>
      <c r="H393" s="187">
        <f t="shared" si="17"/>
        <v>0</v>
      </c>
      <c r="I393" s="170"/>
    </row>
    <row r="394" spans="1:9" s="29" customFormat="1" ht="12.75" hidden="1">
      <c r="A394" s="16"/>
      <c r="B394" s="24" t="s">
        <v>463</v>
      </c>
      <c r="C394" s="54"/>
      <c r="D394" s="32"/>
      <c r="E394" s="40">
        <f>SUM(E390:E393)</f>
        <v>2</v>
      </c>
      <c r="F394" s="172"/>
      <c r="G394" s="17">
        <f t="shared" si="16"/>
        <v>0</v>
      </c>
      <c r="H394" s="187">
        <f t="shared" si="17"/>
        <v>0</v>
      </c>
      <c r="I394" s="170"/>
    </row>
    <row r="395" spans="1:9" s="29" customFormat="1" ht="52.5" customHeight="1">
      <c r="A395" s="33" t="s">
        <v>181</v>
      </c>
      <c r="B395" s="34" t="s">
        <v>614</v>
      </c>
      <c r="C395" s="54" t="s">
        <v>747</v>
      </c>
      <c r="D395" s="33" t="s">
        <v>65</v>
      </c>
      <c r="E395" s="39">
        <v>2</v>
      </c>
      <c r="F395" s="184">
        <v>375.9</v>
      </c>
      <c r="G395" s="17">
        <f t="shared" si="16"/>
        <v>470.7</v>
      </c>
      <c r="H395" s="187">
        <f t="shared" si="17"/>
        <v>941.4</v>
      </c>
      <c r="I395" s="170">
        <f>H395/$H$960*100</f>
        <v>0.23444978900639687</v>
      </c>
    </row>
    <row r="396" spans="1:9" s="29" customFormat="1" ht="12.75" hidden="1">
      <c r="A396" s="16"/>
      <c r="B396" s="51" t="s">
        <v>473</v>
      </c>
      <c r="C396" s="54"/>
      <c r="D396" s="32"/>
      <c r="E396" s="32"/>
      <c r="F396" s="172"/>
      <c r="G396" s="17">
        <f t="shared" si="16"/>
        <v>0</v>
      </c>
      <c r="H396" s="187">
        <f t="shared" si="17"/>
        <v>0</v>
      </c>
      <c r="I396" s="170"/>
    </row>
    <row r="397" spans="1:9" s="29" customFormat="1" ht="12.75" hidden="1">
      <c r="A397" s="16"/>
      <c r="B397" s="49" t="s">
        <v>610</v>
      </c>
      <c r="C397" s="54"/>
      <c r="D397" s="32"/>
      <c r="E397" s="32">
        <v>2</v>
      </c>
      <c r="F397" s="172"/>
      <c r="G397" s="17">
        <f t="shared" si="16"/>
        <v>0</v>
      </c>
      <c r="H397" s="187">
        <f t="shared" si="17"/>
        <v>0</v>
      </c>
      <c r="I397" s="170"/>
    </row>
    <row r="398" spans="1:9" s="29" customFormat="1" ht="38.25">
      <c r="A398" s="33" t="s">
        <v>337</v>
      </c>
      <c r="B398" s="34" t="s">
        <v>616</v>
      </c>
      <c r="C398" s="54" t="s">
        <v>232</v>
      </c>
      <c r="D398" s="33" t="s">
        <v>748</v>
      </c>
      <c r="E398" s="39">
        <v>4.25</v>
      </c>
      <c r="F398" s="184">
        <v>472.19</v>
      </c>
      <c r="G398" s="17">
        <f t="shared" si="16"/>
        <v>591.28</v>
      </c>
      <c r="H398" s="187">
        <f t="shared" si="17"/>
        <v>2512.94</v>
      </c>
      <c r="I398" s="170">
        <f>H398/$H$960*100</f>
        <v>0.62583200848282872</v>
      </c>
    </row>
    <row r="399" spans="1:9" s="29" customFormat="1" ht="12.75" hidden="1">
      <c r="A399" s="16"/>
      <c r="B399" s="51" t="s">
        <v>473</v>
      </c>
      <c r="C399" s="54"/>
      <c r="D399" s="32"/>
      <c r="E399" s="32"/>
      <c r="F399" s="172"/>
      <c r="G399" s="17">
        <f t="shared" si="16"/>
        <v>0</v>
      </c>
      <c r="H399" s="187">
        <f t="shared" si="17"/>
        <v>0</v>
      </c>
      <c r="I399" s="170"/>
    </row>
    <row r="400" spans="1:9" s="29" customFormat="1" ht="12.75" hidden="1">
      <c r="A400" s="16"/>
      <c r="B400" s="49" t="s">
        <v>611</v>
      </c>
      <c r="C400" s="54"/>
      <c r="D400" s="32"/>
      <c r="E400" s="32">
        <v>1</v>
      </c>
      <c r="F400" s="172"/>
      <c r="G400" s="17">
        <f t="shared" si="16"/>
        <v>0</v>
      </c>
      <c r="H400" s="187">
        <f t="shared" si="17"/>
        <v>0</v>
      </c>
      <c r="I400" s="170"/>
    </row>
    <row r="401" spans="1:9" s="29" customFormat="1" ht="38.25">
      <c r="A401" s="33" t="s">
        <v>338</v>
      </c>
      <c r="B401" s="34" t="s">
        <v>226</v>
      </c>
      <c r="C401" s="54" t="s">
        <v>729</v>
      </c>
      <c r="D401" s="33" t="s">
        <v>109</v>
      </c>
      <c r="E401" s="39">
        <v>2.16</v>
      </c>
      <c r="F401" s="184">
        <v>461.38</v>
      </c>
      <c r="G401" s="17">
        <f t="shared" si="16"/>
        <v>577.74</v>
      </c>
      <c r="H401" s="187">
        <f t="shared" si="17"/>
        <v>1247.92</v>
      </c>
      <c r="I401" s="170">
        <f>H401/$H$960*100</f>
        <v>0.31078668015388017</v>
      </c>
    </row>
    <row r="402" spans="1:9" s="29" customFormat="1" ht="12.75" hidden="1">
      <c r="A402" s="16"/>
      <c r="B402" s="51" t="s">
        <v>486</v>
      </c>
      <c r="C402" s="54"/>
      <c r="D402" s="32"/>
      <c r="E402" s="32"/>
      <c r="F402" s="172"/>
      <c r="G402" s="17">
        <f t="shared" si="16"/>
        <v>0</v>
      </c>
      <c r="H402" s="187">
        <f t="shared" si="17"/>
        <v>0</v>
      </c>
      <c r="I402" s="170"/>
    </row>
    <row r="403" spans="1:9" s="29" customFormat="1" ht="12.75" hidden="1">
      <c r="A403" s="16"/>
      <c r="B403" s="49" t="s">
        <v>617</v>
      </c>
      <c r="C403" s="54"/>
      <c r="D403" s="32"/>
      <c r="E403" s="32">
        <f>1.2*0.6</f>
        <v>0.72</v>
      </c>
      <c r="F403" s="172"/>
      <c r="G403" s="17">
        <f t="shared" si="16"/>
        <v>0</v>
      </c>
      <c r="H403" s="187">
        <f t="shared" si="17"/>
        <v>0</v>
      </c>
      <c r="I403" s="170"/>
    </row>
    <row r="404" spans="1:9" s="29" customFormat="1" ht="12.75" hidden="1">
      <c r="A404" s="16"/>
      <c r="B404" s="51" t="s">
        <v>474</v>
      </c>
      <c r="C404" s="54"/>
      <c r="D404" s="32"/>
      <c r="E404" s="32"/>
      <c r="F404" s="172"/>
      <c r="G404" s="17">
        <f t="shared" si="16"/>
        <v>0</v>
      </c>
      <c r="H404" s="187">
        <f t="shared" si="17"/>
        <v>0</v>
      </c>
      <c r="I404" s="170"/>
    </row>
    <row r="405" spans="1:9" s="29" customFormat="1" ht="12.75" hidden="1">
      <c r="A405" s="16"/>
      <c r="B405" s="49" t="s">
        <v>617</v>
      </c>
      <c r="C405" s="54"/>
      <c r="D405" s="32"/>
      <c r="E405" s="32">
        <f>1.2*0.6</f>
        <v>0.72</v>
      </c>
      <c r="F405" s="172"/>
      <c r="G405" s="17">
        <f t="shared" si="16"/>
        <v>0</v>
      </c>
      <c r="H405" s="187">
        <f t="shared" si="17"/>
        <v>0</v>
      </c>
      <c r="I405" s="170"/>
    </row>
    <row r="406" spans="1:9" s="29" customFormat="1" ht="12.75" hidden="1">
      <c r="A406" s="16"/>
      <c r="B406" s="51" t="s">
        <v>476</v>
      </c>
      <c r="C406" s="54"/>
      <c r="D406" s="32"/>
      <c r="E406" s="32"/>
      <c r="F406" s="172"/>
      <c r="G406" s="17">
        <f t="shared" si="16"/>
        <v>0</v>
      </c>
      <c r="H406" s="187">
        <f t="shared" si="17"/>
        <v>0</v>
      </c>
      <c r="I406" s="170"/>
    </row>
    <row r="407" spans="1:9" s="29" customFormat="1" ht="12.75" hidden="1">
      <c r="A407" s="16"/>
      <c r="B407" s="49" t="s">
        <v>617</v>
      </c>
      <c r="C407" s="54"/>
      <c r="D407" s="32"/>
      <c r="E407" s="32">
        <f>1.2*0.6</f>
        <v>0.72</v>
      </c>
      <c r="F407" s="172"/>
      <c r="G407" s="17">
        <f t="shared" si="16"/>
        <v>0</v>
      </c>
      <c r="H407" s="187">
        <f t="shared" si="17"/>
        <v>0</v>
      </c>
      <c r="I407" s="170"/>
    </row>
    <row r="408" spans="1:9" s="29" customFormat="1" ht="12.75" hidden="1">
      <c r="A408" s="16"/>
      <c r="B408" s="24" t="s">
        <v>463</v>
      </c>
      <c r="C408" s="54"/>
      <c r="D408" s="32"/>
      <c r="E408" s="40">
        <f>SUM(E403:E407)</f>
        <v>2.16</v>
      </c>
      <c r="F408" s="172"/>
      <c r="G408" s="17">
        <f t="shared" si="16"/>
        <v>0</v>
      </c>
      <c r="H408" s="187">
        <f t="shared" si="17"/>
        <v>0</v>
      </c>
      <c r="I408" s="170"/>
    </row>
    <row r="409" spans="1:9" s="29" customFormat="1" ht="38.25">
      <c r="A409" s="33" t="s">
        <v>339</v>
      </c>
      <c r="B409" s="34" t="s">
        <v>618</v>
      </c>
      <c r="C409" s="54" t="s">
        <v>729</v>
      </c>
      <c r="D409" s="33" t="s">
        <v>109</v>
      </c>
      <c r="E409" s="39">
        <v>14.04</v>
      </c>
      <c r="F409" s="184">
        <v>461.38</v>
      </c>
      <c r="G409" s="17">
        <f t="shared" si="16"/>
        <v>577.74</v>
      </c>
      <c r="H409" s="187">
        <f t="shared" si="17"/>
        <v>8111.47</v>
      </c>
      <c r="I409" s="170">
        <f>H409/$H$960*100</f>
        <v>2.0201109305626916</v>
      </c>
    </row>
    <row r="410" spans="1:9" s="29" customFormat="1" ht="12.75" hidden="1">
      <c r="A410" s="16"/>
      <c r="B410" s="51" t="s">
        <v>530</v>
      </c>
      <c r="C410" s="54"/>
      <c r="D410" s="32"/>
      <c r="E410" s="32"/>
      <c r="F410" s="17">
        <v>376.34</v>
      </c>
      <c r="G410" s="17">
        <f t="shared" si="16"/>
        <v>471.25</v>
      </c>
      <c r="H410" s="187">
        <f t="shared" si="17"/>
        <v>0</v>
      </c>
      <c r="I410" s="170"/>
    </row>
    <row r="411" spans="1:9" s="29" customFormat="1" ht="12.75" hidden="1">
      <c r="A411" s="16"/>
      <c r="B411" s="49" t="s">
        <v>619</v>
      </c>
      <c r="C411" s="54"/>
      <c r="D411" s="32"/>
      <c r="E411" s="32">
        <f>1.2*1.3</f>
        <v>1.56</v>
      </c>
      <c r="F411" s="17">
        <v>376.34</v>
      </c>
      <c r="G411" s="17">
        <f t="shared" si="16"/>
        <v>471.25</v>
      </c>
      <c r="H411" s="187">
        <f t="shared" si="17"/>
        <v>735.15</v>
      </c>
      <c r="I411" s="170"/>
    </row>
    <row r="412" spans="1:9" s="29" customFormat="1" ht="12.75" hidden="1">
      <c r="A412" s="16"/>
      <c r="B412" s="51" t="s">
        <v>471</v>
      </c>
      <c r="C412" s="54"/>
      <c r="D412" s="32"/>
      <c r="E412" s="32"/>
      <c r="F412" s="17">
        <v>376.34</v>
      </c>
      <c r="G412" s="17">
        <f t="shared" si="16"/>
        <v>471.25</v>
      </c>
      <c r="H412" s="187">
        <f t="shared" si="17"/>
        <v>0</v>
      </c>
      <c r="I412" s="170"/>
    </row>
    <row r="413" spans="1:9" s="29" customFormat="1" ht="12.75" hidden="1">
      <c r="A413" s="16"/>
      <c r="B413" s="49" t="s">
        <v>619</v>
      </c>
      <c r="C413" s="54"/>
      <c r="D413" s="32"/>
      <c r="E413" s="32">
        <f>1.2*1.3</f>
        <v>1.56</v>
      </c>
      <c r="F413" s="17">
        <v>376.34</v>
      </c>
      <c r="G413" s="17">
        <f t="shared" si="16"/>
        <v>471.25</v>
      </c>
      <c r="H413" s="187">
        <f t="shared" si="17"/>
        <v>735.15</v>
      </c>
      <c r="I413" s="170"/>
    </row>
    <row r="414" spans="1:9" s="29" customFormat="1" ht="12.75" hidden="1">
      <c r="A414" s="16"/>
      <c r="B414" s="51" t="s">
        <v>612</v>
      </c>
      <c r="C414" s="54"/>
      <c r="D414" s="32"/>
      <c r="E414" s="32"/>
      <c r="F414" s="17">
        <v>376.34</v>
      </c>
      <c r="G414" s="17">
        <f t="shared" si="16"/>
        <v>471.25</v>
      </c>
      <c r="H414" s="187">
        <f t="shared" si="17"/>
        <v>0</v>
      </c>
      <c r="I414" s="170"/>
    </row>
    <row r="415" spans="1:9" s="29" customFormat="1" ht="12.75" hidden="1">
      <c r="A415" s="16"/>
      <c r="B415" s="49" t="s">
        <v>620</v>
      </c>
      <c r="C415" s="54"/>
      <c r="D415" s="32"/>
      <c r="E415" s="32">
        <f>2*1.2*1.3</f>
        <v>3.12</v>
      </c>
      <c r="F415" s="17">
        <v>376.34</v>
      </c>
      <c r="G415" s="17">
        <f t="shared" si="16"/>
        <v>471.25</v>
      </c>
      <c r="H415" s="187">
        <f t="shared" si="17"/>
        <v>1470.3</v>
      </c>
      <c r="I415" s="170"/>
    </row>
    <row r="416" spans="1:9" s="29" customFormat="1" ht="12.75" hidden="1">
      <c r="A416" s="16"/>
      <c r="B416" s="51" t="s">
        <v>621</v>
      </c>
      <c r="C416" s="54"/>
      <c r="D416" s="32"/>
      <c r="E416" s="32"/>
      <c r="F416" s="17">
        <v>376.34</v>
      </c>
      <c r="G416" s="17">
        <f t="shared" si="16"/>
        <v>471.25</v>
      </c>
      <c r="H416" s="187">
        <f t="shared" si="17"/>
        <v>0</v>
      </c>
      <c r="I416" s="170"/>
    </row>
    <row r="417" spans="1:9" s="29" customFormat="1" ht="12.75" hidden="1">
      <c r="A417" s="16"/>
      <c r="B417" s="49" t="s">
        <v>620</v>
      </c>
      <c r="C417" s="54"/>
      <c r="D417" s="32"/>
      <c r="E417" s="32">
        <f>2*1.2*1.3</f>
        <v>3.12</v>
      </c>
      <c r="F417" s="17">
        <v>376.34</v>
      </c>
      <c r="G417" s="17">
        <f t="shared" si="16"/>
        <v>471.25</v>
      </c>
      <c r="H417" s="187">
        <f t="shared" si="17"/>
        <v>1470.3</v>
      </c>
      <c r="I417" s="170"/>
    </row>
    <row r="418" spans="1:9" s="29" customFormat="1" ht="12.75" hidden="1">
      <c r="A418" s="16"/>
      <c r="B418" s="51" t="s">
        <v>473</v>
      </c>
      <c r="C418" s="54"/>
      <c r="D418" s="32"/>
      <c r="E418" s="32"/>
      <c r="F418" s="17">
        <v>376.34</v>
      </c>
      <c r="G418" s="17">
        <f t="shared" si="16"/>
        <v>471.25</v>
      </c>
      <c r="H418" s="187">
        <f t="shared" si="17"/>
        <v>0</v>
      </c>
      <c r="I418" s="170"/>
    </row>
    <row r="419" spans="1:9" s="29" customFormat="1" ht="12.75" hidden="1">
      <c r="A419" s="16"/>
      <c r="B419" s="49" t="s">
        <v>625</v>
      </c>
      <c r="C419" s="54"/>
      <c r="D419" s="32"/>
      <c r="E419" s="32">
        <f>3*1.2*1.3</f>
        <v>4.68</v>
      </c>
      <c r="F419" s="17">
        <v>376.34</v>
      </c>
      <c r="G419" s="17">
        <f t="shared" si="16"/>
        <v>471.25</v>
      </c>
      <c r="H419" s="187">
        <f t="shared" si="17"/>
        <v>2205.4499999999998</v>
      </c>
      <c r="I419" s="170"/>
    </row>
    <row r="420" spans="1:9" s="29" customFormat="1" ht="12.75" hidden="1">
      <c r="A420" s="16"/>
      <c r="B420" s="24" t="s">
        <v>463</v>
      </c>
      <c r="C420" s="54"/>
      <c r="D420" s="32"/>
      <c r="E420" s="40">
        <f>SUM(E410:E419)</f>
        <v>14.04</v>
      </c>
      <c r="F420" s="17">
        <v>376.34</v>
      </c>
      <c r="G420" s="17">
        <f t="shared" si="16"/>
        <v>471.25</v>
      </c>
      <c r="H420" s="187">
        <f t="shared" si="17"/>
        <v>6616.35</v>
      </c>
      <c r="I420" s="170"/>
    </row>
    <row r="421" spans="1:9" s="29" customFormat="1" ht="38.25">
      <c r="A421" s="33" t="s">
        <v>340</v>
      </c>
      <c r="B421" s="34" t="s">
        <v>228</v>
      </c>
      <c r="C421" s="54" t="s">
        <v>729</v>
      </c>
      <c r="D421" s="33" t="s">
        <v>109</v>
      </c>
      <c r="E421" s="39">
        <v>5.4</v>
      </c>
      <c r="F421" s="184">
        <v>461.38</v>
      </c>
      <c r="G421" s="17">
        <f t="shared" si="16"/>
        <v>577.74</v>
      </c>
      <c r="H421" s="187">
        <f t="shared" si="17"/>
        <v>3119.8</v>
      </c>
      <c r="I421" s="170">
        <f>H421/$H$960*100</f>
        <v>0.77696670038470039</v>
      </c>
    </row>
    <row r="422" spans="1:9" s="29" customFormat="1" ht="12.75" hidden="1">
      <c r="A422" s="16"/>
      <c r="B422" s="51" t="s">
        <v>470</v>
      </c>
      <c r="C422" s="54"/>
      <c r="D422" s="32"/>
      <c r="E422" s="32"/>
      <c r="F422" s="17">
        <v>376.34</v>
      </c>
      <c r="G422" s="17">
        <f t="shared" si="16"/>
        <v>471.25</v>
      </c>
      <c r="H422" s="187">
        <f t="shared" si="17"/>
        <v>0</v>
      </c>
      <c r="I422" s="170"/>
    </row>
    <row r="423" spans="1:9" s="29" customFormat="1" ht="12.75" hidden="1">
      <c r="A423" s="16"/>
      <c r="B423" s="49" t="s">
        <v>622</v>
      </c>
      <c r="C423" s="54"/>
      <c r="D423" s="32"/>
      <c r="E423" s="32">
        <f>1.8*0.6</f>
        <v>1.08</v>
      </c>
      <c r="F423" s="17">
        <v>376.34</v>
      </c>
      <c r="G423" s="17">
        <f t="shared" si="16"/>
        <v>471.25</v>
      </c>
      <c r="H423" s="187">
        <f t="shared" si="17"/>
        <v>508.95</v>
      </c>
      <c r="I423" s="170"/>
    </row>
    <row r="424" spans="1:9" s="29" customFormat="1" ht="12.75" hidden="1">
      <c r="A424" s="16"/>
      <c r="B424" s="51" t="s">
        <v>469</v>
      </c>
      <c r="C424" s="54"/>
      <c r="D424" s="32"/>
      <c r="E424" s="32"/>
      <c r="F424" s="17">
        <v>376.34</v>
      </c>
      <c r="G424" s="17">
        <f t="shared" si="16"/>
        <v>471.25</v>
      </c>
      <c r="H424" s="187">
        <f t="shared" si="17"/>
        <v>0</v>
      </c>
      <c r="I424" s="170"/>
    </row>
    <row r="425" spans="1:9" s="29" customFormat="1" ht="12.75" hidden="1">
      <c r="A425" s="16"/>
      <c r="B425" s="49" t="s">
        <v>623</v>
      </c>
      <c r="C425" s="54"/>
      <c r="D425" s="32"/>
      <c r="E425" s="32">
        <f>2*1.8*0.6</f>
        <v>2.16</v>
      </c>
      <c r="F425" s="17">
        <v>376.34</v>
      </c>
      <c r="G425" s="17">
        <f t="shared" si="16"/>
        <v>471.25</v>
      </c>
      <c r="H425" s="187">
        <f t="shared" si="17"/>
        <v>1017.9</v>
      </c>
      <c r="I425" s="170"/>
    </row>
    <row r="426" spans="1:9" s="29" customFormat="1" ht="12.75" hidden="1">
      <c r="A426" s="16"/>
      <c r="B426" s="49" t="s">
        <v>479</v>
      </c>
      <c r="C426" s="54"/>
      <c r="D426" s="32"/>
      <c r="E426" s="32"/>
      <c r="F426" s="17">
        <v>376.34</v>
      </c>
      <c r="G426" s="17">
        <f t="shared" si="16"/>
        <v>471.25</v>
      </c>
      <c r="H426" s="187">
        <f t="shared" si="17"/>
        <v>0</v>
      </c>
      <c r="I426" s="170"/>
    </row>
    <row r="427" spans="1:9" s="29" customFormat="1" ht="12.75" hidden="1">
      <c r="A427" s="16"/>
      <c r="B427" s="49" t="s">
        <v>622</v>
      </c>
      <c r="C427" s="54"/>
      <c r="D427" s="32"/>
      <c r="E427" s="32">
        <f>1.8*0.6</f>
        <v>1.08</v>
      </c>
      <c r="F427" s="17">
        <v>376.34</v>
      </c>
      <c r="G427" s="17">
        <f t="shared" ref="G427:G438" si="18">ROUND(F427*1.2522,2)</f>
        <v>471.25</v>
      </c>
      <c r="H427" s="187">
        <f t="shared" ref="H427:H435" si="19">ROUND(E427*G427,2)</f>
        <v>508.95</v>
      </c>
      <c r="I427" s="170"/>
    </row>
    <row r="428" spans="1:9" s="29" customFormat="1" ht="12.75" hidden="1">
      <c r="A428" s="16"/>
      <c r="B428" s="51" t="s">
        <v>466</v>
      </c>
      <c r="C428" s="54"/>
      <c r="D428" s="32"/>
      <c r="E428" s="32"/>
      <c r="F428" s="17">
        <v>376.34</v>
      </c>
      <c r="G428" s="17">
        <f t="shared" si="18"/>
        <v>471.25</v>
      </c>
      <c r="H428" s="187">
        <f t="shared" si="19"/>
        <v>0</v>
      </c>
      <c r="I428" s="170"/>
    </row>
    <row r="429" spans="1:9" s="29" customFormat="1" ht="12.75" hidden="1">
      <c r="A429" s="16"/>
      <c r="B429" s="49" t="s">
        <v>622</v>
      </c>
      <c r="C429" s="54"/>
      <c r="D429" s="32"/>
      <c r="E429" s="32">
        <f>1.8*0.6</f>
        <v>1.08</v>
      </c>
      <c r="F429" s="17">
        <v>376.34</v>
      </c>
      <c r="G429" s="17">
        <f t="shared" si="18"/>
        <v>471.25</v>
      </c>
      <c r="H429" s="187">
        <f t="shared" si="19"/>
        <v>508.95</v>
      </c>
      <c r="I429" s="170"/>
    </row>
    <row r="430" spans="1:9" s="29" customFormat="1" ht="12.75" hidden="1">
      <c r="A430" s="16"/>
      <c r="B430" s="24" t="s">
        <v>463</v>
      </c>
      <c r="C430" s="54"/>
      <c r="D430" s="32"/>
      <c r="E430" s="40">
        <f>SUM(E423:E429)</f>
        <v>5.4</v>
      </c>
      <c r="F430" s="17">
        <v>376.34</v>
      </c>
      <c r="G430" s="17">
        <f t="shared" si="18"/>
        <v>471.25</v>
      </c>
      <c r="H430" s="187">
        <f t="shared" si="19"/>
        <v>2544.75</v>
      </c>
      <c r="I430" s="170"/>
    </row>
    <row r="431" spans="1:9" s="29" customFormat="1" ht="38.25">
      <c r="A431" s="33" t="s">
        <v>341</v>
      </c>
      <c r="B431" s="34" t="s">
        <v>229</v>
      </c>
      <c r="C431" s="54" t="s">
        <v>729</v>
      </c>
      <c r="D431" s="33" t="s">
        <v>109</v>
      </c>
      <c r="E431" s="39">
        <v>0.48</v>
      </c>
      <c r="F431" s="184">
        <v>461.38</v>
      </c>
      <c r="G431" s="17">
        <f t="shared" si="18"/>
        <v>577.74</v>
      </c>
      <c r="H431" s="187">
        <f t="shared" si="19"/>
        <v>277.32</v>
      </c>
      <c r="I431" s="170">
        <f>H431/$H$960*100</f>
        <v>6.9064813561986391E-2</v>
      </c>
    </row>
    <row r="432" spans="1:9" s="29" customFormat="1" ht="12.75" hidden="1">
      <c r="A432" s="16"/>
      <c r="B432" s="51" t="s">
        <v>597</v>
      </c>
      <c r="C432" s="54"/>
      <c r="D432" s="32"/>
      <c r="E432" s="32"/>
      <c r="F432" s="17">
        <v>376.34</v>
      </c>
      <c r="G432" s="17">
        <f t="shared" si="18"/>
        <v>471.25</v>
      </c>
      <c r="H432" s="187">
        <f t="shared" si="19"/>
        <v>0</v>
      </c>
      <c r="I432" s="170"/>
    </row>
    <row r="433" spans="1:9" s="29" customFormat="1" ht="12.75" hidden="1">
      <c r="A433" s="16"/>
      <c r="B433" s="49" t="s">
        <v>624</v>
      </c>
      <c r="C433" s="54"/>
      <c r="D433" s="32"/>
      <c r="E433" s="32">
        <f>1.2*0.4</f>
        <v>0.48</v>
      </c>
      <c r="F433" s="17">
        <v>376.34</v>
      </c>
      <c r="G433" s="17">
        <f t="shared" si="18"/>
        <v>471.25</v>
      </c>
      <c r="H433" s="187">
        <f t="shared" si="19"/>
        <v>226.2</v>
      </c>
      <c r="I433" s="170"/>
    </row>
    <row r="434" spans="1:9" s="29" customFormat="1" ht="12.75" hidden="1">
      <c r="A434" s="16"/>
      <c r="B434" s="24" t="s">
        <v>463</v>
      </c>
      <c r="C434" s="54"/>
      <c r="D434" s="32"/>
      <c r="E434" s="40">
        <f>SUM(E433:E433)</f>
        <v>0.48</v>
      </c>
      <c r="F434" s="17">
        <v>376.34</v>
      </c>
      <c r="G434" s="17">
        <f t="shared" si="18"/>
        <v>471.25</v>
      </c>
      <c r="H434" s="187">
        <f t="shared" si="19"/>
        <v>226.2</v>
      </c>
      <c r="I434" s="170"/>
    </row>
    <row r="435" spans="1:9" s="29" customFormat="1" ht="38.25">
      <c r="A435" s="33" t="s">
        <v>342</v>
      </c>
      <c r="B435" s="34" t="s">
        <v>227</v>
      </c>
      <c r="C435" s="54" t="s">
        <v>729</v>
      </c>
      <c r="D435" s="33" t="s">
        <v>109</v>
      </c>
      <c r="E435" s="39">
        <v>0.8</v>
      </c>
      <c r="F435" s="184">
        <v>461.38</v>
      </c>
      <c r="G435" s="17">
        <f t="shared" si="18"/>
        <v>577.74</v>
      </c>
      <c r="H435" s="187">
        <f t="shared" si="19"/>
        <v>462.19</v>
      </c>
      <c r="I435" s="170">
        <f>H435/$H$960*100</f>
        <v>0.11510553216578134</v>
      </c>
    </row>
    <row r="436" spans="1:9" s="29" customFormat="1" ht="12.75" hidden="1">
      <c r="A436" s="16"/>
      <c r="B436" s="51" t="s">
        <v>478</v>
      </c>
      <c r="C436" s="54"/>
      <c r="D436" s="32"/>
      <c r="E436" s="32"/>
      <c r="F436" s="172"/>
      <c r="G436" s="17">
        <f t="shared" si="18"/>
        <v>0</v>
      </c>
      <c r="H436" s="17"/>
      <c r="I436" s="170"/>
    </row>
    <row r="437" spans="1:9" s="29" customFormat="1" ht="12.75" hidden="1">
      <c r="A437" s="16"/>
      <c r="B437" s="49" t="s">
        <v>626</v>
      </c>
      <c r="C437" s="54"/>
      <c r="D437" s="32"/>
      <c r="E437" s="32">
        <f>2*0.4</f>
        <v>0.8</v>
      </c>
      <c r="F437" s="172"/>
      <c r="G437" s="17">
        <f t="shared" si="18"/>
        <v>0</v>
      </c>
      <c r="H437" s="17"/>
      <c r="I437" s="170"/>
    </row>
    <row r="438" spans="1:9" s="29" customFormat="1" ht="12.75" hidden="1">
      <c r="A438" s="16"/>
      <c r="B438" s="24" t="s">
        <v>463</v>
      </c>
      <c r="C438" s="54"/>
      <c r="D438" s="32"/>
      <c r="E438" s="40">
        <f>SUM(E437:E437)</f>
        <v>0.8</v>
      </c>
      <c r="F438" s="172"/>
      <c r="G438" s="17">
        <f t="shared" si="18"/>
        <v>0</v>
      </c>
      <c r="H438" s="17"/>
      <c r="I438" s="170"/>
    </row>
    <row r="439" spans="1:9" ht="12.75">
      <c r="A439" s="190" t="s">
        <v>111</v>
      </c>
      <c r="B439" s="190"/>
      <c r="C439" s="163"/>
      <c r="D439" s="23"/>
      <c r="E439" s="22"/>
      <c r="F439" s="22"/>
      <c r="G439" s="17"/>
      <c r="H439" s="22">
        <f>H435+H431+H421+H409+H401+H398+H395+H389+H369+H363</f>
        <v>22448.940000000002</v>
      </c>
      <c r="I439" s="170">
        <f>H439/$H$960*100</f>
        <v>5.5907682668549645</v>
      </c>
    </row>
    <row r="440" spans="1:9" ht="12.75">
      <c r="A440" s="23" t="s">
        <v>97</v>
      </c>
      <c r="B440" s="18" t="s">
        <v>71</v>
      </c>
      <c r="C440" s="163"/>
      <c r="D440" s="16"/>
      <c r="E440" s="17"/>
      <c r="F440" s="17"/>
      <c r="G440" s="17"/>
      <c r="H440" s="17"/>
      <c r="I440" s="170"/>
    </row>
    <row r="441" spans="1:9" ht="25.5">
      <c r="A441" s="16" t="s">
        <v>94</v>
      </c>
      <c r="B441" s="26" t="s">
        <v>236</v>
      </c>
      <c r="C441" s="164">
        <v>55866</v>
      </c>
      <c r="D441" s="16" t="s">
        <v>81</v>
      </c>
      <c r="E441" s="17">
        <v>77.55</v>
      </c>
      <c r="F441" s="184">
        <v>18.38</v>
      </c>
      <c r="G441" s="17">
        <f t="shared" ref="G441:G504" si="20">ROUND(F441*1.2522,2)</f>
        <v>23.02</v>
      </c>
      <c r="H441" s="187">
        <f t="shared" ref="H441:H504" si="21">ROUND(E441*G441,2)</f>
        <v>1785.2</v>
      </c>
      <c r="I441" s="170">
        <f>H441/$H$960*100</f>
        <v>0.4445929077270232</v>
      </c>
    </row>
    <row r="442" spans="1:9" ht="12.75" hidden="1">
      <c r="A442" s="16"/>
      <c r="B442" s="26" t="s">
        <v>627</v>
      </c>
      <c r="C442" s="164"/>
      <c r="D442" s="16"/>
      <c r="E442" s="72">
        <f>12.2+8.7+24.35+6+5.4+14.9+6</f>
        <v>77.55</v>
      </c>
      <c r="F442" s="17"/>
      <c r="G442" s="17">
        <f t="shared" si="20"/>
        <v>0</v>
      </c>
      <c r="H442" s="187">
        <f t="shared" si="21"/>
        <v>0</v>
      </c>
      <c r="I442" s="170"/>
    </row>
    <row r="443" spans="1:9" ht="25.5">
      <c r="A443" s="16" t="s">
        <v>102</v>
      </c>
      <c r="B443" s="26" t="s">
        <v>628</v>
      </c>
      <c r="C443" s="164">
        <v>72935</v>
      </c>
      <c r="D443" s="16" t="s">
        <v>81</v>
      </c>
      <c r="E443" s="17">
        <v>428.1</v>
      </c>
      <c r="F443" s="184">
        <v>4.5999999999999996</v>
      </c>
      <c r="G443" s="17">
        <f t="shared" si="20"/>
        <v>5.76</v>
      </c>
      <c r="H443" s="187">
        <f t="shared" si="21"/>
        <v>2465.86</v>
      </c>
      <c r="I443" s="170">
        <f>H443/$H$960*100</f>
        <v>0.61410702859497956</v>
      </c>
    </row>
    <row r="444" spans="1:9" ht="12.75" hidden="1">
      <c r="A444" s="16"/>
      <c r="B444" s="26" t="s">
        <v>630</v>
      </c>
      <c r="C444" s="164"/>
      <c r="D444" s="16"/>
      <c r="E444" s="56">
        <f>(21+10+21+17+10+8.7+18.7+20+16.3)*3</f>
        <v>428.1</v>
      </c>
      <c r="F444" s="17"/>
      <c r="G444" s="17">
        <f t="shared" si="20"/>
        <v>0</v>
      </c>
      <c r="H444" s="187">
        <f t="shared" si="21"/>
        <v>0</v>
      </c>
      <c r="I444" s="170"/>
    </row>
    <row r="445" spans="1:9" ht="25.5">
      <c r="A445" s="16" t="s">
        <v>185</v>
      </c>
      <c r="B445" s="26" t="s">
        <v>238</v>
      </c>
      <c r="C445" s="164" t="s">
        <v>730</v>
      </c>
      <c r="D445" s="16" t="s">
        <v>81</v>
      </c>
      <c r="E445" s="17">
        <v>1483.82</v>
      </c>
      <c r="F445" s="184">
        <v>2.3199999999999998</v>
      </c>
      <c r="G445" s="17">
        <f t="shared" si="20"/>
        <v>2.91</v>
      </c>
      <c r="H445" s="187">
        <f t="shared" si="21"/>
        <v>4317.92</v>
      </c>
      <c r="I445" s="170">
        <f>H445/$H$960*100</f>
        <v>1.0753510016427672</v>
      </c>
    </row>
    <row r="446" spans="1:9" ht="63.75" hidden="1">
      <c r="A446" s="16"/>
      <c r="B446" s="26" t="s">
        <v>629</v>
      </c>
      <c r="C446" s="164"/>
      <c r="D446" s="16"/>
      <c r="E446" s="19">
        <f>(1.2*19+4.36*7+3.16*3+3.15*2+1.26*3+2.15*3+3.78*17+1.79*2+1.85*2+3.12*4+1.8*2+3.75*13+4+2+3.2*11+1.8*3+1.2*2+1.75*2+5.1*2+2.5*8+3.16*7+1.7*3+2.2*7+4*2+21+12+2*5.3*7+2.4*2*2+3.3*13*21+2.6*5+1.7*4+2.3*9+6*2.6+1.5*2+12+3+2.5*4+10+3+6+6+8)</f>
        <v>1483.8199999999997</v>
      </c>
      <c r="F446" s="17"/>
      <c r="G446" s="17">
        <f t="shared" si="20"/>
        <v>0</v>
      </c>
      <c r="H446" s="187">
        <f t="shared" si="21"/>
        <v>0</v>
      </c>
      <c r="I446" s="170"/>
    </row>
    <row r="447" spans="1:9" ht="25.5">
      <c r="A447" s="16" t="s">
        <v>186</v>
      </c>
      <c r="B447" s="26" t="s">
        <v>240</v>
      </c>
      <c r="C447" s="164" t="s">
        <v>731</v>
      </c>
      <c r="D447" s="16" t="s">
        <v>81</v>
      </c>
      <c r="E447" s="17">
        <v>200</v>
      </c>
      <c r="F447" s="184">
        <v>4.5999999999999996</v>
      </c>
      <c r="G447" s="17">
        <f t="shared" si="20"/>
        <v>5.76</v>
      </c>
      <c r="H447" s="187">
        <f t="shared" si="21"/>
        <v>1152</v>
      </c>
      <c r="I447" s="170">
        <f>H447/$H$960*100</f>
        <v>0.28689840337302863</v>
      </c>
    </row>
    <row r="448" spans="1:9" ht="25.5" hidden="1">
      <c r="A448" s="16"/>
      <c r="B448" s="26" t="s">
        <v>632</v>
      </c>
      <c r="C448" s="164"/>
      <c r="D448" s="16"/>
      <c r="E448" s="17"/>
      <c r="F448" s="17"/>
      <c r="G448" s="17">
        <f t="shared" si="20"/>
        <v>0</v>
      </c>
      <c r="H448" s="187">
        <f t="shared" si="21"/>
        <v>0</v>
      </c>
      <c r="I448" s="170"/>
    </row>
    <row r="449" spans="1:9" ht="12.75" hidden="1">
      <c r="A449" s="16"/>
      <c r="B449" s="26" t="s">
        <v>631</v>
      </c>
      <c r="C449" s="164"/>
      <c r="D449" s="16"/>
      <c r="E449" s="182">
        <f>25*4*2</f>
        <v>200</v>
      </c>
      <c r="F449" s="17"/>
      <c r="G449" s="17">
        <f t="shared" si="20"/>
        <v>0</v>
      </c>
      <c r="H449" s="187">
        <f t="shared" si="21"/>
        <v>0</v>
      </c>
      <c r="I449" s="170"/>
    </row>
    <row r="450" spans="1:9" ht="25.5">
      <c r="A450" s="16" t="s">
        <v>343</v>
      </c>
      <c r="B450" s="26" t="s">
        <v>242</v>
      </c>
      <c r="C450" s="164" t="s">
        <v>241</v>
      </c>
      <c r="D450" s="16" t="s">
        <v>65</v>
      </c>
      <c r="E450" s="17">
        <v>1</v>
      </c>
      <c r="F450" s="184">
        <v>9.31</v>
      </c>
      <c r="G450" s="17">
        <f t="shared" si="20"/>
        <v>11.66</v>
      </c>
      <c r="H450" s="187">
        <f t="shared" si="21"/>
        <v>11.66</v>
      </c>
      <c r="I450" s="170">
        <f>H450/$H$960*100</f>
        <v>2.9038501591402035E-3</v>
      </c>
    </row>
    <row r="451" spans="1:9" ht="12.75" hidden="1">
      <c r="A451" s="16"/>
      <c r="B451" s="26" t="s">
        <v>633</v>
      </c>
      <c r="C451" s="164"/>
      <c r="D451" s="16"/>
      <c r="E451" s="72">
        <v>1</v>
      </c>
      <c r="F451" s="17"/>
      <c r="G451" s="17">
        <f t="shared" si="20"/>
        <v>0</v>
      </c>
      <c r="H451" s="187">
        <f t="shared" si="21"/>
        <v>0</v>
      </c>
      <c r="I451" s="170"/>
    </row>
    <row r="452" spans="1:9" ht="25.5">
      <c r="A452" s="16" t="s">
        <v>344</v>
      </c>
      <c r="B452" s="26" t="s">
        <v>244</v>
      </c>
      <c r="C452" s="164" t="s">
        <v>243</v>
      </c>
      <c r="D452" s="16" t="s">
        <v>65</v>
      </c>
      <c r="E452" s="17">
        <v>12</v>
      </c>
      <c r="F452" s="184">
        <v>61.05</v>
      </c>
      <c r="G452" s="17">
        <f t="shared" si="20"/>
        <v>76.45</v>
      </c>
      <c r="H452" s="187">
        <f t="shared" si="21"/>
        <v>917.4</v>
      </c>
      <c r="I452" s="170">
        <f t="shared" ref="I452:I457" si="22">H452/$H$960*100</f>
        <v>0.22847273893612544</v>
      </c>
    </row>
    <row r="453" spans="1:9" ht="68.25" customHeight="1">
      <c r="A453" s="16" t="s">
        <v>345</v>
      </c>
      <c r="B453" s="26" t="s">
        <v>772</v>
      </c>
      <c r="C453" s="164" t="s">
        <v>773</v>
      </c>
      <c r="D453" s="16" t="s">
        <v>65</v>
      </c>
      <c r="E453" s="17">
        <v>1</v>
      </c>
      <c r="F453" s="184">
        <v>39.11</v>
      </c>
      <c r="G453" s="17">
        <f t="shared" si="20"/>
        <v>48.97</v>
      </c>
      <c r="H453" s="187">
        <f t="shared" si="21"/>
        <v>48.97</v>
      </c>
      <c r="I453" s="170">
        <f t="shared" si="22"/>
        <v>1.2195672580882999E-2</v>
      </c>
    </row>
    <row r="454" spans="1:9" ht="27.75" customHeight="1">
      <c r="A454" s="16" t="s">
        <v>346</v>
      </c>
      <c r="B454" s="26" t="s">
        <v>246</v>
      </c>
      <c r="C454" s="164" t="s">
        <v>749</v>
      </c>
      <c r="D454" s="16" t="s">
        <v>110</v>
      </c>
      <c r="E454" s="17">
        <v>33</v>
      </c>
      <c r="F454" s="17">
        <v>96.74</v>
      </c>
      <c r="G454" s="17">
        <f t="shared" si="20"/>
        <v>121.14</v>
      </c>
      <c r="H454" s="187">
        <f t="shared" si="21"/>
        <v>3997.62</v>
      </c>
      <c r="I454" s="170">
        <f t="shared" si="22"/>
        <v>0.9955822875799365</v>
      </c>
    </row>
    <row r="455" spans="1:9" ht="37.5" customHeight="1">
      <c r="A455" s="16" t="s">
        <v>347</v>
      </c>
      <c r="B455" s="180" t="s">
        <v>651</v>
      </c>
      <c r="C455" s="164" t="s">
        <v>650</v>
      </c>
      <c r="D455" s="16" t="s">
        <v>65</v>
      </c>
      <c r="E455" s="17">
        <v>30</v>
      </c>
      <c r="F455" s="184">
        <v>94.31</v>
      </c>
      <c r="G455" s="17">
        <f t="shared" si="20"/>
        <v>118.09</v>
      </c>
      <c r="H455" s="187">
        <f t="shared" si="21"/>
        <v>3542.7</v>
      </c>
      <c r="I455" s="170">
        <f t="shared" si="22"/>
        <v>0.88228730349794149</v>
      </c>
    </row>
    <row r="456" spans="1:9" ht="27.75" customHeight="1">
      <c r="A456" s="16" t="s">
        <v>348</v>
      </c>
      <c r="B456" s="26" t="s">
        <v>653</v>
      </c>
      <c r="C456" s="164" t="s">
        <v>652</v>
      </c>
      <c r="D456" s="16" t="s">
        <v>65</v>
      </c>
      <c r="E456" s="17">
        <v>3</v>
      </c>
      <c r="F456" s="184">
        <v>44.83</v>
      </c>
      <c r="G456" s="17">
        <f t="shared" si="20"/>
        <v>56.14</v>
      </c>
      <c r="H456" s="187">
        <f t="shared" si="21"/>
        <v>168.42</v>
      </c>
      <c r="I456" s="170">
        <f t="shared" si="22"/>
        <v>4.1943948868129757E-2</v>
      </c>
    </row>
    <row r="457" spans="1:9" ht="25.5">
      <c r="A457" s="16" t="s">
        <v>349</v>
      </c>
      <c r="B457" s="26" t="s">
        <v>155</v>
      </c>
      <c r="C457" s="164" t="s">
        <v>760</v>
      </c>
      <c r="D457" s="16" t="s">
        <v>110</v>
      </c>
      <c r="E457" s="17">
        <v>16</v>
      </c>
      <c r="F457" s="17">
        <v>103.1</v>
      </c>
      <c r="G457" s="17">
        <f t="shared" si="20"/>
        <v>129.1</v>
      </c>
      <c r="H457" s="187">
        <f t="shared" si="21"/>
        <v>2065.6</v>
      </c>
      <c r="I457" s="170">
        <f t="shared" si="22"/>
        <v>0.51442477604802783</v>
      </c>
    </row>
    <row r="458" spans="1:9" ht="12.75" hidden="1">
      <c r="A458" s="16"/>
      <c r="B458" s="51" t="s">
        <v>634</v>
      </c>
      <c r="C458" s="54"/>
      <c r="D458" s="32"/>
      <c r="E458" s="32"/>
      <c r="F458" s="172"/>
      <c r="G458" s="17">
        <f t="shared" si="20"/>
        <v>0</v>
      </c>
      <c r="H458" s="187">
        <f t="shared" si="21"/>
        <v>0</v>
      </c>
      <c r="I458" s="170"/>
    </row>
    <row r="459" spans="1:9" ht="12.75" hidden="1">
      <c r="A459" s="16"/>
      <c r="B459" s="49" t="s">
        <v>635</v>
      </c>
      <c r="C459" s="54"/>
      <c r="D459" s="32"/>
      <c r="E459" s="32">
        <v>1</v>
      </c>
      <c r="F459" s="172"/>
      <c r="G459" s="17">
        <f t="shared" si="20"/>
        <v>0</v>
      </c>
      <c r="H459" s="187">
        <f t="shared" si="21"/>
        <v>0</v>
      </c>
      <c r="I459" s="170"/>
    </row>
    <row r="460" spans="1:9" ht="12.75" hidden="1">
      <c r="A460" s="16"/>
      <c r="B460" s="51" t="s">
        <v>636</v>
      </c>
      <c r="C460" s="54"/>
      <c r="D460" s="32"/>
      <c r="E460" s="32"/>
      <c r="F460" s="172"/>
      <c r="G460" s="17">
        <f t="shared" si="20"/>
        <v>0</v>
      </c>
      <c r="H460" s="187">
        <f t="shared" si="21"/>
        <v>0</v>
      </c>
      <c r="I460" s="170"/>
    </row>
    <row r="461" spans="1:9" ht="12.75" hidden="1">
      <c r="A461" s="16"/>
      <c r="B461" s="49" t="s">
        <v>635</v>
      </c>
      <c r="C461" s="54"/>
      <c r="D461" s="32"/>
      <c r="E461" s="32">
        <v>1</v>
      </c>
      <c r="F461" s="172"/>
      <c r="G461" s="17">
        <f t="shared" si="20"/>
        <v>0</v>
      </c>
      <c r="H461" s="187">
        <f t="shared" si="21"/>
        <v>0</v>
      </c>
      <c r="I461" s="170"/>
    </row>
    <row r="462" spans="1:9" ht="12.75" hidden="1">
      <c r="A462" s="16"/>
      <c r="B462" s="51" t="s">
        <v>478</v>
      </c>
      <c r="C462" s="54"/>
      <c r="D462" s="32"/>
      <c r="E462" s="32"/>
      <c r="F462" s="172"/>
      <c r="G462" s="17">
        <f t="shared" si="20"/>
        <v>0</v>
      </c>
      <c r="H462" s="187">
        <f t="shared" si="21"/>
        <v>0</v>
      </c>
      <c r="I462" s="170"/>
    </row>
    <row r="463" spans="1:9" ht="12.75" hidden="1">
      <c r="A463" s="16"/>
      <c r="B463" s="49" t="s">
        <v>635</v>
      </c>
      <c r="C463" s="54"/>
      <c r="D463" s="32"/>
      <c r="E463" s="32">
        <v>1</v>
      </c>
      <c r="F463" s="172"/>
      <c r="G463" s="17">
        <f t="shared" si="20"/>
        <v>0</v>
      </c>
      <c r="H463" s="187">
        <f t="shared" si="21"/>
        <v>0</v>
      </c>
      <c r="I463" s="170"/>
    </row>
    <row r="464" spans="1:9" ht="12.75" hidden="1">
      <c r="A464" s="16"/>
      <c r="B464" s="49" t="s">
        <v>479</v>
      </c>
      <c r="C464" s="54"/>
      <c r="D464" s="32"/>
      <c r="E464" s="32"/>
      <c r="F464" s="172"/>
      <c r="G464" s="17">
        <f t="shared" si="20"/>
        <v>0</v>
      </c>
      <c r="H464" s="187">
        <f t="shared" si="21"/>
        <v>0</v>
      </c>
      <c r="I464" s="170"/>
    </row>
    <row r="465" spans="1:9" ht="12.75" hidden="1">
      <c r="A465" s="16"/>
      <c r="B465" s="49" t="s">
        <v>635</v>
      </c>
      <c r="C465" s="54"/>
      <c r="D465" s="32"/>
      <c r="E465" s="32">
        <v>1</v>
      </c>
      <c r="F465" s="172"/>
      <c r="G465" s="17">
        <f t="shared" si="20"/>
        <v>0</v>
      </c>
      <c r="H465" s="187">
        <f t="shared" si="21"/>
        <v>0</v>
      </c>
      <c r="I465" s="170"/>
    </row>
    <row r="466" spans="1:9" ht="12.75" hidden="1">
      <c r="A466" s="16"/>
      <c r="B466" s="49" t="s">
        <v>485</v>
      </c>
      <c r="C466" s="54"/>
      <c r="D466" s="32"/>
      <c r="E466" s="32"/>
      <c r="F466" s="172"/>
      <c r="G466" s="17">
        <f t="shared" si="20"/>
        <v>0</v>
      </c>
      <c r="H466" s="187">
        <f t="shared" si="21"/>
        <v>0</v>
      </c>
      <c r="I466" s="170"/>
    </row>
    <row r="467" spans="1:9" ht="12.75" hidden="1">
      <c r="A467" s="16"/>
      <c r="B467" s="49" t="s">
        <v>635</v>
      </c>
      <c r="C467" s="54"/>
      <c r="D467" s="32"/>
      <c r="E467" s="32">
        <v>1</v>
      </c>
      <c r="F467" s="172"/>
      <c r="G467" s="17">
        <f t="shared" si="20"/>
        <v>0</v>
      </c>
      <c r="H467" s="187">
        <f t="shared" si="21"/>
        <v>0</v>
      </c>
      <c r="I467" s="170"/>
    </row>
    <row r="468" spans="1:9" ht="12.75" hidden="1">
      <c r="A468" s="16"/>
      <c r="B468" s="49" t="s">
        <v>486</v>
      </c>
      <c r="C468" s="54"/>
      <c r="D468" s="32"/>
      <c r="E468" s="32"/>
      <c r="F468" s="172"/>
      <c r="G468" s="17">
        <f t="shared" si="20"/>
        <v>0</v>
      </c>
      <c r="H468" s="187">
        <f t="shared" si="21"/>
        <v>0</v>
      </c>
      <c r="I468" s="170"/>
    </row>
    <row r="469" spans="1:9" ht="12.75" hidden="1">
      <c r="A469" s="16"/>
      <c r="B469" s="49" t="s">
        <v>635</v>
      </c>
      <c r="C469" s="54"/>
      <c r="D469" s="32"/>
      <c r="E469" s="32">
        <v>1</v>
      </c>
      <c r="F469" s="172"/>
      <c r="G469" s="17">
        <f t="shared" si="20"/>
        <v>0</v>
      </c>
      <c r="H469" s="187">
        <f t="shared" si="21"/>
        <v>0</v>
      </c>
      <c r="I469" s="170"/>
    </row>
    <row r="470" spans="1:9" ht="12.75" hidden="1">
      <c r="A470" s="16"/>
      <c r="B470" s="51" t="s">
        <v>469</v>
      </c>
      <c r="C470" s="54"/>
      <c r="D470" s="32"/>
      <c r="E470" s="32"/>
      <c r="F470" s="172"/>
      <c r="G470" s="17">
        <f t="shared" si="20"/>
        <v>0</v>
      </c>
      <c r="H470" s="187">
        <f t="shared" si="21"/>
        <v>0</v>
      </c>
      <c r="I470" s="170"/>
    </row>
    <row r="471" spans="1:9" ht="12.75" hidden="1">
      <c r="A471" s="16"/>
      <c r="B471" s="49" t="s">
        <v>610</v>
      </c>
      <c r="C471" s="54"/>
      <c r="D471" s="32"/>
      <c r="E471" s="32">
        <v>2</v>
      </c>
      <c r="F471" s="172"/>
      <c r="G471" s="17">
        <f t="shared" si="20"/>
        <v>0</v>
      </c>
      <c r="H471" s="187">
        <f t="shared" si="21"/>
        <v>0</v>
      </c>
      <c r="I471" s="170"/>
    </row>
    <row r="472" spans="1:9" ht="12.75" hidden="1">
      <c r="A472" s="16"/>
      <c r="B472" s="51" t="s">
        <v>470</v>
      </c>
      <c r="C472" s="54"/>
      <c r="D472" s="32"/>
      <c r="E472" s="32"/>
      <c r="F472" s="172"/>
      <c r="G472" s="17">
        <f t="shared" si="20"/>
        <v>0</v>
      </c>
      <c r="H472" s="187">
        <f t="shared" si="21"/>
        <v>0</v>
      </c>
      <c r="I472" s="170"/>
    </row>
    <row r="473" spans="1:9" ht="12.75" hidden="1">
      <c r="A473" s="16"/>
      <c r="B473" s="49" t="s">
        <v>635</v>
      </c>
      <c r="C473" s="54"/>
      <c r="D473" s="32"/>
      <c r="E473" s="32">
        <v>1</v>
      </c>
      <c r="F473" s="172"/>
      <c r="G473" s="17">
        <f t="shared" si="20"/>
        <v>0</v>
      </c>
      <c r="H473" s="187">
        <f t="shared" si="21"/>
        <v>0</v>
      </c>
      <c r="I473" s="170"/>
    </row>
    <row r="474" spans="1:9" ht="12.75" hidden="1">
      <c r="A474" s="16"/>
      <c r="B474" s="51" t="s">
        <v>530</v>
      </c>
      <c r="C474" s="54"/>
      <c r="D474" s="32"/>
      <c r="E474" s="32"/>
      <c r="F474" s="172"/>
      <c r="G474" s="17">
        <f t="shared" si="20"/>
        <v>0</v>
      </c>
      <c r="H474" s="187">
        <f t="shared" si="21"/>
        <v>0</v>
      </c>
      <c r="I474" s="170"/>
    </row>
    <row r="475" spans="1:9" ht="12.75" hidden="1">
      <c r="A475" s="16"/>
      <c r="B475" s="49" t="s">
        <v>635</v>
      </c>
      <c r="C475" s="54"/>
      <c r="D475" s="32"/>
      <c r="E475" s="32">
        <v>1</v>
      </c>
      <c r="F475" s="172"/>
      <c r="G475" s="17">
        <f t="shared" si="20"/>
        <v>0</v>
      </c>
      <c r="H475" s="187">
        <f t="shared" si="21"/>
        <v>0</v>
      </c>
      <c r="I475" s="170"/>
    </row>
    <row r="476" spans="1:9" ht="12.75" hidden="1">
      <c r="A476" s="16"/>
      <c r="B476" s="51" t="s">
        <v>471</v>
      </c>
      <c r="C476" s="54"/>
      <c r="D476" s="32"/>
      <c r="E476" s="32"/>
      <c r="F476" s="172"/>
      <c r="G476" s="17">
        <f t="shared" si="20"/>
        <v>0</v>
      </c>
      <c r="H476" s="187">
        <f t="shared" si="21"/>
        <v>0</v>
      </c>
      <c r="I476" s="170"/>
    </row>
    <row r="477" spans="1:9" ht="12.75" hidden="1">
      <c r="A477" s="16"/>
      <c r="B477" s="49" t="s">
        <v>635</v>
      </c>
      <c r="C477" s="54"/>
      <c r="D477" s="32"/>
      <c r="E477" s="32">
        <v>1</v>
      </c>
      <c r="F477" s="172"/>
      <c r="G477" s="17">
        <f t="shared" si="20"/>
        <v>0</v>
      </c>
      <c r="H477" s="187">
        <f t="shared" si="21"/>
        <v>0</v>
      </c>
      <c r="I477" s="170"/>
    </row>
    <row r="478" spans="1:9" ht="12.75" hidden="1">
      <c r="A478" s="16"/>
      <c r="B478" s="51" t="s">
        <v>597</v>
      </c>
      <c r="C478" s="54"/>
      <c r="D478" s="32"/>
      <c r="E478" s="32"/>
      <c r="F478" s="172"/>
      <c r="G478" s="17">
        <f t="shared" si="20"/>
        <v>0</v>
      </c>
      <c r="H478" s="187">
        <f t="shared" si="21"/>
        <v>0</v>
      </c>
      <c r="I478" s="170"/>
    </row>
    <row r="479" spans="1:9" ht="12.75" hidden="1">
      <c r="A479" s="16"/>
      <c r="B479" s="49" t="s">
        <v>635</v>
      </c>
      <c r="C479" s="54"/>
      <c r="D479" s="32"/>
      <c r="E479" s="32">
        <v>1</v>
      </c>
      <c r="F479" s="172"/>
      <c r="G479" s="17">
        <f t="shared" si="20"/>
        <v>0</v>
      </c>
      <c r="H479" s="187">
        <f t="shared" si="21"/>
        <v>0</v>
      </c>
      <c r="I479" s="170"/>
    </row>
    <row r="480" spans="1:9" ht="12.75" hidden="1">
      <c r="A480" s="16"/>
      <c r="B480" s="51" t="s">
        <v>612</v>
      </c>
      <c r="C480" s="54"/>
      <c r="D480" s="32"/>
      <c r="E480" s="32"/>
      <c r="F480" s="172"/>
      <c r="G480" s="17">
        <f t="shared" si="20"/>
        <v>0</v>
      </c>
      <c r="H480" s="187">
        <f t="shared" si="21"/>
        <v>0</v>
      </c>
      <c r="I480" s="170"/>
    </row>
    <row r="481" spans="1:9" ht="12.75" hidden="1">
      <c r="A481" s="16"/>
      <c r="B481" s="49" t="s">
        <v>635</v>
      </c>
      <c r="C481" s="54"/>
      <c r="D481" s="32"/>
      <c r="E481" s="32">
        <v>1</v>
      </c>
      <c r="F481" s="172"/>
      <c r="G481" s="17">
        <f t="shared" si="20"/>
        <v>0</v>
      </c>
      <c r="H481" s="187">
        <f t="shared" si="21"/>
        <v>0</v>
      </c>
      <c r="I481" s="170"/>
    </row>
    <row r="482" spans="1:9" ht="12.75" hidden="1">
      <c r="A482" s="16"/>
      <c r="B482" s="51" t="s">
        <v>473</v>
      </c>
      <c r="C482" s="54"/>
      <c r="D482" s="32"/>
      <c r="E482" s="32"/>
      <c r="F482" s="172"/>
      <c r="G482" s="17">
        <f t="shared" si="20"/>
        <v>0</v>
      </c>
      <c r="H482" s="187">
        <f t="shared" si="21"/>
        <v>0</v>
      </c>
      <c r="I482" s="170"/>
    </row>
    <row r="483" spans="1:9" ht="12.75" hidden="1">
      <c r="A483" s="16"/>
      <c r="B483" s="49" t="s">
        <v>635</v>
      </c>
      <c r="C483" s="54"/>
      <c r="D483" s="32"/>
      <c r="E483" s="32">
        <v>1</v>
      </c>
      <c r="F483" s="172"/>
      <c r="G483" s="17">
        <f t="shared" si="20"/>
        <v>0</v>
      </c>
      <c r="H483" s="187">
        <f t="shared" si="21"/>
        <v>0</v>
      </c>
      <c r="I483" s="170"/>
    </row>
    <row r="484" spans="1:9" ht="12.75" hidden="1">
      <c r="A484" s="16"/>
      <c r="B484" s="51" t="s">
        <v>474</v>
      </c>
      <c r="C484" s="54"/>
      <c r="D484" s="32"/>
      <c r="E484" s="32"/>
      <c r="F484" s="172"/>
      <c r="G484" s="17">
        <f t="shared" si="20"/>
        <v>0</v>
      </c>
      <c r="H484" s="187">
        <f t="shared" si="21"/>
        <v>0</v>
      </c>
      <c r="I484" s="170"/>
    </row>
    <row r="485" spans="1:9" ht="12.75" hidden="1">
      <c r="A485" s="16"/>
      <c r="B485" s="49" t="s">
        <v>635</v>
      </c>
      <c r="C485" s="54"/>
      <c r="D485" s="32"/>
      <c r="E485" s="32">
        <v>1</v>
      </c>
      <c r="F485" s="172"/>
      <c r="G485" s="17">
        <f t="shared" si="20"/>
        <v>0</v>
      </c>
      <c r="H485" s="187">
        <f t="shared" si="21"/>
        <v>0</v>
      </c>
      <c r="I485" s="170"/>
    </row>
    <row r="486" spans="1:9" ht="12.75" hidden="1">
      <c r="A486" s="16"/>
      <c r="B486" s="51" t="s">
        <v>476</v>
      </c>
      <c r="C486" s="54"/>
      <c r="D486" s="32"/>
      <c r="E486" s="32"/>
      <c r="F486" s="172"/>
      <c r="G486" s="17">
        <f t="shared" si="20"/>
        <v>0</v>
      </c>
      <c r="H486" s="187">
        <f t="shared" si="21"/>
        <v>0</v>
      </c>
      <c r="I486" s="170"/>
    </row>
    <row r="487" spans="1:9" ht="12.75" hidden="1">
      <c r="A487" s="16"/>
      <c r="B487" s="49" t="s">
        <v>635</v>
      </c>
      <c r="C487" s="54"/>
      <c r="D487" s="32"/>
      <c r="E487" s="32">
        <v>1</v>
      </c>
      <c r="F487" s="172"/>
      <c r="G487" s="17">
        <f t="shared" si="20"/>
        <v>0</v>
      </c>
      <c r="H487" s="187">
        <f t="shared" si="21"/>
        <v>0</v>
      </c>
      <c r="I487" s="170"/>
    </row>
    <row r="488" spans="1:9" ht="12.75" hidden="1">
      <c r="A488" s="16"/>
      <c r="B488" s="24" t="s">
        <v>463</v>
      </c>
      <c r="C488" s="54"/>
      <c r="D488" s="32"/>
      <c r="E488" s="40">
        <f>SUM(E459:E487)</f>
        <v>16</v>
      </c>
      <c r="F488" s="172"/>
      <c r="G488" s="17">
        <f t="shared" si="20"/>
        <v>0</v>
      </c>
      <c r="H488" s="187">
        <f t="shared" si="21"/>
        <v>0</v>
      </c>
      <c r="I488" s="170"/>
    </row>
    <row r="489" spans="1:9" ht="25.5">
      <c r="A489" s="16" t="s">
        <v>350</v>
      </c>
      <c r="B489" s="50" t="s">
        <v>646</v>
      </c>
      <c r="C489" s="54">
        <v>72331</v>
      </c>
      <c r="D489" s="16" t="s">
        <v>65</v>
      </c>
      <c r="E489" s="32">
        <v>16</v>
      </c>
      <c r="F489" s="184">
        <v>9.0399999999999991</v>
      </c>
      <c r="G489" s="17">
        <f t="shared" si="20"/>
        <v>11.32</v>
      </c>
      <c r="H489" s="187">
        <f t="shared" si="21"/>
        <v>181.12</v>
      </c>
      <c r="I489" s="170">
        <f>H489/$H$960*100</f>
        <v>4.5106804530315063E-2</v>
      </c>
    </row>
    <row r="490" spans="1:9" ht="25.5">
      <c r="A490" s="16" t="s">
        <v>351</v>
      </c>
      <c r="B490" s="26" t="s">
        <v>775</v>
      </c>
      <c r="C490" s="54" t="s">
        <v>757</v>
      </c>
      <c r="D490" s="16" t="s">
        <v>110</v>
      </c>
      <c r="E490" s="17">
        <v>4</v>
      </c>
      <c r="F490" s="17">
        <v>86.97</v>
      </c>
      <c r="G490" s="17">
        <f t="shared" si="20"/>
        <v>108.9</v>
      </c>
      <c r="H490" s="187">
        <f t="shared" si="21"/>
        <v>435.6</v>
      </c>
      <c r="I490" s="170">
        <f>H490/$H$960*100</f>
        <v>0.10848345877542648</v>
      </c>
    </row>
    <row r="491" spans="1:9" ht="12.75" hidden="1">
      <c r="A491" s="16"/>
      <c r="B491" s="51" t="s">
        <v>466</v>
      </c>
      <c r="C491" s="54"/>
      <c r="D491" s="32"/>
      <c r="E491" s="32"/>
      <c r="F491" s="172"/>
      <c r="G491" s="17">
        <f t="shared" si="20"/>
        <v>0</v>
      </c>
      <c r="H491" s="187">
        <f t="shared" si="21"/>
        <v>0</v>
      </c>
      <c r="I491" s="170"/>
    </row>
    <row r="492" spans="1:9" ht="12.75" hidden="1">
      <c r="A492" s="16"/>
      <c r="B492" s="49" t="s">
        <v>610</v>
      </c>
      <c r="C492" s="54"/>
      <c r="D492" s="32"/>
      <c r="E492" s="32">
        <v>2</v>
      </c>
      <c r="F492" s="172"/>
      <c r="G492" s="17">
        <f t="shared" si="20"/>
        <v>0</v>
      </c>
      <c r="H492" s="187">
        <f t="shared" si="21"/>
        <v>0</v>
      </c>
      <c r="I492" s="170"/>
    </row>
    <row r="493" spans="1:9" ht="12.75" hidden="1" customHeight="1">
      <c r="A493" s="16"/>
      <c r="B493" s="49" t="s">
        <v>584</v>
      </c>
      <c r="C493" s="54"/>
      <c r="D493" s="32"/>
      <c r="E493" s="32"/>
      <c r="F493" s="172"/>
      <c r="G493" s="17">
        <f t="shared" si="20"/>
        <v>0</v>
      </c>
      <c r="H493" s="187">
        <f t="shared" si="21"/>
        <v>0</v>
      </c>
      <c r="I493" s="170"/>
    </row>
    <row r="494" spans="1:9" ht="12.75" hidden="1" customHeight="1">
      <c r="A494" s="16"/>
      <c r="B494" s="49" t="s">
        <v>610</v>
      </c>
      <c r="C494" s="54"/>
      <c r="D494" s="32"/>
      <c r="E494" s="32">
        <v>2</v>
      </c>
      <c r="F494" s="172"/>
      <c r="G494" s="17">
        <f t="shared" si="20"/>
        <v>0</v>
      </c>
      <c r="H494" s="187">
        <f t="shared" si="21"/>
        <v>0</v>
      </c>
      <c r="I494" s="170"/>
    </row>
    <row r="495" spans="1:9" ht="12.75" hidden="1" customHeight="1">
      <c r="A495" s="16"/>
      <c r="B495" s="24" t="s">
        <v>463</v>
      </c>
      <c r="C495" s="54"/>
      <c r="D495" s="32"/>
      <c r="E495" s="40">
        <f>SUM(E492:E494)</f>
        <v>4</v>
      </c>
      <c r="F495" s="172"/>
      <c r="G495" s="17">
        <f t="shared" si="20"/>
        <v>0</v>
      </c>
      <c r="H495" s="187">
        <f t="shared" si="21"/>
        <v>0</v>
      </c>
      <c r="I495" s="170"/>
    </row>
    <row r="496" spans="1:9" ht="25.5">
      <c r="A496" s="16" t="s">
        <v>352</v>
      </c>
      <c r="B496" s="50" t="s">
        <v>774</v>
      </c>
      <c r="C496" s="54">
        <v>83465</v>
      </c>
      <c r="D496" s="16" t="s">
        <v>65</v>
      </c>
      <c r="E496" s="32">
        <v>4</v>
      </c>
      <c r="F496" s="184">
        <v>32.83</v>
      </c>
      <c r="G496" s="17">
        <f t="shared" si="20"/>
        <v>41.11</v>
      </c>
      <c r="H496" s="187">
        <f t="shared" si="21"/>
        <v>164.44</v>
      </c>
      <c r="I496" s="170">
        <f>H496/$H$960*100</f>
        <v>4.0952754731476415E-2</v>
      </c>
    </row>
    <row r="497" spans="1:9" ht="30.75" customHeight="1">
      <c r="A497" s="16" t="s">
        <v>353</v>
      </c>
      <c r="B497" s="50" t="s">
        <v>649</v>
      </c>
      <c r="C497" s="54" t="s">
        <v>759</v>
      </c>
      <c r="D497" s="16" t="s">
        <v>65</v>
      </c>
      <c r="E497" s="32">
        <v>35</v>
      </c>
      <c r="F497" s="172">
        <v>95.82</v>
      </c>
      <c r="G497" s="17">
        <f t="shared" si="20"/>
        <v>119.99</v>
      </c>
      <c r="H497" s="187">
        <f t="shared" si="21"/>
        <v>4199.6499999999996</v>
      </c>
      <c r="I497" s="170">
        <f>H497/$H$960*100</f>
        <v>1.0458965969839755</v>
      </c>
    </row>
    <row r="498" spans="1:9" ht="12.75" hidden="1" customHeight="1">
      <c r="A498" s="16"/>
      <c r="B498" s="51" t="s">
        <v>634</v>
      </c>
      <c r="C498" s="54"/>
      <c r="D498" s="32"/>
      <c r="E498" s="32"/>
      <c r="F498" s="172"/>
      <c r="G498" s="17">
        <f t="shared" si="20"/>
        <v>0</v>
      </c>
      <c r="H498" s="187">
        <f t="shared" si="21"/>
        <v>0</v>
      </c>
      <c r="I498" s="170"/>
    </row>
    <row r="499" spans="1:9" ht="12.75" hidden="1" customHeight="1">
      <c r="A499" s="16"/>
      <c r="B499" s="49" t="s">
        <v>639</v>
      </c>
      <c r="C499" s="54"/>
      <c r="D499" s="32"/>
      <c r="E499" s="32">
        <v>3</v>
      </c>
      <c r="F499" s="172"/>
      <c r="G499" s="17">
        <f t="shared" si="20"/>
        <v>0</v>
      </c>
      <c r="H499" s="187">
        <f t="shared" si="21"/>
        <v>0</v>
      </c>
      <c r="I499" s="170"/>
    </row>
    <row r="500" spans="1:9" ht="12.75" hidden="1" customHeight="1">
      <c r="A500" s="16"/>
      <c r="B500" s="51" t="s">
        <v>636</v>
      </c>
      <c r="C500" s="54"/>
      <c r="D500" s="32"/>
      <c r="E500" s="32"/>
      <c r="F500" s="172"/>
      <c r="G500" s="17">
        <f t="shared" si="20"/>
        <v>0</v>
      </c>
      <c r="H500" s="187">
        <f t="shared" si="21"/>
        <v>0</v>
      </c>
      <c r="I500" s="170"/>
    </row>
    <row r="501" spans="1:9" ht="12.75" hidden="1" customHeight="1">
      <c r="A501" s="16"/>
      <c r="B501" s="49" t="s">
        <v>640</v>
      </c>
      <c r="C501" s="54"/>
      <c r="D501" s="32"/>
      <c r="E501" s="32">
        <v>2</v>
      </c>
      <c r="F501" s="172"/>
      <c r="G501" s="17">
        <f t="shared" si="20"/>
        <v>0</v>
      </c>
      <c r="H501" s="187">
        <f t="shared" si="21"/>
        <v>0</v>
      </c>
      <c r="I501" s="170"/>
    </row>
    <row r="502" spans="1:9" ht="12.75" hidden="1" customHeight="1">
      <c r="A502" s="16"/>
      <c r="B502" s="51" t="s">
        <v>478</v>
      </c>
      <c r="C502" s="54"/>
      <c r="D502" s="32"/>
      <c r="E502" s="32"/>
      <c r="F502" s="172"/>
      <c r="G502" s="17">
        <f t="shared" si="20"/>
        <v>0</v>
      </c>
      <c r="H502" s="187">
        <f t="shared" si="21"/>
        <v>0</v>
      </c>
      <c r="I502" s="170"/>
    </row>
    <row r="503" spans="1:9" ht="12.75" hidden="1" customHeight="1">
      <c r="A503" s="16"/>
      <c r="B503" s="49" t="s">
        <v>639</v>
      </c>
      <c r="C503" s="54"/>
      <c r="D503" s="32"/>
      <c r="E503" s="32">
        <v>3</v>
      </c>
      <c r="F503" s="172"/>
      <c r="G503" s="17">
        <f t="shared" si="20"/>
        <v>0</v>
      </c>
      <c r="H503" s="187">
        <f t="shared" si="21"/>
        <v>0</v>
      </c>
      <c r="I503" s="170"/>
    </row>
    <row r="504" spans="1:9" ht="12.75" hidden="1" customHeight="1">
      <c r="A504" s="16"/>
      <c r="B504" s="49" t="s">
        <v>486</v>
      </c>
      <c r="C504" s="54"/>
      <c r="D504" s="32"/>
      <c r="E504" s="32"/>
      <c r="F504" s="172"/>
      <c r="G504" s="17">
        <f t="shared" si="20"/>
        <v>0</v>
      </c>
      <c r="H504" s="187">
        <f t="shared" si="21"/>
        <v>0</v>
      </c>
      <c r="I504" s="170"/>
    </row>
    <row r="505" spans="1:9" ht="12.75" hidden="1" customHeight="1">
      <c r="A505" s="16"/>
      <c r="B505" s="49" t="s">
        <v>635</v>
      </c>
      <c r="C505" s="54"/>
      <c r="D505" s="32"/>
      <c r="E505" s="32">
        <v>1</v>
      </c>
      <c r="F505" s="172"/>
      <c r="G505" s="17">
        <f t="shared" ref="G505:G541" si="23">ROUND(F505*1.2522,2)</f>
        <v>0</v>
      </c>
      <c r="H505" s="187">
        <f t="shared" ref="H505:H541" si="24">ROUND(E505*G505,2)</f>
        <v>0</v>
      </c>
      <c r="I505" s="170"/>
    </row>
    <row r="506" spans="1:9" ht="12.75" hidden="1" customHeight="1">
      <c r="A506" s="16"/>
      <c r="B506" s="51" t="s">
        <v>469</v>
      </c>
      <c r="C506" s="54"/>
      <c r="D506" s="32"/>
      <c r="E506" s="32"/>
      <c r="F506" s="172"/>
      <c r="G506" s="17">
        <f t="shared" si="23"/>
        <v>0</v>
      </c>
      <c r="H506" s="187">
        <f t="shared" si="24"/>
        <v>0</v>
      </c>
      <c r="I506" s="170"/>
    </row>
    <row r="507" spans="1:9" ht="12.75" hidden="1" customHeight="1">
      <c r="A507" s="16"/>
      <c r="B507" s="49" t="s">
        <v>641</v>
      </c>
      <c r="C507" s="54"/>
      <c r="D507" s="32"/>
      <c r="E507" s="32">
        <v>3</v>
      </c>
      <c r="F507" s="172"/>
      <c r="G507" s="17">
        <f t="shared" si="23"/>
        <v>0</v>
      </c>
      <c r="H507" s="187">
        <f t="shared" si="24"/>
        <v>0</v>
      </c>
      <c r="I507" s="170"/>
    </row>
    <row r="508" spans="1:9" ht="12.75" hidden="1" customHeight="1">
      <c r="A508" s="16"/>
      <c r="B508" s="51" t="s">
        <v>470</v>
      </c>
      <c r="C508" s="54"/>
      <c r="D508" s="32"/>
      <c r="E508" s="32"/>
      <c r="F508" s="172"/>
      <c r="G508" s="17">
        <f t="shared" si="23"/>
        <v>0</v>
      </c>
      <c r="H508" s="187">
        <f t="shared" si="24"/>
        <v>0</v>
      </c>
      <c r="I508" s="170"/>
    </row>
    <row r="509" spans="1:9" ht="12.75" hidden="1" customHeight="1">
      <c r="A509" s="16"/>
      <c r="B509" s="49" t="s">
        <v>642</v>
      </c>
      <c r="C509" s="54"/>
      <c r="D509" s="32"/>
      <c r="E509" s="32">
        <v>6</v>
      </c>
      <c r="F509" s="172"/>
      <c r="G509" s="17">
        <f t="shared" si="23"/>
        <v>0</v>
      </c>
      <c r="H509" s="187">
        <f t="shared" si="24"/>
        <v>0</v>
      </c>
      <c r="I509" s="170"/>
    </row>
    <row r="510" spans="1:9" ht="12.75" hidden="1" customHeight="1">
      <c r="A510" s="16"/>
      <c r="B510" s="51" t="s">
        <v>530</v>
      </c>
      <c r="C510" s="54"/>
      <c r="D510" s="32"/>
      <c r="E510" s="32"/>
      <c r="F510" s="172"/>
      <c r="G510" s="17">
        <f t="shared" si="23"/>
        <v>0</v>
      </c>
      <c r="H510" s="187">
        <f t="shared" si="24"/>
        <v>0</v>
      </c>
      <c r="I510" s="170"/>
    </row>
    <row r="511" spans="1:9" ht="12.75" hidden="1" customHeight="1">
      <c r="A511" s="16"/>
      <c r="B511" s="49" t="s">
        <v>641</v>
      </c>
      <c r="C511" s="54"/>
      <c r="D511" s="32"/>
      <c r="E511" s="32">
        <v>3</v>
      </c>
      <c r="F511" s="172"/>
      <c r="G511" s="17">
        <f t="shared" si="23"/>
        <v>0</v>
      </c>
      <c r="H511" s="187">
        <f t="shared" si="24"/>
        <v>0</v>
      </c>
      <c r="I511" s="170"/>
    </row>
    <row r="512" spans="1:9" ht="12.75" hidden="1" customHeight="1">
      <c r="A512" s="16"/>
      <c r="B512" s="51" t="s">
        <v>471</v>
      </c>
      <c r="C512" s="54"/>
      <c r="D512" s="32"/>
      <c r="E512" s="32"/>
      <c r="F512" s="172"/>
      <c r="G512" s="17">
        <f t="shared" si="23"/>
        <v>0</v>
      </c>
      <c r="H512" s="187">
        <f t="shared" si="24"/>
        <v>0</v>
      </c>
      <c r="I512" s="170"/>
    </row>
    <row r="513" spans="1:9" ht="12.75" hidden="1" customHeight="1">
      <c r="A513" s="16"/>
      <c r="B513" s="49" t="s">
        <v>641</v>
      </c>
      <c r="C513" s="54"/>
      <c r="D513" s="32"/>
      <c r="E513" s="32">
        <v>3</v>
      </c>
      <c r="F513" s="172"/>
      <c r="G513" s="17">
        <f t="shared" si="23"/>
        <v>0</v>
      </c>
      <c r="H513" s="187">
        <f t="shared" si="24"/>
        <v>0</v>
      </c>
      <c r="I513" s="170"/>
    </row>
    <row r="514" spans="1:9" ht="12.75" hidden="1" customHeight="1">
      <c r="A514" s="16"/>
      <c r="B514" s="51" t="s">
        <v>612</v>
      </c>
      <c r="C514" s="54"/>
      <c r="D514" s="32"/>
      <c r="E514" s="32"/>
      <c r="F514" s="172"/>
      <c r="G514" s="17">
        <f t="shared" si="23"/>
        <v>0</v>
      </c>
      <c r="H514" s="187">
        <f t="shared" si="24"/>
        <v>0</v>
      </c>
      <c r="I514" s="170"/>
    </row>
    <row r="515" spans="1:9" ht="12.75" hidden="1" customHeight="1">
      <c r="A515" s="16"/>
      <c r="B515" s="49" t="s">
        <v>641</v>
      </c>
      <c r="C515" s="54"/>
      <c r="D515" s="32"/>
      <c r="E515" s="32">
        <v>3</v>
      </c>
      <c r="F515" s="172"/>
      <c r="G515" s="17">
        <f t="shared" si="23"/>
        <v>0</v>
      </c>
      <c r="H515" s="187">
        <f t="shared" si="24"/>
        <v>0</v>
      </c>
      <c r="I515" s="170"/>
    </row>
    <row r="516" spans="1:9" ht="12.75" hidden="1" customHeight="1">
      <c r="A516" s="16"/>
      <c r="B516" s="51" t="s">
        <v>473</v>
      </c>
      <c r="C516" s="54"/>
      <c r="D516" s="32"/>
      <c r="E516" s="32"/>
      <c r="F516" s="172"/>
      <c r="G516" s="17">
        <f t="shared" si="23"/>
        <v>0</v>
      </c>
      <c r="H516" s="187">
        <f t="shared" si="24"/>
        <v>0</v>
      </c>
      <c r="I516" s="170"/>
    </row>
    <row r="517" spans="1:9" ht="12.75" hidden="1" customHeight="1">
      <c r="A517" s="16"/>
      <c r="B517" s="49" t="s">
        <v>641</v>
      </c>
      <c r="C517" s="54"/>
      <c r="D517" s="32"/>
      <c r="E517" s="32">
        <v>3</v>
      </c>
      <c r="F517" s="172"/>
      <c r="G517" s="17">
        <f t="shared" si="23"/>
        <v>0</v>
      </c>
      <c r="H517" s="187">
        <f t="shared" si="24"/>
        <v>0</v>
      </c>
      <c r="I517" s="170"/>
    </row>
    <row r="518" spans="1:9" ht="12.75" hidden="1" customHeight="1">
      <c r="A518" s="16"/>
      <c r="B518" s="51" t="s">
        <v>474</v>
      </c>
      <c r="C518" s="54"/>
      <c r="D518" s="32"/>
      <c r="E518" s="32"/>
      <c r="F518" s="172"/>
      <c r="G518" s="17">
        <f t="shared" si="23"/>
        <v>0</v>
      </c>
      <c r="H518" s="187">
        <f t="shared" si="24"/>
        <v>0</v>
      </c>
      <c r="I518" s="170"/>
    </row>
    <row r="519" spans="1:9" ht="12.75" hidden="1" customHeight="1">
      <c r="A519" s="16"/>
      <c r="B519" s="49" t="s">
        <v>610</v>
      </c>
      <c r="C519" s="54"/>
      <c r="D519" s="32"/>
      <c r="E519" s="32">
        <v>2</v>
      </c>
      <c r="F519" s="172"/>
      <c r="G519" s="17">
        <f t="shared" si="23"/>
        <v>0</v>
      </c>
      <c r="H519" s="187">
        <f t="shared" si="24"/>
        <v>0</v>
      </c>
      <c r="I519" s="170"/>
    </row>
    <row r="520" spans="1:9" ht="12.75" hidden="1">
      <c r="A520" s="16"/>
      <c r="B520" s="51" t="s">
        <v>476</v>
      </c>
      <c r="C520" s="54"/>
      <c r="D520" s="32"/>
      <c r="E520" s="32"/>
      <c r="F520" s="172"/>
      <c r="G520" s="17">
        <f t="shared" si="23"/>
        <v>0</v>
      </c>
      <c r="H520" s="187">
        <f t="shared" si="24"/>
        <v>0</v>
      </c>
      <c r="I520" s="170"/>
    </row>
    <row r="521" spans="1:9" ht="12.75" hidden="1">
      <c r="A521" s="16"/>
      <c r="B521" s="49" t="s">
        <v>641</v>
      </c>
      <c r="C521" s="54"/>
      <c r="D521" s="32"/>
      <c r="E521" s="32">
        <v>3</v>
      </c>
      <c r="F521" s="172"/>
      <c r="G521" s="17">
        <f t="shared" si="23"/>
        <v>0</v>
      </c>
      <c r="H521" s="187">
        <f t="shared" si="24"/>
        <v>0</v>
      </c>
      <c r="I521" s="170"/>
    </row>
    <row r="522" spans="1:9" ht="12.75" hidden="1">
      <c r="A522" s="16"/>
      <c r="B522" s="24" t="s">
        <v>463</v>
      </c>
      <c r="C522" s="54"/>
      <c r="D522" s="32"/>
      <c r="E522" s="40">
        <f>SUM(E499:E521)</f>
        <v>35</v>
      </c>
      <c r="F522" s="172"/>
      <c r="G522" s="17">
        <f t="shared" si="23"/>
        <v>0</v>
      </c>
      <c r="H522" s="187">
        <f t="shared" si="24"/>
        <v>0</v>
      </c>
      <c r="I522" s="170"/>
    </row>
    <row r="523" spans="1:9" ht="25.5">
      <c r="A523" s="16" t="s">
        <v>354</v>
      </c>
      <c r="B523" s="50" t="s">
        <v>654</v>
      </c>
      <c r="C523" s="164" t="s">
        <v>758</v>
      </c>
      <c r="D523" s="32" t="s">
        <v>65</v>
      </c>
      <c r="E523" s="32">
        <v>9</v>
      </c>
      <c r="F523" s="172">
        <v>152.19</v>
      </c>
      <c r="G523" s="17">
        <f t="shared" si="23"/>
        <v>190.57</v>
      </c>
      <c r="H523" s="187">
        <f t="shared" si="24"/>
        <v>1715.13</v>
      </c>
      <c r="I523" s="170">
        <f>H523/$H$960*100</f>
        <v>0.42714241195935998</v>
      </c>
    </row>
    <row r="524" spans="1:9" ht="12.75" hidden="1">
      <c r="A524" s="16"/>
      <c r="B524" s="51" t="s">
        <v>634</v>
      </c>
      <c r="C524" s="54"/>
      <c r="D524" s="32"/>
      <c r="E524" s="32"/>
      <c r="F524" s="172"/>
      <c r="G524" s="17">
        <f t="shared" si="23"/>
        <v>0</v>
      </c>
      <c r="H524" s="187">
        <f t="shared" si="24"/>
        <v>0</v>
      </c>
      <c r="I524" s="170">
        <f t="shared" ref="I524:I542" si="25">H524/$H$960*100</f>
        <v>0</v>
      </c>
    </row>
    <row r="525" spans="1:9" ht="12.75" hidden="1">
      <c r="A525" s="16"/>
      <c r="B525" s="49" t="s">
        <v>635</v>
      </c>
      <c r="C525" s="54"/>
      <c r="D525" s="32"/>
      <c r="E525" s="32">
        <v>1</v>
      </c>
      <c r="F525" s="172"/>
      <c r="G525" s="17">
        <f t="shared" si="23"/>
        <v>0</v>
      </c>
      <c r="H525" s="187">
        <f t="shared" si="24"/>
        <v>0</v>
      </c>
      <c r="I525" s="170">
        <f t="shared" si="25"/>
        <v>0</v>
      </c>
    </row>
    <row r="526" spans="1:9" ht="12.75" hidden="1">
      <c r="A526" s="16"/>
      <c r="B526" s="51" t="s">
        <v>636</v>
      </c>
      <c r="C526" s="54"/>
      <c r="D526" s="32"/>
      <c r="E526" s="32"/>
      <c r="F526" s="172"/>
      <c r="G526" s="17">
        <f t="shared" si="23"/>
        <v>0</v>
      </c>
      <c r="H526" s="187">
        <f t="shared" si="24"/>
        <v>0</v>
      </c>
      <c r="I526" s="170">
        <f t="shared" si="25"/>
        <v>0</v>
      </c>
    </row>
    <row r="527" spans="1:9" ht="12.75" hidden="1">
      <c r="A527" s="16"/>
      <c r="B527" s="49" t="s">
        <v>635</v>
      </c>
      <c r="C527" s="54"/>
      <c r="D527" s="32"/>
      <c r="E527" s="32">
        <v>1</v>
      </c>
      <c r="F527" s="172"/>
      <c r="G527" s="17">
        <f t="shared" si="23"/>
        <v>0</v>
      </c>
      <c r="H527" s="187">
        <f t="shared" si="24"/>
        <v>0</v>
      </c>
      <c r="I527" s="170">
        <f t="shared" si="25"/>
        <v>0</v>
      </c>
    </row>
    <row r="528" spans="1:9" ht="12.75" hidden="1">
      <c r="A528" s="16"/>
      <c r="B528" s="51" t="s">
        <v>469</v>
      </c>
      <c r="C528" s="54"/>
      <c r="D528" s="32"/>
      <c r="E528" s="32"/>
      <c r="F528" s="172"/>
      <c r="G528" s="17">
        <f t="shared" si="23"/>
        <v>0</v>
      </c>
      <c r="H528" s="187">
        <f t="shared" si="24"/>
        <v>0</v>
      </c>
      <c r="I528" s="170">
        <f t="shared" si="25"/>
        <v>0</v>
      </c>
    </row>
    <row r="529" spans="1:9" ht="12.75" hidden="1">
      <c r="A529" s="16"/>
      <c r="B529" s="49" t="s">
        <v>610</v>
      </c>
      <c r="C529" s="54"/>
      <c r="D529" s="32"/>
      <c r="E529" s="32">
        <v>2</v>
      </c>
      <c r="F529" s="172"/>
      <c r="G529" s="17">
        <f t="shared" si="23"/>
        <v>0</v>
      </c>
      <c r="H529" s="187">
        <f t="shared" si="24"/>
        <v>0</v>
      </c>
      <c r="I529" s="170">
        <f t="shared" si="25"/>
        <v>0</v>
      </c>
    </row>
    <row r="530" spans="1:9" ht="12.75" hidden="1">
      <c r="A530" s="16"/>
      <c r="B530" s="51" t="s">
        <v>530</v>
      </c>
      <c r="C530" s="54"/>
      <c r="D530" s="32"/>
      <c r="E530" s="32"/>
      <c r="F530" s="172"/>
      <c r="G530" s="17">
        <f t="shared" si="23"/>
        <v>0</v>
      </c>
      <c r="H530" s="187">
        <f t="shared" si="24"/>
        <v>0</v>
      </c>
      <c r="I530" s="170">
        <f t="shared" si="25"/>
        <v>0</v>
      </c>
    </row>
    <row r="531" spans="1:9" ht="12.75" hidden="1">
      <c r="A531" s="16"/>
      <c r="B531" s="49" t="s">
        <v>635</v>
      </c>
      <c r="C531" s="54"/>
      <c r="D531" s="32"/>
      <c r="E531" s="32">
        <v>1</v>
      </c>
      <c r="F531" s="172"/>
      <c r="G531" s="17">
        <f t="shared" si="23"/>
        <v>0</v>
      </c>
      <c r="H531" s="187">
        <f t="shared" si="24"/>
        <v>0</v>
      </c>
      <c r="I531" s="170">
        <f t="shared" si="25"/>
        <v>0</v>
      </c>
    </row>
    <row r="532" spans="1:9" ht="12.75" hidden="1">
      <c r="A532" s="16"/>
      <c r="B532" s="51" t="s">
        <v>471</v>
      </c>
      <c r="C532" s="54"/>
      <c r="D532" s="32"/>
      <c r="E532" s="32"/>
      <c r="F532" s="172"/>
      <c r="G532" s="17">
        <f t="shared" si="23"/>
        <v>0</v>
      </c>
      <c r="H532" s="187">
        <f t="shared" si="24"/>
        <v>0</v>
      </c>
      <c r="I532" s="170">
        <f t="shared" si="25"/>
        <v>0</v>
      </c>
    </row>
    <row r="533" spans="1:9" ht="12.75" hidden="1">
      <c r="A533" s="16"/>
      <c r="B533" s="49" t="s">
        <v>635</v>
      </c>
      <c r="C533" s="54"/>
      <c r="D533" s="32"/>
      <c r="E533" s="32">
        <v>1</v>
      </c>
      <c r="F533" s="172"/>
      <c r="G533" s="17">
        <f t="shared" si="23"/>
        <v>0</v>
      </c>
      <c r="H533" s="187">
        <f t="shared" si="24"/>
        <v>0</v>
      </c>
      <c r="I533" s="170">
        <f t="shared" si="25"/>
        <v>0</v>
      </c>
    </row>
    <row r="534" spans="1:9" ht="12.75" hidden="1">
      <c r="A534" s="16"/>
      <c r="B534" s="51" t="s">
        <v>612</v>
      </c>
      <c r="C534" s="54"/>
      <c r="D534" s="32"/>
      <c r="E534" s="32"/>
      <c r="F534" s="172"/>
      <c r="G534" s="17">
        <f t="shared" si="23"/>
        <v>0</v>
      </c>
      <c r="H534" s="187">
        <f t="shared" si="24"/>
        <v>0</v>
      </c>
      <c r="I534" s="170">
        <f t="shared" si="25"/>
        <v>0</v>
      </c>
    </row>
    <row r="535" spans="1:9" ht="12.75" hidden="1">
      <c r="A535" s="16"/>
      <c r="B535" s="49" t="s">
        <v>635</v>
      </c>
      <c r="C535" s="54"/>
      <c r="D535" s="32"/>
      <c r="E535" s="32">
        <v>1</v>
      </c>
      <c r="F535" s="172"/>
      <c r="G535" s="17">
        <f t="shared" si="23"/>
        <v>0</v>
      </c>
      <c r="H535" s="187">
        <f t="shared" si="24"/>
        <v>0</v>
      </c>
      <c r="I535" s="170">
        <f t="shared" si="25"/>
        <v>0</v>
      </c>
    </row>
    <row r="536" spans="1:9" ht="12.75" hidden="1">
      <c r="A536" s="16"/>
      <c r="B536" s="51" t="s">
        <v>473</v>
      </c>
      <c r="C536" s="54"/>
      <c r="D536" s="32"/>
      <c r="E536" s="32"/>
      <c r="F536" s="172"/>
      <c r="G536" s="17">
        <f t="shared" si="23"/>
        <v>0</v>
      </c>
      <c r="H536" s="187">
        <f t="shared" si="24"/>
        <v>0</v>
      </c>
      <c r="I536" s="170">
        <f t="shared" si="25"/>
        <v>0</v>
      </c>
    </row>
    <row r="537" spans="1:9" ht="12.75" hidden="1">
      <c r="A537" s="16"/>
      <c r="B537" s="49" t="s">
        <v>635</v>
      </c>
      <c r="C537" s="54"/>
      <c r="D537" s="32"/>
      <c r="E537" s="32">
        <v>1</v>
      </c>
      <c r="F537" s="172"/>
      <c r="G537" s="17">
        <f t="shared" si="23"/>
        <v>0</v>
      </c>
      <c r="H537" s="187">
        <f t="shared" si="24"/>
        <v>0</v>
      </c>
      <c r="I537" s="170">
        <f t="shared" si="25"/>
        <v>0</v>
      </c>
    </row>
    <row r="538" spans="1:9" ht="12.75" hidden="1">
      <c r="A538" s="16"/>
      <c r="B538" s="51" t="s">
        <v>476</v>
      </c>
      <c r="C538" s="54"/>
      <c r="D538" s="32"/>
      <c r="E538" s="32"/>
      <c r="F538" s="172"/>
      <c r="G538" s="17">
        <f t="shared" si="23"/>
        <v>0</v>
      </c>
      <c r="H538" s="187">
        <f t="shared" si="24"/>
        <v>0</v>
      </c>
      <c r="I538" s="170">
        <f t="shared" si="25"/>
        <v>0</v>
      </c>
    </row>
    <row r="539" spans="1:9" ht="12.75" hidden="1">
      <c r="A539" s="16"/>
      <c r="B539" s="49" t="s">
        <v>635</v>
      </c>
      <c r="C539" s="54"/>
      <c r="D539" s="32"/>
      <c r="E539" s="32">
        <v>1</v>
      </c>
      <c r="F539" s="172"/>
      <c r="G539" s="17">
        <f t="shared" si="23"/>
        <v>0</v>
      </c>
      <c r="H539" s="187">
        <f t="shared" si="24"/>
        <v>0</v>
      </c>
      <c r="I539" s="170">
        <f t="shared" si="25"/>
        <v>0</v>
      </c>
    </row>
    <row r="540" spans="1:9" ht="12.75" hidden="1">
      <c r="A540" s="16"/>
      <c r="B540" s="24" t="s">
        <v>463</v>
      </c>
      <c r="C540" s="54"/>
      <c r="D540" s="32"/>
      <c r="E540" s="40">
        <f>SUM(E525:E539)</f>
        <v>9</v>
      </c>
      <c r="F540" s="172"/>
      <c r="G540" s="17">
        <f t="shared" si="23"/>
        <v>0</v>
      </c>
      <c r="H540" s="187">
        <f t="shared" si="24"/>
        <v>0</v>
      </c>
      <c r="I540" s="170">
        <f t="shared" si="25"/>
        <v>0</v>
      </c>
    </row>
    <row r="541" spans="1:9" ht="38.25">
      <c r="A541" s="16" t="s">
        <v>354</v>
      </c>
      <c r="B541" s="50" t="s">
        <v>706</v>
      </c>
      <c r="C541" s="54" t="s">
        <v>707</v>
      </c>
      <c r="D541" s="16" t="s">
        <v>65</v>
      </c>
      <c r="E541" s="32">
        <v>1</v>
      </c>
      <c r="F541" s="184">
        <v>12478.21</v>
      </c>
      <c r="G541" s="17">
        <f t="shared" si="23"/>
        <v>15625.21</v>
      </c>
      <c r="H541" s="187">
        <f t="shared" si="24"/>
        <v>15625.21</v>
      </c>
      <c r="I541" s="170">
        <f t="shared" si="25"/>
        <v>3.8913609386877441</v>
      </c>
    </row>
    <row r="542" spans="1:9" ht="12.75">
      <c r="A542" s="190" t="s">
        <v>111</v>
      </c>
      <c r="B542" s="190"/>
      <c r="C542" s="163"/>
      <c r="D542" s="23"/>
      <c r="E542" s="22"/>
      <c r="F542" s="22"/>
      <c r="G542" s="17"/>
      <c r="H542" s="22">
        <f>H541+H523+H497+H496+H490+H489+H457+H456+H455+H454+H453+H452+H450+H447+H445+H443+H441</f>
        <v>42794.499999999993</v>
      </c>
      <c r="I542" s="170">
        <f t="shared" si="25"/>
        <v>10.657702884676279</v>
      </c>
    </row>
    <row r="543" spans="1:9" ht="12.75">
      <c r="A543" s="23" t="s">
        <v>95</v>
      </c>
      <c r="B543" s="18" t="s">
        <v>247</v>
      </c>
      <c r="C543" s="163"/>
      <c r="D543" s="23"/>
      <c r="E543" s="22"/>
      <c r="F543" s="22"/>
      <c r="G543" s="17"/>
      <c r="H543" s="22"/>
      <c r="I543" s="170"/>
    </row>
    <row r="544" spans="1:9" ht="25.5">
      <c r="A544" s="16" t="s">
        <v>96</v>
      </c>
      <c r="B544" s="50" t="s">
        <v>248</v>
      </c>
      <c r="C544" s="54">
        <v>83371</v>
      </c>
      <c r="D544" s="16" t="s">
        <v>65</v>
      </c>
      <c r="E544" s="17">
        <v>1</v>
      </c>
      <c r="F544" s="184">
        <v>91.79</v>
      </c>
      <c r="G544" s="17">
        <f>ROUND(F544*1.2522,2)</f>
        <v>114.94</v>
      </c>
      <c r="H544" s="187">
        <f>ROUND(E544*G544,2)</f>
        <v>114.94</v>
      </c>
      <c r="I544" s="170">
        <f>H544/$H$960*100</f>
        <v>2.8625088961541593E-2</v>
      </c>
    </row>
    <row r="545" spans="1:9" ht="25.5">
      <c r="A545" s="16" t="s">
        <v>187</v>
      </c>
      <c r="B545" s="50" t="s">
        <v>250</v>
      </c>
      <c r="C545" s="164">
        <v>72337</v>
      </c>
      <c r="D545" s="16" t="s">
        <v>65</v>
      </c>
      <c r="E545" s="17">
        <v>6</v>
      </c>
      <c r="F545" s="184">
        <v>16.329999999999998</v>
      </c>
      <c r="G545" s="17">
        <f>ROUND(F545*1.2522,2)</f>
        <v>20.45</v>
      </c>
      <c r="H545" s="187">
        <f>ROUND(E545*G545,2)</f>
        <v>122.7</v>
      </c>
      <c r="I545" s="170">
        <f>H545/$H$960*100</f>
        <v>3.0557668484262689E-2</v>
      </c>
    </row>
    <row r="546" spans="1:9" ht="25.5">
      <c r="A546" s="16" t="s">
        <v>355</v>
      </c>
      <c r="B546" s="26" t="s">
        <v>252</v>
      </c>
      <c r="C546" s="164">
        <v>72935</v>
      </c>
      <c r="D546" s="16" t="s">
        <v>81</v>
      </c>
      <c r="E546" s="17">
        <v>150</v>
      </c>
      <c r="F546" s="184">
        <v>5.09</v>
      </c>
      <c r="G546" s="17">
        <f>ROUND(F546*1.2522,2)</f>
        <v>6.37</v>
      </c>
      <c r="H546" s="187">
        <f>ROUND(E546*G546,2)</f>
        <v>955.5</v>
      </c>
      <c r="I546" s="170">
        <f>H546/$H$960*100</f>
        <v>0.2379613059226813</v>
      </c>
    </row>
    <row r="547" spans="1:9" ht="25.5">
      <c r="A547" s="16" t="s">
        <v>356</v>
      </c>
      <c r="B547" s="50" t="s">
        <v>251</v>
      </c>
      <c r="C547" s="164">
        <v>73690</v>
      </c>
      <c r="D547" s="16" t="s">
        <v>81</v>
      </c>
      <c r="E547" s="17">
        <v>150</v>
      </c>
      <c r="F547" s="184">
        <v>4.8</v>
      </c>
      <c r="G547" s="17">
        <f>ROUND(F547*1.2522,2)</f>
        <v>6.01</v>
      </c>
      <c r="H547" s="187">
        <f>ROUND(E547*G547,2)</f>
        <v>901.5</v>
      </c>
      <c r="I547" s="170">
        <f>H547/$H$960*100</f>
        <v>0.22451294326457061</v>
      </c>
    </row>
    <row r="548" spans="1:9" ht="12.75">
      <c r="A548" s="190" t="s">
        <v>111</v>
      </c>
      <c r="B548" s="190"/>
      <c r="C548" s="163"/>
      <c r="D548" s="23"/>
      <c r="E548" s="22"/>
      <c r="F548" s="22"/>
      <c r="G548" s="17"/>
      <c r="H548" s="22">
        <f>H547+H546+H545+H544</f>
        <v>2094.64</v>
      </c>
      <c r="I548" s="170">
        <f>H548/$H$960*100</f>
        <v>0.52165700663305614</v>
      </c>
    </row>
    <row r="549" spans="1:9" ht="12.75">
      <c r="A549" s="23" t="s">
        <v>357</v>
      </c>
      <c r="B549" s="57" t="s">
        <v>373</v>
      </c>
      <c r="C549" s="164"/>
      <c r="D549" s="16"/>
      <c r="E549" s="17"/>
      <c r="F549" s="17"/>
      <c r="G549" s="17"/>
      <c r="H549" s="17"/>
      <c r="I549" s="170"/>
    </row>
    <row r="550" spans="1:9" ht="32.25" customHeight="1">
      <c r="A550" s="16" t="s">
        <v>358</v>
      </c>
      <c r="B550" s="25" t="s">
        <v>658</v>
      </c>
      <c r="C550" s="164" t="s">
        <v>750</v>
      </c>
      <c r="D550" s="16" t="s">
        <v>65</v>
      </c>
      <c r="E550" s="17">
        <v>6</v>
      </c>
      <c r="F550" s="17">
        <v>1849.31</v>
      </c>
      <c r="G550" s="17">
        <f t="shared" ref="G550:G572" si="26">ROUND(F550*1.2522,2)</f>
        <v>2315.71</v>
      </c>
      <c r="H550" s="187">
        <f t="shared" ref="H550:H572" si="27">ROUND(E550*G550,2)</f>
        <v>13894.26</v>
      </c>
      <c r="I550" s="170">
        <f>H550/$H$960*100</f>
        <v>3.4602786545570634</v>
      </c>
    </row>
    <row r="551" spans="1:9" ht="12.75" hidden="1" customHeight="1">
      <c r="A551" s="16"/>
      <c r="B551" s="51" t="s">
        <v>634</v>
      </c>
      <c r="C551" s="164"/>
      <c r="D551" s="32"/>
      <c r="E551" s="32"/>
      <c r="F551" s="172"/>
      <c r="G551" s="17">
        <f t="shared" si="26"/>
        <v>0</v>
      </c>
      <c r="H551" s="187">
        <f t="shared" si="27"/>
        <v>0</v>
      </c>
      <c r="I551" s="170"/>
    </row>
    <row r="552" spans="1:9" ht="12.75" hidden="1" customHeight="1">
      <c r="A552" s="16"/>
      <c r="B552" s="49" t="s">
        <v>635</v>
      </c>
      <c r="C552" s="164"/>
      <c r="D552" s="32"/>
      <c r="E552" s="32">
        <v>1</v>
      </c>
      <c r="F552" s="172"/>
      <c r="G552" s="17">
        <f t="shared" si="26"/>
        <v>0</v>
      </c>
      <c r="H552" s="187">
        <f t="shared" si="27"/>
        <v>0</v>
      </c>
      <c r="I552" s="170"/>
    </row>
    <row r="553" spans="1:9" ht="12.75" hidden="1" customHeight="1">
      <c r="A553" s="16"/>
      <c r="B553" s="51" t="s">
        <v>636</v>
      </c>
      <c r="C553" s="164"/>
      <c r="D553" s="32"/>
      <c r="E553" s="32"/>
      <c r="F553" s="172"/>
      <c r="G553" s="17">
        <f t="shared" si="26"/>
        <v>0</v>
      </c>
      <c r="H553" s="187">
        <f t="shared" si="27"/>
        <v>0</v>
      </c>
      <c r="I553" s="170"/>
    </row>
    <row r="554" spans="1:9" ht="12.75" hidden="1" customHeight="1">
      <c r="A554" s="16"/>
      <c r="B554" s="49" t="s">
        <v>635</v>
      </c>
      <c r="C554" s="164"/>
      <c r="D554" s="32"/>
      <c r="E554" s="32">
        <v>1</v>
      </c>
      <c r="F554" s="172"/>
      <c r="G554" s="17">
        <f t="shared" si="26"/>
        <v>0</v>
      </c>
      <c r="H554" s="187">
        <f t="shared" si="27"/>
        <v>0</v>
      </c>
      <c r="I554" s="170"/>
    </row>
    <row r="555" spans="1:9" ht="12.75" hidden="1" customHeight="1">
      <c r="A555" s="16"/>
      <c r="B555" s="51" t="s">
        <v>530</v>
      </c>
      <c r="C555" s="164"/>
      <c r="D555" s="32"/>
      <c r="E555" s="32"/>
      <c r="F555" s="172"/>
      <c r="G555" s="17">
        <f t="shared" si="26"/>
        <v>0</v>
      </c>
      <c r="H555" s="187">
        <f t="shared" si="27"/>
        <v>0</v>
      </c>
      <c r="I555" s="170"/>
    </row>
    <row r="556" spans="1:9" ht="12.75" hidden="1" customHeight="1">
      <c r="A556" s="16"/>
      <c r="B556" s="49" t="s">
        <v>635</v>
      </c>
      <c r="C556" s="164"/>
      <c r="D556" s="32"/>
      <c r="E556" s="32">
        <v>1</v>
      </c>
      <c r="F556" s="172"/>
      <c r="G556" s="17">
        <f t="shared" si="26"/>
        <v>0</v>
      </c>
      <c r="H556" s="187">
        <f t="shared" si="27"/>
        <v>0</v>
      </c>
      <c r="I556" s="170"/>
    </row>
    <row r="557" spans="1:9" ht="12.75" hidden="1" customHeight="1">
      <c r="A557" s="16"/>
      <c r="B557" s="51" t="s">
        <v>471</v>
      </c>
      <c r="C557" s="164"/>
      <c r="D557" s="32"/>
      <c r="E557" s="32"/>
      <c r="F557" s="172"/>
      <c r="G557" s="17">
        <f t="shared" si="26"/>
        <v>0</v>
      </c>
      <c r="H557" s="187">
        <f t="shared" si="27"/>
        <v>0</v>
      </c>
      <c r="I557" s="170"/>
    </row>
    <row r="558" spans="1:9" ht="12.75" hidden="1" customHeight="1">
      <c r="A558" s="16"/>
      <c r="B558" s="49" t="s">
        <v>635</v>
      </c>
      <c r="C558" s="164"/>
      <c r="D558" s="32"/>
      <c r="E558" s="32">
        <v>1</v>
      </c>
      <c r="F558" s="172"/>
      <c r="G558" s="17">
        <f t="shared" si="26"/>
        <v>0</v>
      </c>
      <c r="H558" s="187">
        <f t="shared" si="27"/>
        <v>0</v>
      </c>
      <c r="I558" s="170"/>
    </row>
    <row r="559" spans="1:9" ht="12.75" hidden="1" customHeight="1">
      <c r="A559" s="16"/>
      <c r="B559" s="51" t="s">
        <v>612</v>
      </c>
      <c r="C559" s="164"/>
      <c r="D559" s="32"/>
      <c r="E559" s="32"/>
      <c r="F559" s="172"/>
      <c r="G559" s="17">
        <f t="shared" si="26"/>
        <v>0</v>
      </c>
      <c r="H559" s="187">
        <f t="shared" si="27"/>
        <v>0</v>
      </c>
      <c r="I559" s="170"/>
    </row>
    <row r="560" spans="1:9" ht="12.75" hidden="1" customHeight="1">
      <c r="A560" s="16"/>
      <c r="B560" s="49" t="s">
        <v>635</v>
      </c>
      <c r="C560" s="164"/>
      <c r="D560" s="32"/>
      <c r="E560" s="32">
        <v>1</v>
      </c>
      <c r="F560" s="172"/>
      <c r="G560" s="17">
        <f t="shared" si="26"/>
        <v>0</v>
      </c>
      <c r="H560" s="187">
        <f t="shared" si="27"/>
        <v>0</v>
      </c>
      <c r="I560" s="170"/>
    </row>
    <row r="561" spans="1:9" ht="12.75" hidden="1" customHeight="1">
      <c r="A561" s="16"/>
      <c r="B561" s="51" t="s">
        <v>655</v>
      </c>
      <c r="C561" s="164"/>
      <c r="D561" s="32"/>
      <c r="E561" s="32"/>
      <c r="F561" s="172"/>
      <c r="G561" s="17">
        <f t="shared" si="26"/>
        <v>0</v>
      </c>
      <c r="H561" s="187">
        <f t="shared" si="27"/>
        <v>0</v>
      </c>
      <c r="I561" s="170"/>
    </row>
    <row r="562" spans="1:9" ht="12.75" hidden="1" customHeight="1">
      <c r="A562" s="16"/>
      <c r="B562" s="49" t="s">
        <v>635</v>
      </c>
      <c r="C562" s="164"/>
      <c r="D562" s="32"/>
      <c r="E562" s="32">
        <v>1</v>
      </c>
      <c r="F562" s="172"/>
      <c r="G562" s="17">
        <f t="shared" si="26"/>
        <v>0</v>
      </c>
      <c r="H562" s="187">
        <f t="shared" si="27"/>
        <v>0</v>
      </c>
      <c r="I562" s="170"/>
    </row>
    <row r="563" spans="1:9" ht="12.75" hidden="1" customHeight="1">
      <c r="A563" s="16"/>
      <c r="B563" s="24" t="s">
        <v>463</v>
      </c>
      <c r="C563" s="164"/>
      <c r="D563" s="32"/>
      <c r="E563" s="40">
        <f>SUM(E552:E562)</f>
        <v>6</v>
      </c>
      <c r="F563" s="172"/>
      <c r="G563" s="17">
        <f t="shared" si="26"/>
        <v>0</v>
      </c>
      <c r="H563" s="187">
        <f t="shared" si="27"/>
        <v>0</v>
      </c>
      <c r="I563" s="170"/>
    </row>
    <row r="564" spans="1:9" ht="26.25" customHeight="1">
      <c r="A564" s="16" t="s">
        <v>359</v>
      </c>
      <c r="B564" s="25" t="s">
        <v>659</v>
      </c>
      <c r="C564" s="164" t="s">
        <v>751</v>
      </c>
      <c r="D564" s="16" t="s">
        <v>65</v>
      </c>
      <c r="E564" s="17">
        <v>4</v>
      </c>
      <c r="F564" s="17">
        <v>2800</v>
      </c>
      <c r="G564" s="17">
        <f t="shared" si="26"/>
        <v>3506.16</v>
      </c>
      <c r="H564" s="187">
        <f t="shared" si="27"/>
        <v>14024.64</v>
      </c>
      <c r="I564" s="170">
        <f>H564/$H$960*100</f>
        <v>3.4927489790638129</v>
      </c>
    </row>
    <row r="565" spans="1:9" ht="12.75" hidden="1" customHeight="1">
      <c r="A565" s="16"/>
      <c r="B565" s="51" t="s">
        <v>469</v>
      </c>
      <c r="C565" s="164"/>
      <c r="D565" s="32"/>
      <c r="E565" s="32"/>
      <c r="F565" s="172"/>
      <c r="G565" s="17">
        <f t="shared" si="26"/>
        <v>0</v>
      </c>
      <c r="H565" s="187">
        <f t="shared" si="27"/>
        <v>0</v>
      </c>
      <c r="I565" s="170"/>
    </row>
    <row r="566" spans="1:9" ht="12.75" hidden="1" customHeight="1">
      <c r="A566" s="16"/>
      <c r="B566" s="49" t="s">
        <v>610</v>
      </c>
      <c r="C566" s="164"/>
      <c r="D566" s="32"/>
      <c r="E566" s="32">
        <v>2</v>
      </c>
      <c r="F566" s="172"/>
      <c r="G566" s="17">
        <f t="shared" si="26"/>
        <v>0</v>
      </c>
      <c r="H566" s="187">
        <f t="shared" si="27"/>
        <v>0</v>
      </c>
      <c r="I566" s="170"/>
    </row>
    <row r="567" spans="1:9" ht="12.75" hidden="1">
      <c r="A567" s="16"/>
      <c r="B567" s="51" t="s">
        <v>476</v>
      </c>
      <c r="C567" s="164"/>
      <c r="D567" s="32"/>
      <c r="E567" s="32"/>
      <c r="F567" s="172"/>
      <c r="G567" s="17">
        <f t="shared" si="26"/>
        <v>0</v>
      </c>
      <c r="H567" s="187">
        <f t="shared" si="27"/>
        <v>0</v>
      </c>
      <c r="I567" s="170"/>
    </row>
    <row r="568" spans="1:9" ht="12.75" hidden="1">
      <c r="A568" s="16"/>
      <c r="B568" s="49" t="s">
        <v>611</v>
      </c>
      <c r="C568" s="164"/>
      <c r="D568" s="32"/>
      <c r="E568" s="32">
        <v>1</v>
      </c>
      <c r="F568" s="172"/>
      <c r="G568" s="17">
        <f t="shared" si="26"/>
        <v>0</v>
      </c>
      <c r="H568" s="187">
        <f t="shared" si="27"/>
        <v>0</v>
      </c>
      <c r="I568" s="170"/>
    </row>
    <row r="569" spans="1:9" ht="12.75" hidden="1" customHeight="1">
      <c r="A569" s="16"/>
      <c r="B569" s="51" t="s">
        <v>636</v>
      </c>
      <c r="C569" s="164"/>
      <c r="D569" s="32"/>
      <c r="E569" s="32"/>
      <c r="F569" s="172"/>
      <c r="G569" s="17">
        <f t="shared" si="26"/>
        <v>0</v>
      </c>
      <c r="H569" s="187">
        <f t="shared" si="27"/>
        <v>0</v>
      </c>
      <c r="I569" s="170"/>
    </row>
    <row r="570" spans="1:9" ht="12.75" hidden="1" customHeight="1">
      <c r="A570" s="16"/>
      <c r="B570" s="49" t="s">
        <v>635</v>
      </c>
      <c r="C570" s="164"/>
      <c r="D570" s="32"/>
      <c r="E570" s="32">
        <v>1</v>
      </c>
      <c r="F570" s="172"/>
      <c r="G570" s="17">
        <f t="shared" si="26"/>
        <v>0</v>
      </c>
      <c r="H570" s="187">
        <f t="shared" si="27"/>
        <v>0</v>
      </c>
      <c r="I570" s="170"/>
    </row>
    <row r="571" spans="1:9" ht="12.75" hidden="1">
      <c r="A571" s="16"/>
      <c r="B571" s="24" t="s">
        <v>463</v>
      </c>
      <c r="C571" s="164"/>
      <c r="D571" s="32"/>
      <c r="E571" s="40">
        <f>SUM(E566:E570)</f>
        <v>4</v>
      </c>
      <c r="F571" s="172"/>
      <c r="G571" s="17">
        <f t="shared" si="26"/>
        <v>0</v>
      </c>
      <c r="H571" s="187">
        <f t="shared" si="27"/>
        <v>0</v>
      </c>
      <c r="I571" s="170"/>
    </row>
    <row r="572" spans="1:9" ht="27.75" customHeight="1">
      <c r="A572" s="16" t="s">
        <v>360</v>
      </c>
      <c r="B572" s="25" t="s">
        <v>660</v>
      </c>
      <c r="C572" s="164" t="s">
        <v>752</v>
      </c>
      <c r="D572" s="16" t="s">
        <v>65</v>
      </c>
      <c r="E572" s="17">
        <v>1</v>
      </c>
      <c r="F572" s="17">
        <v>3200</v>
      </c>
      <c r="G572" s="17">
        <f t="shared" si="26"/>
        <v>4007.04</v>
      </c>
      <c r="H572" s="187">
        <f t="shared" si="27"/>
        <v>4007.04</v>
      </c>
      <c r="I572" s="170">
        <f>H572/$H$960*100</f>
        <v>0.99792827973251808</v>
      </c>
    </row>
    <row r="573" spans="1:9" ht="12.75" hidden="1" customHeight="1">
      <c r="A573" s="16"/>
      <c r="B573" s="51" t="s">
        <v>473</v>
      </c>
      <c r="C573" s="54"/>
      <c r="D573" s="32"/>
      <c r="E573" s="32"/>
      <c r="F573" s="172"/>
      <c r="G573" s="17">
        <v>0</v>
      </c>
      <c r="H573" s="17"/>
      <c r="I573" s="170"/>
    </row>
    <row r="574" spans="1:9" ht="12.75" hidden="1" customHeight="1">
      <c r="A574" s="16"/>
      <c r="B574" s="49" t="s">
        <v>635</v>
      </c>
      <c r="C574" s="54"/>
      <c r="D574" s="32"/>
      <c r="E574" s="32">
        <v>1</v>
      </c>
      <c r="F574" s="172"/>
      <c r="G574" s="17">
        <v>0</v>
      </c>
      <c r="H574" s="17"/>
      <c r="I574" s="170"/>
    </row>
    <row r="575" spans="1:9" ht="12.75" hidden="1">
      <c r="A575" s="16"/>
      <c r="B575" s="24" t="s">
        <v>463</v>
      </c>
      <c r="C575" s="54"/>
      <c r="D575" s="32"/>
      <c r="E575" s="40">
        <f>SUM(E574)</f>
        <v>1</v>
      </c>
      <c r="F575" s="172"/>
      <c r="G575" s="17">
        <v>0</v>
      </c>
      <c r="H575" s="17"/>
      <c r="I575" s="170"/>
    </row>
    <row r="576" spans="1:9" ht="12.75" customHeight="1">
      <c r="A576" s="190" t="s">
        <v>111</v>
      </c>
      <c r="B576" s="190"/>
      <c r="C576" s="163"/>
      <c r="D576" s="23"/>
      <c r="E576" s="22"/>
      <c r="F576" s="22"/>
      <c r="G576" s="17"/>
      <c r="H576" s="22">
        <f>H572+H564+H550</f>
        <v>31925.940000000002</v>
      </c>
      <c r="I576" s="170">
        <f>H576/$H$960*100</f>
        <v>7.9509559133533951</v>
      </c>
    </row>
    <row r="577" spans="1:9" ht="12.75">
      <c r="A577" s="23" t="s">
        <v>361</v>
      </c>
      <c r="B577" s="18" t="s">
        <v>112</v>
      </c>
      <c r="C577" s="163"/>
      <c r="D577" s="16"/>
      <c r="E577" s="17"/>
      <c r="F577" s="17"/>
      <c r="G577" s="17"/>
      <c r="H577" s="17"/>
      <c r="I577" s="170"/>
    </row>
    <row r="578" spans="1:9" ht="12.75">
      <c r="A578" s="16" t="s">
        <v>362</v>
      </c>
      <c r="B578" s="19" t="s">
        <v>687</v>
      </c>
      <c r="C578" s="164"/>
      <c r="D578" s="16"/>
      <c r="E578" s="17"/>
      <c r="F578" s="17"/>
      <c r="G578" s="17"/>
      <c r="H578" s="17"/>
      <c r="I578" s="170"/>
    </row>
    <row r="579" spans="1:9" ht="25.5">
      <c r="A579" s="16" t="s">
        <v>387</v>
      </c>
      <c r="B579" s="50" t="s">
        <v>254</v>
      </c>
      <c r="C579" s="164">
        <v>89356</v>
      </c>
      <c r="D579" s="16" t="s">
        <v>81</v>
      </c>
      <c r="E579" s="17">
        <v>250</v>
      </c>
      <c r="F579" s="184">
        <v>10.83</v>
      </c>
      <c r="G579" s="17">
        <f t="shared" ref="G579:G642" si="28">ROUND(F579*1.2522,2)</f>
        <v>13.56</v>
      </c>
      <c r="H579" s="187">
        <f t="shared" ref="H579:H618" si="29">ROUND(E579*G579,2)</f>
        <v>3390</v>
      </c>
      <c r="I579" s="170">
        <f>H579/$H$960*100</f>
        <v>0.84425832242583965</v>
      </c>
    </row>
    <row r="580" spans="1:9" ht="25.5">
      <c r="A580" s="16" t="s">
        <v>388</v>
      </c>
      <c r="B580" s="50" t="s">
        <v>255</v>
      </c>
      <c r="C580" s="164">
        <v>89357</v>
      </c>
      <c r="D580" s="16" t="s">
        <v>81</v>
      </c>
      <c r="E580" s="17">
        <v>150</v>
      </c>
      <c r="F580" s="184">
        <v>14.96</v>
      </c>
      <c r="G580" s="17">
        <f t="shared" si="28"/>
        <v>18.73</v>
      </c>
      <c r="H580" s="187">
        <f t="shared" si="29"/>
        <v>2809.5</v>
      </c>
      <c r="I580" s="170">
        <f>H580/$H$960*100</f>
        <v>0.69968842385114938</v>
      </c>
    </row>
    <row r="581" spans="1:9" ht="25.5">
      <c r="A581" s="16" t="s">
        <v>389</v>
      </c>
      <c r="B581" s="50" t="s">
        <v>258</v>
      </c>
      <c r="C581" s="164">
        <v>89449</v>
      </c>
      <c r="D581" s="16" t="s">
        <v>81</v>
      </c>
      <c r="E581" s="17">
        <v>50</v>
      </c>
      <c r="F581" s="184">
        <v>8.99</v>
      </c>
      <c r="G581" s="17">
        <f t="shared" si="28"/>
        <v>11.26</v>
      </c>
      <c r="H581" s="187">
        <f t="shared" si="29"/>
        <v>563</v>
      </c>
      <c r="I581" s="170">
        <f>H581/$H$960*100</f>
        <v>0.14021163289845065</v>
      </c>
    </row>
    <row r="582" spans="1:9" ht="38.25">
      <c r="A582" s="16" t="s">
        <v>390</v>
      </c>
      <c r="B582" s="28" t="s">
        <v>160</v>
      </c>
      <c r="C582" s="16" t="s">
        <v>796</v>
      </c>
      <c r="D582" s="16" t="s">
        <v>65</v>
      </c>
      <c r="E582" s="17">
        <v>5</v>
      </c>
      <c r="F582" s="17">
        <v>223.83</v>
      </c>
      <c r="G582" s="17">
        <f t="shared" si="28"/>
        <v>280.27999999999997</v>
      </c>
      <c r="H582" s="187">
        <f t="shared" si="29"/>
        <v>1401.4</v>
      </c>
      <c r="I582" s="170">
        <f>H582/$H$960*100</f>
        <v>0.34900991535326598</v>
      </c>
    </row>
    <row r="583" spans="1:9" ht="12.75" hidden="1">
      <c r="A583" s="16"/>
      <c r="B583" s="51" t="s">
        <v>478</v>
      </c>
      <c r="C583" s="54"/>
      <c r="D583" s="32"/>
      <c r="E583" s="32"/>
      <c r="F583" s="172"/>
      <c r="G583" s="17">
        <f t="shared" si="28"/>
        <v>0</v>
      </c>
      <c r="H583" s="187">
        <f t="shared" si="29"/>
        <v>0</v>
      </c>
      <c r="I583" s="170"/>
    </row>
    <row r="584" spans="1:9" ht="12.75" hidden="1">
      <c r="A584" s="16"/>
      <c r="B584" s="49" t="s">
        <v>640</v>
      </c>
      <c r="C584" s="54"/>
      <c r="D584" s="32"/>
      <c r="E584" s="32">
        <v>2</v>
      </c>
      <c r="F584" s="172"/>
      <c r="G584" s="17">
        <f t="shared" si="28"/>
        <v>0</v>
      </c>
      <c r="H584" s="187">
        <f t="shared" si="29"/>
        <v>0</v>
      </c>
      <c r="I584" s="170"/>
    </row>
    <row r="585" spans="1:9" ht="12.75" hidden="1">
      <c r="A585" s="16"/>
      <c r="B585" s="49" t="s">
        <v>486</v>
      </c>
      <c r="C585" s="54"/>
      <c r="D585" s="32"/>
      <c r="E585" s="32"/>
      <c r="F585" s="172"/>
      <c r="G585" s="17">
        <f t="shared" si="28"/>
        <v>0</v>
      </c>
      <c r="H585" s="187">
        <f t="shared" si="29"/>
        <v>0</v>
      </c>
      <c r="I585" s="170"/>
    </row>
    <row r="586" spans="1:9" ht="12.75" hidden="1">
      <c r="A586" s="16"/>
      <c r="B586" s="49" t="s">
        <v>635</v>
      </c>
      <c r="C586" s="54"/>
      <c r="D586" s="32"/>
      <c r="E586" s="32">
        <v>1</v>
      </c>
      <c r="F586" s="172"/>
      <c r="G586" s="17">
        <f t="shared" si="28"/>
        <v>0</v>
      </c>
      <c r="H586" s="187">
        <f t="shared" si="29"/>
        <v>0</v>
      </c>
      <c r="I586" s="170"/>
    </row>
    <row r="587" spans="1:9" ht="12.75" hidden="1">
      <c r="A587" s="16"/>
      <c r="B587" s="51" t="s">
        <v>470</v>
      </c>
      <c r="C587" s="54"/>
      <c r="D587" s="32"/>
      <c r="E587" s="32"/>
      <c r="F587" s="172"/>
      <c r="G587" s="17">
        <f t="shared" si="28"/>
        <v>0</v>
      </c>
      <c r="H587" s="187">
        <f t="shared" si="29"/>
        <v>0</v>
      </c>
      <c r="I587" s="170"/>
    </row>
    <row r="588" spans="1:9" ht="12.75" hidden="1">
      <c r="A588" s="16"/>
      <c r="B588" s="49" t="s">
        <v>635</v>
      </c>
      <c r="C588" s="54"/>
      <c r="D588" s="32"/>
      <c r="E588" s="32">
        <v>1</v>
      </c>
      <c r="F588" s="172"/>
      <c r="G588" s="17">
        <f t="shared" si="28"/>
        <v>0</v>
      </c>
      <c r="H588" s="187">
        <f t="shared" si="29"/>
        <v>0</v>
      </c>
      <c r="I588" s="170"/>
    </row>
    <row r="589" spans="1:9" ht="12.75" hidden="1">
      <c r="A589" s="16"/>
      <c r="B589" s="51" t="s">
        <v>476</v>
      </c>
      <c r="C589" s="54"/>
      <c r="D589" s="32"/>
      <c r="E589" s="32"/>
      <c r="F589" s="172"/>
      <c r="G589" s="17">
        <f t="shared" si="28"/>
        <v>0</v>
      </c>
      <c r="H589" s="187">
        <f t="shared" si="29"/>
        <v>0</v>
      </c>
      <c r="I589" s="170"/>
    </row>
    <row r="590" spans="1:9" ht="12.75" hidden="1">
      <c r="A590" s="16"/>
      <c r="B590" s="49" t="s">
        <v>635</v>
      </c>
      <c r="C590" s="54"/>
      <c r="D590" s="32"/>
      <c r="E590" s="32">
        <v>1</v>
      </c>
      <c r="F590" s="172"/>
      <c r="G590" s="17">
        <f t="shared" si="28"/>
        <v>0</v>
      </c>
      <c r="H590" s="187">
        <f t="shared" si="29"/>
        <v>0</v>
      </c>
      <c r="I590" s="170"/>
    </row>
    <row r="591" spans="1:9" ht="12.75" hidden="1">
      <c r="A591" s="16"/>
      <c r="B591" s="24" t="s">
        <v>463</v>
      </c>
      <c r="C591" s="54"/>
      <c r="D591" s="32"/>
      <c r="E591" s="40">
        <f>SUM(E583:E590)</f>
        <v>5</v>
      </c>
      <c r="F591" s="172"/>
      <c r="G591" s="17">
        <f t="shared" si="28"/>
        <v>0</v>
      </c>
      <c r="H591" s="187">
        <f t="shared" si="29"/>
        <v>0</v>
      </c>
      <c r="I591" s="170"/>
    </row>
    <row r="592" spans="1:9" ht="37.5" customHeight="1">
      <c r="A592" s="16" t="s">
        <v>391</v>
      </c>
      <c r="B592" s="28" t="s">
        <v>161</v>
      </c>
      <c r="C592" s="16" t="s">
        <v>797</v>
      </c>
      <c r="D592" s="16" t="s">
        <v>65</v>
      </c>
      <c r="E592" s="17">
        <v>6</v>
      </c>
      <c r="F592" s="17">
        <v>535.23</v>
      </c>
      <c r="G592" s="17">
        <f t="shared" si="28"/>
        <v>670.22</v>
      </c>
      <c r="H592" s="187">
        <f t="shared" si="29"/>
        <v>4021.32</v>
      </c>
      <c r="I592" s="170">
        <f>H592/$H$960*100</f>
        <v>1.0014846245243296</v>
      </c>
    </row>
    <row r="593" spans="1:9" ht="12.75" hidden="1">
      <c r="A593" s="16"/>
      <c r="B593" s="49" t="s">
        <v>479</v>
      </c>
      <c r="C593" s="54"/>
      <c r="D593" s="32"/>
      <c r="E593" s="32"/>
      <c r="F593" s="172"/>
      <c r="G593" s="17">
        <f t="shared" si="28"/>
        <v>0</v>
      </c>
      <c r="H593" s="187">
        <f t="shared" si="29"/>
        <v>0</v>
      </c>
      <c r="I593" s="170"/>
    </row>
    <row r="594" spans="1:9" ht="12.75" hidden="1">
      <c r="A594" s="16"/>
      <c r="B594" s="49" t="s">
        <v>640</v>
      </c>
      <c r="C594" s="54"/>
      <c r="D594" s="32"/>
      <c r="E594" s="32">
        <v>2</v>
      </c>
      <c r="F594" s="172"/>
      <c r="G594" s="17">
        <f t="shared" si="28"/>
        <v>0</v>
      </c>
      <c r="H594" s="187">
        <f t="shared" si="29"/>
        <v>0</v>
      </c>
      <c r="I594" s="170"/>
    </row>
    <row r="595" spans="1:9" ht="12.75" hidden="1">
      <c r="A595" s="16"/>
      <c r="B595" s="49" t="s">
        <v>485</v>
      </c>
      <c r="C595" s="54"/>
      <c r="D595" s="32"/>
      <c r="E595" s="32"/>
      <c r="F595" s="172"/>
      <c r="G595" s="17">
        <f t="shared" si="28"/>
        <v>0</v>
      </c>
      <c r="H595" s="187">
        <f t="shared" si="29"/>
        <v>0</v>
      </c>
      <c r="I595" s="170"/>
    </row>
    <row r="596" spans="1:9" ht="12.75" hidden="1">
      <c r="A596" s="16"/>
      <c r="B596" s="49" t="s">
        <v>640</v>
      </c>
      <c r="C596" s="54"/>
      <c r="D596" s="32"/>
      <c r="E596" s="32">
        <v>2</v>
      </c>
      <c r="F596" s="172"/>
      <c r="G596" s="17">
        <f t="shared" si="28"/>
        <v>0</v>
      </c>
      <c r="H596" s="187">
        <f t="shared" si="29"/>
        <v>0</v>
      </c>
      <c r="I596" s="170"/>
    </row>
    <row r="597" spans="1:9" ht="12.75" hidden="1">
      <c r="A597" s="16"/>
      <c r="B597" s="51" t="s">
        <v>597</v>
      </c>
      <c r="C597" s="54"/>
      <c r="D597" s="32"/>
      <c r="E597" s="32"/>
      <c r="F597" s="172"/>
      <c r="G597" s="17">
        <f t="shared" si="28"/>
        <v>0</v>
      </c>
      <c r="H597" s="187">
        <f t="shared" si="29"/>
        <v>0</v>
      </c>
      <c r="I597" s="170"/>
    </row>
    <row r="598" spans="1:9" ht="12.75" hidden="1">
      <c r="A598" s="16"/>
      <c r="B598" s="49" t="s">
        <v>635</v>
      </c>
      <c r="C598" s="54"/>
      <c r="D598" s="32"/>
      <c r="E598" s="32">
        <v>1</v>
      </c>
      <c r="F598" s="172"/>
      <c r="G598" s="17">
        <f t="shared" si="28"/>
        <v>0</v>
      </c>
      <c r="H598" s="187">
        <f t="shared" si="29"/>
        <v>0</v>
      </c>
      <c r="I598" s="170"/>
    </row>
    <row r="599" spans="1:9" ht="12.75" hidden="1">
      <c r="A599" s="16"/>
      <c r="B599" s="51" t="s">
        <v>476</v>
      </c>
      <c r="C599" s="54"/>
      <c r="D599" s="32"/>
      <c r="E599" s="32"/>
      <c r="F599" s="172"/>
      <c r="G599" s="17">
        <f t="shared" si="28"/>
        <v>0</v>
      </c>
      <c r="H599" s="187">
        <f t="shared" si="29"/>
        <v>0</v>
      </c>
      <c r="I599" s="170"/>
    </row>
    <row r="600" spans="1:9" ht="12.75" hidden="1">
      <c r="A600" s="16"/>
      <c r="B600" s="49" t="s">
        <v>635</v>
      </c>
      <c r="C600" s="54"/>
      <c r="D600" s="32"/>
      <c r="E600" s="32">
        <v>1</v>
      </c>
      <c r="F600" s="172"/>
      <c r="G600" s="17">
        <f t="shared" si="28"/>
        <v>0</v>
      </c>
      <c r="H600" s="187">
        <f t="shared" si="29"/>
        <v>0</v>
      </c>
      <c r="I600" s="170"/>
    </row>
    <row r="601" spans="1:9" ht="12.75" hidden="1">
      <c r="A601" s="16"/>
      <c r="B601" s="24" t="s">
        <v>463</v>
      </c>
      <c r="C601" s="54"/>
      <c r="D601" s="32"/>
      <c r="E601" s="40">
        <f>SUM(E594:E600)</f>
        <v>6</v>
      </c>
      <c r="F601" s="172"/>
      <c r="G601" s="17">
        <f t="shared" si="28"/>
        <v>0</v>
      </c>
      <c r="H601" s="187">
        <f t="shared" si="29"/>
        <v>0</v>
      </c>
      <c r="I601" s="170"/>
    </row>
    <row r="602" spans="1:9" ht="42" customHeight="1">
      <c r="A602" s="16" t="s">
        <v>392</v>
      </c>
      <c r="B602" s="181" t="s">
        <v>811</v>
      </c>
      <c r="C602" s="164">
        <v>9957</v>
      </c>
      <c r="D602" s="16" t="s">
        <v>110</v>
      </c>
      <c r="E602" s="17">
        <v>16</v>
      </c>
      <c r="F602" s="184">
        <v>40.380000000000003</v>
      </c>
      <c r="G602" s="17">
        <f t="shared" si="28"/>
        <v>50.56</v>
      </c>
      <c r="H602" s="187">
        <f t="shared" si="29"/>
        <v>808.96</v>
      </c>
      <c r="I602" s="170">
        <f>H602/$H$960*100</f>
        <v>0.20146643436861569</v>
      </c>
    </row>
    <row r="603" spans="1:9" ht="12.75" hidden="1">
      <c r="A603" s="16"/>
      <c r="B603" s="49" t="s">
        <v>479</v>
      </c>
      <c r="C603" s="54"/>
      <c r="D603" s="32"/>
      <c r="E603" s="32"/>
      <c r="F603" s="172"/>
      <c r="G603" s="17">
        <f t="shared" si="28"/>
        <v>0</v>
      </c>
      <c r="H603" s="187">
        <f t="shared" si="29"/>
        <v>0</v>
      </c>
      <c r="I603" s="170"/>
    </row>
    <row r="604" spans="1:9" ht="12.75" hidden="1">
      <c r="A604" s="16"/>
      <c r="B604" s="49" t="s">
        <v>662</v>
      </c>
      <c r="C604" s="54"/>
      <c r="D604" s="32"/>
      <c r="E604" s="32">
        <v>4</v>
      </c>
      <c r="F604" s="172"/>
      <c r="G604" s="17">
        <f t="shared" si="28"/>
        <v>0</v>
      </c>
      <c r="H604" s="187">
        <f t="shared" si="29"/>
        <v>0</v>
      </c>
      <c r="I604" s="170"/>
    </row>
    <row r="605" spans="1:9" ht="12.75" hidden="1">
      <c r="A605" s="16"/>
      <c r="B605" s="49" t="s">
        <v>485</v>
      </c>
      <c r="C605" s="54"/>
      <c r="D605" s="32"/>
      <c r="E605" s="32"/>
      <c r="F605" s="172"/>
      <c r="G605" s="17">
        <f t="shared" si="28"/>
        <v>0</v>
      </c>
      <c r="H605" s="187">
        <f t="shared" si="29"/>
        <v>0</v>
      </c>
      <c r="I605" s="170"/>
    </row>
    <row r="606" spans="1:9" ht="12.75" hidden="1">
      <c r="A606" s="16"/>
      <c r="B606" s="49" t="s">
        <v>662</v>
      </c>
      <c r="C606" s="54"/>
      <c r="D606" s="32"/>
      <c r="E606" s="32">
        <v>4</v>
      </c>
      <c r="F606" s="172"/>
      <c r="G606" s="17">
        <f t="shared" si="28"/>
        <v>0</v>
      </c>
      <c r="H606" s="187">
        <f t="shared" si="29"/>
        <v>0</v>
      </c>
      <c r="I606" s="170"/>
    </row>
    <row r="607" spans="1:9" ht="12.75" hidden="1">
      <c r="A607" s="16"/>
      <c r="B607" s="51" t="s">
        <v>470</v>
      </c>
      <c r="C607" s="54"/>
      <c r="D607" s="32"/>
      <c r="E607" s="32"/>
      <c r="F607" s="172"/>
      <c r="G607" s="17">
        <f t="shared" si="28"/>
        <v>0</v>
      </c>
      <c r="H607" s="187">
        <f t="shared" si="29"/>
        <v>0</v>
      </c>
      <c r="I607" s="170"/>
    </row>
    <row r="608" spans="1:9" ht="12.75" hidden="1">
      <c r="A608" s="16"/>
      <c r="B608" s="49" t="s">
        <v>635</v>
      </c>
      <c r="C608" s="54"/>
      <c r="D608" s="32"/>
      <c r="E608" s="32">
        <v>1</v>
      </c>
      <c r="F608" s="172"/>
      <c r="G608" s="17">
        <f t="shared" si="28"/>
        <v>0</v>
      </c>
      <c r="H608" s="187">
        <f t="shared" si="29"/>
        <v>0</v>
      </c>
      <c r="I608" s="170"/>
    </row>
    <row r="609" spans="1:9" ht="12.75" hidden="1">
      <c r="A609" s="16"/>
      <c r="B609" s="49" t="s">
        <v>486</v>
      </c>
      <c r="C609" s="54"/>
      <c r="D609" s="32"/>
      <c r="E609" s="32"/>
      <c r="F609" s="172"/>
      <c r="G609" s="17">
        <f t="shared" si="28"/>
        <v>0</v>
      </c>
      <c r="H609" s="187">
        <f t="shared" si="29"/>
        <v>0</v>
      </c>
      <c r="I609" s="170"/>
    </row>
    <row r="610" spans="1:9" ht="12.75" hidden="1">
      <c r="A610" s="16"/>
      <c r="B610" s="49" t="s">
        <v>635</v>
      </c>
      <c r="C610" s="54"/>
      <c r="D610" s="32"/>
      <c r="E610" s="32">
        <v>1</v>
      </c>
      <c r="F610" s="172"/>
      <c r="G610" s="17">
        <f t="shared" si="28"/>
        <v>0</v>
      </c>
      <c r="H610" s="187">
        <f t="shared" si="29"/>
        <v>0</v>
      </c>
      <c r="I610" s="170"/>
    </row>
    <row r="611" spans="1:9" ht="12.75" hidden="1">
      <c r="A611" s="16"/>
      <c r="B611" s="51" t="s">
        <v>478</v>
      </c>
      <c r="C611" s="54"/>
      <c r="D611" s="32"/>
      <c r="E611" s="32"/>
      <c r="F611" s="172"/>
      <c r="G611" s="17">
        <f t="shared" si="28"/>
        <v>0</v>
      </c>
      <c r="H611" s="187">
        <f t="shared" si="29"/>
        <v>0</v>
      </c>
      <c r="I611" s="170"/>
    </row>
    <row r="612" spans="1:9" ht="12.75" hidden="1">
      <c r="A612" s="16"/>
      <c r="B612" s="49" t="s">
        <v>640</v>
      </c>
      <c r="C612" s="54"/>
      <c r="D612" s="32"/>
      <c r="E612" s="32">
        <v>2</v>
      </c>
      <c r="F612" s="172"/>
      <c r="G612" s="17">
        <f t="shared" si="28"/>
        <v>0</v>
      </c>
      <c r="H612" s="187">
        <f t="shared" si="29"/>
        <v>0</v>
      </c>
      <c r="I612" s="170"/>
    </row>
    <row r="613" spans="1:9" ht="12.75" hidden="1">
      <c r="A613" s="16"/>
      <c r="B613" s="51" t="s">
        <v>597</v>
      </c>
      <c r="C613" s="54"/>
      <c r="D613" s="32"/>
      <c r="E613" s="32"/>
      <c r="F613" s="172"/>
      <c r="G613" s="17">
        <f t="shared" si="28"/>
        <v>0</v>
      </c>
      <c r="H613" s="187">
        <f t="shared" si="29"/>
        <v>0</v>
      </c>
      <c r="I613" s="170"/>
    </row>
    <row r="614" spans="1:9" ht="12.75" hidden="1">
      <c r="A614" s="16"/>
      <c r="B614" s="49" t="s">
        <v>640</v>
      </c>
      <c r="C614" s="54"/>
      <c r="D614" s="32"/>
      <c r="E614" s="32">
        <v>2</v>
      </c>
      <c r="F614" s="172"/>
      <c r="G614" s="17">
        <f t="shared" si="28"/>
        <v>0</v>
      </c>
      <c r="H614" s="187">
        <f t="shared" si="29"/>
        <v>0</v>
      </c>
      <c r="I614" s="170"/>
    </row>
    <row r="615" spans="1:9" ht="12.75" hidden="1">
      <c r="A615" s="16"/>
      <c r="B615" s="51" t="s">
        <v>476</v>
      </c>
      <c r="C615" s="54"/>
      <c r="D615" s="32"/>
      <c r="E615" s="32"/>
      <c r="F615" s="172"/>
      <c r="G615" s="17">
        <f t="shared" si="28"/>
        <v>0</v>
      </c>
      <c r="H615" s="187">
        <f t="shared" si="29"/>
        <v>0</v>
      </c>
      <c r="I615" s="170"/>
    </row>
    <row r="616" spans="1:9" ht="12.75" hidden="1">
      <c r="A616" s="16"/>
      <c r="B616" s="49" t="s">
        <v>640</v>
      </c>
      <c r="C616" s="54"/>
      <c r="D616" s="32"/>
      <c r="E616" s="32">
        <v>2</v>
      </c>
      <c r="F616" s="172"/>
      <c r="G616" s="17">
        <f t="shared" si="28"/>
        <v>0</v>
      </c>
      <c r="H616" s="187">
        <f t="shared" si="29"/>
        <v>0</v>
      </c>
      <c r="I616" s="170"/>
    </row>
    <row r="617" spans="1:9" ht="12.75" hidden="1">
      <c r="A617" s="16"/>
      <c r="B617" s="24" t="s">
        <v>463</v>
      </c>
      <c r="C617" s="54"/>
      <c r="D617" s="32"/>
      <c r="E617" s="40">
        <f>SUM(E604:E616)</f>
        <v>16</v>
      </c>
      <c r="F617" s="172"/>
      <c r="G617" s="17">
        <f t="shared" si="28"/>
        <v>0</v>
      </c>
      <c r="H617" s="187">
        <f t="shared" si="29"/>
        <v>0</v>
      </c>
      <c r="I617" s="170"/>
    </row>
    <row r="618" spans="1:9" ht="12.75">
      <c r="A618" s="16" t="s">
        <v>393</v>
      </c>
      <c r="B618" s="27" t="s">
        <v>266</v>
      </c>
      <c r="C618" s="164">
        <v>9535</v>
      </c>
      <c r="D618" s="16" t="s">
        <v>65</v>
      </c>
      <c r="E618" s="17">
        <v>2</v>
      </c>
      <c r="F618" s="184">
        <v>52.07</v>
      </c>
      <c r="G618" s="17">
        <f t="shared" si="28"/>
        <v>65.2</v>
      </c>
      <c r="H618" s="187">
        <f t="shared" si="29"/>
        <v>130.4</v>
      </c>
      <c r="I618" s="170">
        <f>H618/$H$960*100</f>
        <v>3.2475305381808109E-2</v>
      </c>
    </row>
    <row r="619" spans="1:9" ht="12.75" hidden="1">
      <c r="A619" s="16"/>
      <c r="B619" s="49" t="s">
        <v>479</v>
      </c>
      <c r="C619" s="54"/>
      <c r="D619" s="32"/>
      <c r="E619" s="32"/>
      <c r="F619" s="172"/>
      <c r="G619" s="17">
        <f t="shared" si="28"/>
        <v>0</v>
      </c>
      <c r="H619" s="17">
        <f>ROUND(E619*G619,2)</f>
        <v>0</v>
      </c>
      <c r="I619" s="170"/>
    </row>
    <row r="620" spans="1:9" ht="12.75" hidden="1">
      <c r="A620" s="16"/>
      <c r="B620" s="49" t="s">
        <v>635</v>
      </c>
      <c r="C620" s="54"/>
      <c r="D620" s="32"/>
      <c r="E620" s="32">
        <v>1</v>
      </c>
      <c r="F620" s="172"/>
      <c r="G620" s="17">
        <f t="shared" si="28"/>
        <v>0</v>
      </c>
      <c r="H620" s="17">
        <f>ROUND(E620*G620,2)</f>
        <v>0</v>
      </c>
      <c r="I620" s="170"/>
    </row>
    <row r="621" spans="1:9" ht="12.75" hidden="1">
      <c r="A621" s="16"/>
      <c r="B621" s="49" t="s">
        <v>485</v>
      </c>
      <c r="C621" s="54"/>
      <c r="D621" s="32"/>
      <c r="E621" s="32"/>
      <c r="F621" s="172"/>
      <c r="G621" s="17">
        <f t="shared" si="28"/>
        <v>0</v>
      </c>
      <c r="H621" s="17">
        <f>ROUND(E621*G621,2)</f>
        <v>0</v>
      </c>
      <c r="I621" s="170"/>
    </row>
    <row r="622" spans="1:9" ht="12.75" hidden="1">
      <c r="A622" s="16"/>
      <c r="B622" s="49" t="s">
        <v>635</v>
      </c>
      <c r="C622" s="54"/>
      <c r="D622" s="32"/>
      <c r="E622" s="32">
        <v>1</v>
      </c>
      <c r="F622" s="172"/>
      <c r="G622" s="17">
        <f t="shared" si="28"/>
        <v>0</v>
      </c>
      <c r="H622" s="17">
        <f>ROUND(E622*G622,2)</f>
        <v>0</v>
      </c>
      <c r="I622" s="170"/>
    </row>
    <row r="623" spans="1:9" ht="12.75" hidden="1">
      <c r="A623" s="16"/>
      <c r="B623" s="24" t="s">
        <v>463</v>
      </c>
      <c r="C623" s="54"/>
      <c r="D623" s="32"/>
      <c r="E623" s="40">
        <f>SUM(E620:E622)</f>
        <v>2</v>
      </c>
      <c r="F623" s="172"/>
      <c r="G623" s="17">
        <f t="shared" si="28"/>
        <v>0</v>
      </c>
      <c r="H623" s="17">
        <f>ROUND(E623*G623,2)</f>
        <v>0</v>
      </c>
      <c r="I623" s="170"/>
    </row>
    <row r="624" spans="1:9" ht="12.75" customHeight="1">
      <c r="A624" s="16" t="s">
        <v>394</v>
      </c>
      <c r="B624" s="19" t="s">
        <v>113</v>
      </c>
      <c r="C624" s="164"/>
      <c r="D624" s="16"/>
      <c r="E624" s="17"/>
      <c r="F624" s="17"/>
      <c r="G624" s="17"/>
      <c r="H624" s="17"/>
      <c r="I624" s="170"/>
    </row>
    <row r="625" spans="1:9" ht="25.5">
      <c r="A625" s="16" t="s">
        <v>395</v>
      </c>
      <c r="B625" s="26" t="s">
        <v>165</v>
      </c>
      <c r="C625" s="164">
        <v>86882</v>
      </c>
      <c r="D625" s="16" t="s">
        <v>65</v>
      </c>
      <c r="E625" s="17">
        <v>6</v>
      </c>
      <c r="F625" s="184">
        <v>10.63</v>
      </c>
      <c r="G625" s="17">
        <f t="shared" si="28"/>
        <v>13.31</v>
      </c>
      <c r="H625" s="187">
        <f t="shared" ref="H625:H688" si="30">ROUND(E625*G625,2)</f>
        <v>79.86</v>
      </c>
      <c r="I625" s="170">
        <f>H625/$H$960*100</f>
        <v>1.9888634108828185E-2</v>
      </c>
    </row>
    <row r="626" spans="1:9" ht="12.75" hidden="1">
      <c r="A626" s="16"/>
      <c r="B626" s="49" t="s">
        <v>479</v>
      </c>
      <c r="C626" s="164"/>
      <c r="D626" s="32"/>
      <c r="E626" s="32"/>
      <c r="F626" s="172"/>
      <c r="G626" s="17">
        <f t="shared" si="28"/>
        <v>0</v>
      </c>
      <c r="H626" s="187">
        <f t="shared" si="30"/>
        <v>0</v>
      </c>
      <c r="I626" s="170"/>
    </row>
    <row r="627" spans="1:9" ht="12.75" hidden="1">
      <c r="A627" s="16"/>
      <c r="B627" s="49" t="s">
        <v>640</v>
      </c>
      <c r="C627" s="164"/>
      <c r="D627" s="32"/>
      <c r="E627" s="32">
        <v>2</v>
      </c>
      <c r="F627" s="172"/>
      <c r="G627" s="17">
        <f t="shared" si="28"/>
        <v>0</v>
      </c>
      <c r="H627" s="187">
        <f t="shared" si="30"/>
        <v>0</v>
      </c>
      <c r="I627" s="170"/>
    </row>
    <row r="628" spans="1:9" ht="12.75" hidden="1">
      <c r="A628" s="16"/>
      <c r="B628" s="49" t="s">
        <v>485</v>
      </c>
      <c r="C628" s="164"/>
      <c r="D628" s="32"/>
      <c r="E628" s="32"/>
      <c r="F628" s="172"/>
      <c r="G628" s="17">
        <f t="shared" si="28"/>
        <v>0</v>
      </c>
      <c r="H628" s="187">
        <f t="shared" si="30"/>
        <v>0</v>
      </c>
      <c r="I628" s="170"/>
    </row>
    <row r="629" spans="1:9" ht="12.75" hidden="1">
      <c r="A629" s="16"/>
      <c r="B629" s="49" t="s">
        <v>640</v>
      </c>
      <c r="C629" s="164"/>
      <c r="D629" s="32"/>
      <c r="E629" s="32">
        <v>2</v>
      </c>
      <c r="F629" s="172"/>
      <c r="G629" s="17">
        <f t="shared" si="28"/>
        <v>0</v>
      </c>
      <c r="H629" s="187">
        <f t="shared" si="30"/>
        <v>0</v>
      </c>
      <c r="I629" s="170"/>
    </row>
    <row r="630" spans="1:9" ht="12.75" hidden="1">
      <c r="A630" s="16"/>
      <c r="B630" s="51" t="s">
        <v>597</v>
      </c>
      <c r="C630" s="164"/>
      <c r="D630" s="32"/>
      <c r="E630" s="32"/>
      <c r="F630" s="172"/>
      <c r="G630" s="17">
        <f t="shared" si="28"/>
        <v>0</v>
      </c>
      <c r="H630" s="187">
        <f t="shared" si="30"/>
        <v>0</v>
      </c>
      <c r="I630" s="170"/>
    </row>
    <row r="631" spans="1:9" ht="12.75" hidden="1">
      <c r="A631" s="16"/>
      <c r="B631" s="49" t="s">
        <v>635</v>
      </c>
      <c r="C631" s="164"/>
      <c r="D631" s="32"/>
      <c r="E631" s="32">
        <v>1</v>
      </c>
      <c r="F631" s="172"/>
      <c r="G631" s="17">
        <f t="shared" si="28"/>
        <v>0</v>
      </c>
      <c r="H631" s="187">
        <f t="shared" si="30"/>
        <v>0</v>
      </c>
      <c r="I631" s="170"/>
    </row>
    <row r="632" spans="1:9" ht="12.75" hidden="1">
      <c r="A632" s="16"/>
      <c r="B632" s="51" t="s">
        <v>476</v>
      </c>
      <c r="C632" s="164"/>
      <c r="D632" s="32"/>
      <c r="E632" s="32"/>
      <c r="F632" s="172"/>
      <c r="G632" s="17">
        <f t="shared" si="28"/>
        <v>0</v>
      </c>
      <c r="H632" s="187">
        <f t="shared" si="30"/>
        <v>0</v>
      </c>
      <c r="I632" s="170"/>
    </row>
    <row r="633" spans="1:9" ht="12.75" hidden="1">
      <c r="A633" s="16"/>
      <c r="B633" s="49" t="s">
        <v>635</v>
      </c>
      <c r="C633" s="164"/>
      <c r="D633" s="32"/>
      <c r="E633" s="32">
        <v>1</v>
      </c>
      <c r="F633" s="172"/>
      <c r="G633" s="17">
        <f t="shared" si="28"/>
        <v>0</v>
      </c>
      <c r="H633" s="187">
        <f t="shared" si="30"/>
        <v>0</v>
      </c>
      <c r="I633" s="170"/>
    </row>
    <row r="634" spans="1:9" ht="12.75" hidden="1">
      <c r="A634" s="16"/>
      <c r="B634" s="24" t="s">
        <v>463</v>
      </c>
      <c r="C634" s="164"/>
      <c r="D634" s="32"/>
      <c r="E634" s="40">
        <f>SUM(E627:E633)</f>
        <v>6</v>
      </c>
      <c r="F634" s="172"/>
      <c r="G634" s="17">
        <f t="shared" si="28"/>
        <v>0</v>
      </c>
      <c r="H634" s="187">
        <f t="shared" si="30"/>
        <v>0</v>
      </c>
      <c r="I634" s="170"/>
    </row>
    <row r="635" spans="1:9" ht="25.5">
      <c r="A635" s="16" t="s">
        <v>396</v>
      </c>
      <c r="B635" s="25" t="s">
        <v>776</v>
      </c>
      <c r="C635" s="164">
        <v>86881</v>
      </c>
      <c r="D635" s="16" t="s">
        <v>65</v>
      </c>
      <c r="E635" s="17">
        <v>6</v>
      </c>
      <c r="F635" s="184">
        <v>84.4</v>
      </c>
      <c r="G635" s="17">
        <f t="shared" si="28"/>
        <v>105.69</v>
      </c>
      <c r="H635" s="187">
        <f t="shared" si="30"/>
        <v>634.14</v>
      </c>
      <c r="I635" s="170">
        <f>H635/$H$960*100</f>
        <v>0.15792860548174686</v>
      </c>
    </row>
    <row r="636" spans="1:9" ht="12.75" hidden="1">
      <c r="A636" s="16"/>
      <c r="B636" s="49" t="s">
        <v>486</v>
      </c>
      <c r="C636" s="164"/>
      <c r="D636" s="32"/>
      <c r="E636" s="32"/>
      <c r="F636" s="172"/>
      <c r="G636" s="17">
        <f t="shared" si="28"/>
        <v>0</v>
      </c>
      <c r="H636" s="187">
        <f t="shared" si="30"/>
        <v>0</v>
      </c>
      <c r="I636" s="170"/>
    </row>
    <row r="637" spans="1:9" ht="12.75" hidden="1">
      <c r="A637" s="16"/>
      <c r="B637" s="49" t="s">
        <v>635</v>
      </c>
      <c r="C637" s="164"/>
      <c r="D637" s="32"/>
      <c r="E637" s="32">
        <v>1</v>
      </c>
      <c r="F637" s="172"/>
      <c r="G637" s="17">
        <f t="shared" si="28"/>
        <v>0</v>
      </c>
      <c r="H637" s="187">
        <f t="shared" si="30"/>
        <v>0</v>
      </c>
      <c r="I637" s="170"/>
    </row>
    <row r="638" spans="1:9" ht="12.75" hidden="1">
      <c r="A638" s="16"/>
      <c r="B638" s="51" t="s">
        <v>470</v>
      </c>
      <c r="C638" s="164"/>
      <c r="D638" s="32"/>
      <c r="E638" s="32"/>
      <c r="F638" s="172"/>
      <c r="G638" s="17">
        <f t="shared" si="28"/>
        <v>0</v>
      </c>
      <c r="H638" s="187">
        <f t="shared" si="30"/>
        <v>0</v>
      </c>
      <c r="I638" s="170"/>
    </row>
    <row r="639" spans="1:9" ht="12.75" hidden="1">
      <c r="A639" s="16"/>
      <c r="B639" s="49" t="s">
        <v>635</v>
      </c>
      <c r="C639" s="164"/>
      <c r="D639" s="32"/>
      <c r="E639" s="32">
        <v>1</v>
      </c>
      <c r="F639" s="172"/>
      <c r="G639" s="17">
        <f t="shared" si="28"/>
        <v>0</v>
      </c>
      <c r="H639" s="187">
        <f t="shared" si="30"/>
        <v>0</v>
      </c>
      <c r="I639" s="170"/>
    </row>
    <row r="640" spans="1:9" ht="12.75" hidden="1">
      <c r="A640" s="16"/>
      <c r="B640" s="51" t="s">
        <v>478</v>
      </c>
      <c r="C640" s="164"/>
      <c r="D640" s="32"/>
      <c r="E640" s="32"/>
      <c r="F640" s="172"/>
      <c r="G640" s="17">
        <f t="shared" si="28"/>
        <v>0</v>
      </c>
      <c r="H640" s="187">
        <f t="shared" si="30"/>
        <v>0</v>
      </c>
      <c r="I640" s="170"/>
    </row>
    <row r="641" spans="1:9" ht="12.75" hidden="1">
      <c r="A641" s="16"/>
      <c r="B641" s="49" t="s">
        <v>640</v>
      </c>
      <c r="C641" s="164"/>
      <c r="D641" s="32"/>
      <c r="E641" s="32">
        <v>2</v>
      </c>
      <c r="F641" s="172"/>
      <c r="G641" s="17">
        <f t="shared" si="28"/>
        <v>0</v>
      </c>
      <c r="H641" s="187">
        <f t="shared" si="30"/>
        <v>0</v>
      </c>
      <c r="I641" s="170"/>
    </row>
    <row r="642" spans="1:9" ht="12.75" hidden="1">
      <c r="A642" s="16"/>
      <c r="B642" s="51" t="s">
        <v>476</v>
      </c>
      <c r="C642" s="164"/>
      <c r="D642" s="32"/>
      <c r="E642" s="32"/>
      <c r="F642" s="172"/>
      <c r="G642" s="17">
        <f t="shared" si="28"/>
        <v>0</v>
      </c>
      <c r="H642" s="187">
        <f t="shared" si="30"/>
        <v>0</v>
      </c>
      <c r="I642" s="170"/>
    </row>
    <row r="643" spans="1:9" ht="12.75" hidden="1">
      <c r="A643" s="16"/>
      <c r="B643" s="49" t="s">
        <v>640</v>
      </c>
      <c r="C643" s="164"/>
      <c r="D643" s="32"/>
      <c r="E643" s="32">
        <v>2</v>
      </c>
      <c r="F643" s="172"/>
      <c r="G643" s="17">
        <f t="shared" ref="G643:G706" si="31">ROUND(F643*1.2522,2)</f>
        <v>0</v>
      </c>
      <c r="H643" s="187">
        <f t="shared" si="30"/>
        <v>0</v>
      </c>
      <c r="I643" s="170"/>
    </row>
    <row r="644" spans="1:9" ht="12.75" hidden="1">
      <c r="A644" s="16"/>
      <c r="B644" s="24" t="s">
        <v>463</v>
      </c>
      <c r="C644" s="164"/>
      <c r="D644" s="32"/>
      <c r="E644" s="40">
        <f>SUM(E637:E643)</f>
        <v>6</v>
      </c>
      <c r="F644" s="172"/>
      <c r="G644" s="17">
        <f t="shared" si="31"/>
        <v>0</v>
      </c>
      <c r="H644" s="187">
        <f t="shared" si="30"/>
        <v>0</v>
      </c>
      <c r="I644" s="170"/>
    </row>
    <row r="645" spans="1:9" ht="25.5">
      <c r="A645" s="16" t="s">
        <v>397</v>
      </c>
      <c r="B645" s="25" t="s">
        <v>170</v>
      </c>
      <c r="C645" s="164">
        <v>86879</v>
      </c>
      <c r="D645" s="16" t="s">
        <v>65</v>
      </c>
      <c r="E645" s="17">
        <v>6</v>
      </c>
      <c r="F645" s="184">
        <v>3.69</v>
      </c>
      <c r="G645" s="17">
        <f t="shared" si="31"/>
        <v>4.62</v>
      </c>
      <c r="H645" s="187">
        <f t="shared" si="30"/>
        <v>27.72</v>
      </c>
      <c r="I645" s="170">
        <f>H645/$H$960*100</f>
        <v>6.9034928311635015E-3</v>
      </c>
    </row>
    <row r="646" spans="1:9" ht="12.75" hidden="1">
      <c r="A646" s="16"/>
      <c r="B646" s="49" t="s">
        <v>479</v>
      </c>
      <c r="C646" s="54"/>
      <c r="D646" s="32"/>
      <c r="E646" s="32"/>
      <c r="F646" s="172"/>
      <c r="G646" s="17">
        <f t="shared" si="31"/>
        <v>0</v>
      </c>
      <c r="H646" s="187">
        <f t="shared" si="30"/>
        <v>0</v>
      </c>
      <c r="I646" s="170"/>
    </row>
    <row r="647" spans="1:9" ht="12.75" hidden="1">
      <c r="A647" s="16"/>
      <c r="B647" s="49" t="s">
        <v>640</v>
      </c>
      <c r="C647" s="54"/>
      <c r="D647" s="32"/>
      <c r="E647" s="32">
        <v>2</v>
      </c>
      <c r="F647" s="172"/>
      <c r="G647" s="17">
        <f t="shared" si="31"/>
        <v>0</v>
      </c>
      <c r="H647" s="187">
        <f t="shared" si="30"/>
        <v>0</v>
      </c>
      <c r="I647" s="170"/>
    </row>
    <row r="648" spans="1:9" ht="12.75" hidden="1">
      <c r="A648" s="16"/>
      <c r="B648" s="49" t="s">
        <v>485</v>
      </c>
      <c r="C648" s="54"/>
      <c r="D648" s="32"/>
      <c r="E648" s="32"/>
      <c r="F648" s="172"/>
      <c r="G648" s="17">
        <f t="shared" si="31"/>
        <v>0</v>
      </c>
      <c r="H648" s="187">
        <f t="shared" si="30"/>
        <v>0</v>
      </c>
      <c r="I648" s="170"/>
    </row>
    <row r="649" spans="1:9" ht="12.75" hidden="1">
      <c r="A649" s="16"/>
      <c r="B649" s="49" t="s">
        <v>640</v>
      </c>
      <c r="C649" s="54"/>
      <c r="D649" s="32"/>
      <c r="E649" s="32">
        <v>2</v>
      </c>
      <c r="F649" s="172"/>
      <c r="G649" s="17">
        <f t="shared" si="31"/>
        <v>0</v>
      </c>
      <c r="H649" s="187">
        <f t="shared" si="30"/>
        <v>0</v>
      </c>
      <c r="I649" s="170"/>
    </row>
    <row r="650" spans="1:9" ht="12.75" hidden="1">
      <c r="A650" s="16"/>
      <c r="B650" s="51" t="s">
        <v>476</v>
      </c>
      <c r="C650" s="54"/>
      <c r="D650" s="32"/>
      <c r="E650" s="32"/>
      <c r="F650" s="172"/>
      <c r="G650" s="17">
        <f t="shared" si="31"/>
        <v>0</v>
      </c>
      <c r="H650" s="187">
        <f t="shared" si="30"/>
        <v>0</v>
      </c>
      <c r="I650" s="170"/>
    </row>
    <row r="651" spans="1:9" ht="12.75" hidden="1">
      <c r="A651" s="16"/>
      <c r="B651" s="49" t="s">
        <v>635</v>
      </c>
      <c r="C651" s="54"/>
      <c r="D651" s="32"/>
      <c r="E651" s="32">
        <v>1</v>
      </c>
      <c r="F651" s="172"/>
      <c r="G651" s="17">
        <f t="shared" si="31"/>
        <v>0</v>
      </c>
      <c r="H651" s="187">
        <f t="shared" si="30"/>
        <v>0</v>
      </c>
      <c r="I651" s="170"/>
    </row>
    <row r="652" spans="1:9" ht="12.75" hidden="1">
      <c r="A652" s="16"/>
      <c r="B652" s="51" t="s">
        <v>597</v>
      </c>
      <c r="C652" s="54"/>
      <c r="D652" s="32"/>
      <c r="E652" s="32"/>
      <c r="F652" s="172"/>
      <c r="G652" s="17">
        <f t="shared" si="31"/>
        <v>0</v>
      </c>
      <c r="H652" s="187">
        <f t="shared" si="30"/>
        <v>0</v>
      </c>
      <c r="I652" s="170"/>
    </row>
    <row r="653" spans="1:9" ht="12.75" hidden="1">
      <c r="A653" s="16"/>
      <c r="B653" s="49" t="s">
        <v>635</v>
      </c>
      <c r="C653" s="54"/>
      <c r="D653" s="32"/>
      <c r="E653" s="32">
        <v>1</v>
      </c>
      <c r="F653" s="172"/>
      <c r="G653" s="17">
        <f t="shared" si="31"/>
        <v>0</v>
      </c>
      <c r="H653" s="187">
        <f t="shared" si="30"/>
        <v>0</v>
      </c>
      <c r="I653" s="170"/>
    </row>
    <row r="654" spans="1:9" ht="12.75" hidden="1">
      <c r="A654" s="16"/>
      <c r="B654" s="24" t="s">
        <v>463</v>
      </c>
      <c r="C654" s="54"/>
      <c r="D654" s="32"/>
      <c r="E654" s="40">
        <f>SUM(E647:E653)</f>
        <v>6</v>
      </c>
      <c r="F654" s="172"/>
      <c r="G654" s="17">
        <f t="shared" si="31"/>
        <v>0</v>
      </c>
      <c r="H654" s="187">
        <f t="shared" si="30"/>
        <v>0</v>
      </c>
      <c r="I654" s="170"/>
    </row>
    <row r="655" spans="1:9" ht="25.5">
      <c r="A655" s="16" t="s">
        <v>398</v>
      </c>
      <c r="B655" s="25" t="s">
        <v>169</v>
      </c>
      <c r="C655" s="164">
        <v>86878</v>
      </c>
      <c r="D655" s="16" t="s">
        <v>65</v>
      </c>
      <c r="E655" s="17">
        <v>6</v>
      </c>
      <c r="F655" s="184">
        <v>37.29</v>
      </c>
      <c r="G655" s="17">
        <f t="shared" si="31"/>
        <v>46.69</v>
      </c>
      <c r="H655" s="187">
        <f t="shared" si="30"/>
        <v>280.14</v>
      </c>
      <c r="I655" s="170">
        <f>H655/$H$960*100</f>
        <v>6.9767116945243277E-2</v>
      </c>
    </row>
    <row r="656" spans="1:9" ht="12.75" hidden="1">
      <c r="A656" s="16"/>
      <c r="B656" s="49" t="s">
        <v>486</v>
      </c>
      <c r="C656" s="54"/>
      <c r="D656" s="32"/>
      <c r="E656" s="32"/>
      <c r="F656" s="172"/>
      <c r="G656" s="17">
        <f t="shared" si="31"/>
        <v>0</v>
      </c>
      <c r="H656" s="187">
        <f t="shared" si="30"/>
        <v>0</v>
      </c>
      <c r="I656" s="170"/>
    </row>
    <row r="657" spans="1:9" ht="12.75" hidden="1">
      <c r="A657" s="16"/>
      <c r="B657" s="49" t="s">
        <v>635</v>
      </c>
      <c r="C657" s="54"/>
      <c r="D657" s="32"/>
      <c r="E657" s="32">
        <v>1</v>
      </c>
      <c r="F657" s="172"/>
      <c r="G657" s="17">
        <f t="shared" si="31"/>
        <v>0</v>
      </c>
      <c r="H657" s="187">
        <f t="shared" si="30"/>
        <v>0</v>
      </c>
      <c r="I657" s="170"/>
    </row>
    <row r="658" spans="1:9" ht="12.75" hidden="1">
      <c r="A658" s="16"/>
      <c r="B658" s="51" t="s">
        <v>470</v>
      </c>
      <c r="C658" s="54"/>
      <c r="D658" s="32"/>
      <c r="E658" s="32"/>
      <c r="F658" s="172"/>
      <c r="G658" s="17">
        <f t="shared" si="31"/>
        <v>0</v>
      </c>
      <c r="H658" s="187">
        <f t="shared" si="30"/>
        <v>0</v>
      </c>
      <c r="I658" s="170"/>
    </row>
    <row r="659" spans="1:9" ht="12.75" hidden="1">
      <c r="A659" s="16"/>
      <c r="B659" s="49" t="s">
        <v>635</v>
      </c>
      <c r="C659" s="54"/>
      <c r="D659" s="32"/>
      <c r="E659" s="32">
        <v>1</v>
      </c>
      <c r="F659" s="172"/>
      <c r="G659" s="17">
        <f t="shared" si="31"/>
        <v>0</v>
      </c>
      <c r="H659" s="187">
        <f t="shared" si="30"/>
        <v>0</v>
      </c>
      <c r="I659" s="170"/>
    </row>
    <row r="660" spans="1:9" ht="12.75" hidden="1">
      <c r="A660" s="16"/>
      <c r="B660" s="51" t="s">
        <v>478</v>
      </c>
      <c r="C660" s="54"/>
      <c r="D660" s="32"/>
      <c r="E660" s="32"/>
      <c r="F660" s="172"/>
      <c r="G660" s="17">
        <f t="shared" si="31"/>
        <v>0</v>
      </c>
      <c r="H660" s="187">
        <f t="shared" si="30"/>
        <v>0</v>
      </c>
      <c r="I660" s="170"/>
    </row>
    <row r="661" spans="1:9" ht="12.75" hidden="1">
      <c r="A661" s="16"/>
      <c r="B661" s="49" t="s">
        <v>640</v>
      </c>
      <c r="C661" s="54"/>
      <c r="D661" s="32"/>
      <c r="E661" s="32">
        <v>2</v>
      </c>
      <c r="F661" s="172"/>
      <c r="G661" s="17">
        <f t="shared" si="31"/>
        <v>0</v>
      </c>
      <c r="H661" s="187">
        <f t="shared" si="30"/>
        <v>0</v>
      </c>
      <c r="I661" s="170"/>
    </row>
    <row r="662" spans="1:9" ht="12.75" hidden="1">
      <c r="A662" s="16"/>
      <c r="B662" s="51" t="s">
        <v>476</v>
      </c>
      <c r="C662" s="54"/>
      <c r="D662" s="32"/>
      <c r="E662" s="32"/>
      <c r="F662" s="172"/>
      <c r="G662" s="17">
        <f t="shared" si="31"/>
        <v>0</v>
      </c>
      <c r="H662" s="187">
        <f t="shared" si="30"/>
        <v>0</v>
      </c>
      <c r="I662" s="170"/>
    </row>
    <row r="663" spans="1:9" ht="12.75" hidden="1">
      <c r="A663" s="16"/>
      <c r="B663" s="49" t="s">
        <v>640</v>
      </c>
      <c r="C663" s="54"/>
      <c r="D663" s="32"/>
      <c r="E663" s="32">
        <v>2</v>
      </c>
      <c r="F663" s="172"/>
      <c r="G663" s="17">
        <f t="shared" si="31"/>
        <v>0</v>
      </c>
      <c r="H663" s="187">
        <f t="shared" si="30"/>
        <v>0</v>
      </c>
      <c r="I663" s="170"/>
    </row>
    <row r="664" spans="1:9" ht="12.75" hidden="1">
      <c r="A664" s="16"/>
      <c r="B664" s="24" t="s">
        <v>463</v>
      </c>
      <c r="C664" s="54"/>
      <c r="D664" s="32"/>
      <c r="E664" s="40">
        <f>SUM(E657:E663)</f>
        <v>6</v>
      </c>
      <c r="F664" s="172"/>
      <c r="G664" s="17">
        <f t="shared" si="31"/>
        <v>0</v>
      </c>
      <c r="H664" s="187">
        <f t="shared" si="30"/>
        <v>0</v>
      </c>
      <c r="I664" s="170"/>
    </row>
    <row r="665" spans="1:9" ht="38.25">
      <c r="A665" s="16" t="s">
        <v>399</v>
      </c>
      <c r="B665" s="25" t="s">
        <v>272</v>
      </c>
      <c r="C665" s="164" t="s">
        <v>756</v>
      </c>
      <c r="D665" s="16" t="s">
        <v>110</v>
      </c>
      <c r="E665" s="17">
        <v>7</v>
      </c>
      <c r="F665" s="17">
        <v>55.08</v>
      </c>
      <c r="G665" s="17">
        <f t="shared" si="31"/>
        <v>68.97</v>
      </c>
      <c r="H665" s="187">
        <f t="shared" si="30"/>
        <v>482.79</v>
      </c>
      <c r="I665" s="170">
        <f>H665/$H$960*100</f>
        <v>0.12023583347609768</v>
      </c>
    </row>
    <row r="666" spans="1:9" ht="12.75" hidden="1">
      <c r="A666" s="16"/>
      <c r="B666" s="49" t="s">
        <v>479</v>
      </c>
      <c r="C666" s="54"/>
      <c r="D666" s="32"/>
      <c r="E666" s="32"/>
      <c r="F666" s="172"/>
      <c r="G666" s="17">
        <f t="shared" si="31"/>
        <v>0</v>
      </c>
      <c r="H666" s="187">
        <f t="shared" si="30"/>
        <v>0</v>
      </c>
      <c r="I666" s="170"/>
    </row>
    <row r="667" spans="1:9" ht="12.75" hidden="1">
      <c r="A667" s="16"/>
      <c r="B667" s="49" t="s">
        <v>635</v>
      </c>
      <c r="C667" s="54"/>
      <c r="D667" s="32"/>
      <c r="E667" s="32">
        <v>1</v>
      </c>
      <c r="F667" s="172"/>
      <c r="G667" s="17">
        <f t="shared" si="31"/>
        <v>0</v>
      </c>
      <c r="H667" s="187">
        <f t="shared" si="30"/>
        <v>0</v>
      </c>
      <c r="I667" s="170"/>
    </row>
    <row r="668" spans="1:9" ht="12.75" hidden="1">
      <c r="A668" s="16"/>
      <c r="B668" s="49" t="s">
        <v>485</v>
      </c>
      <c r="C668" s="54"/>
      <c r="D668" s="32"/>
      <c r="E668" s="32"/>
      <c r="F668" s="172"/>
      <c r="G668" s="17">
        <f t="shared" si="31"/>
        <v>0</v>
      </c>
      <c r="H668" s="187">
        <f t="shared" si="30"/>
        <v>0</v>
      </c>
      <c r="I668" s="170"/>
    </row>
    <row r="669" spans="1:9" ht="12.75" hidden="1">
      <c r="A669" s="16"/>
      <c r="B669" s="49" t="s">
        <v>635</v>
      </c>
      <c r="C669" s="54"/>
      <c r="D669" s="32"/>
      <c r="E669" s="32">
        <v>1</v>
      </c>
      <c r="F669" s="172"/>
      <c r="G669" s="17">
        <f t="shared" si="31"/>
        <v>0</v>
      </c>
      <c r="H669" s="187">
        <f t="shared" si="30"/>
        <v>0</v>
      </c>
      <c r="I669" s="170"/>
    </row>
    <row r="670" spans="1:9" ht="12.75" hidden="1">
      <c r="A670" s="16"/>
      <c r="B670" s="51" t="s">
        <v>470</v>
      </c>
      <c r="C670" s="54"/>
      <c r="D670" s="32"/>
      <c r="E670" s="32"/>
      <c r="F670" s="172"/>
      <c r="G670" s="17">
        <f t="shared" si="31"/>
        <v>0</v>
      </c>
      <c r="H670" s="187">
        <f t="shared" si="30"/>
        <v>0</v>
      </c>
      <c r="I670" s="170"/>
    </row>
    <row r="671" spans="1:9" ht="12.75" hidden="1">
      <c r="A671" s="16"/>
      <c r="B671" s="49" t="s">
        <v>635</v>
      </c>
      <c r="C671" s="54"/>
      <c r="D671" s="32"/>
      <c r="E671" s="32">
        <v>1</v>
      </c>
      <c r="F671" s="172"/>
      <c r="G671" s="17">
        <f t="shared" si="31"/>
        <v>0</v>
      </c>
      <c r="H671" s="187">
        <f t="shared" si="30"/>
        <v>0</v>
      </c>
      <c r="I671" s="170"/>
    </row>
    <row r="672" spans="1:9" ht="12.75" hidden="1">
      <c r="A672" s="16"/>
      <c r="B672" s="49" t="s">
        <v>486</v>
      </c>
      <c r="C672" s="54"/>
      <c r="D672" s="32"/>
      <c r="E672" s="32"/>
      <c r="F672" s="172"/>
      <c r="G672" s="17">
        <f t="shared" si="31"/>
        <v>0</v>
      </c>
      <c r="H672" s="187">
        <f t="shared" si="30"/>
        <v>0</v>
      </c>
      <c r="I672" s="170"/>
    </row>
    <row r="673" spans="1:9" ht="12.75" hidden="1">
      <c r="A673" s="16"/>
      <c r="B673" s="49" t="s">
        <v>635</v>
      </c>
      <c r="C673" s="54"/>
      <c r="D673" s="32"/>
      <c r="E673" s="32">
        <v>1</v>
      </c>
      <c r="F673" s="172"/>
      <c r="G673" s="17">
        <f t="shared" si="31"/>
        <v>0</v>
      </c>
      <c r="H673" s="187">
        <f t="shared" si="30"/>
        <v>0</v>
      </c>
      <c r="I673" s="170"/>
    </row>
    <row r="674" spans="1:9" ht="12.75" hidden="1">
      <c r="A674" s="16"/>
      <c r="B674" s="51" t="s">
        <v>478</v>
      </c>
      <c r="C674" s="54"/>
      <c r="D674" s="32"/>
      <c r="E674" s="32"/>
      <c r="F674" s="172"/>
      <c r="G674" s="17">
        <f t="shared" si="31"/>
        <v>0</v>
      </c>
      <c r="H674" s="187">
        <f t="shared" si="30"/>
        <v>0</v>
      </c>
      <c r="I674" s="170"/>
    </row>
    <row r="675" spans="1:9" ht="12.75" hidden="1">
      <c r="A675" s="16"/>
      <c r="B675" s="49" t="s">
        <v>635</v>
      </c>
      <c r="C675" s="54"/>
      <c r="D675" s="32"/>
      <c r="E675" s="32">
        <v>1</v>
      </c>
      <c r="F675" s="172"/>
      <c r="G675" s="17">
        <f t="shared" si="31"/>
        <v>0</v>
      </c>
      <c r="H675" s="187">
        <f t="shared" si="30"/>
        <v>0</v>
      </c>
      <c r="I675" s="170"/>
    </row>
    <row r="676" spans="1:9" ht="12.75" hidden="1">
      <c r="A676" s="16"/>
      <c r="B676" s="51" t="s">
        <v>597</v>
      </c>
      <c r="C676" s="54"/>
      <c r="D676" s="32"/>
      <c r="E676" s="32"/>
      <c r="F676" s="172"/>
      <c r="G676" s="17">
        <f t="shared" si="31"/>
        <v>0</v>
      </c>
      <c r="H676" s="187">
        <f t="shared" si="30"/>
        <v>0</v>
      </c>
      <c r="I676" s="170"/>
    </row>
    <row r="677" spans="1:9" ht="12.75" hidden="1">
      <c r="A677" s="16"/>
      <c r="B677" s="49" t="s">
        <v>635</v>
      </c>
      <c r="C677" s="54"/>
      <c r="D677" s="32"/>
      <c r="E677" s="32">
        <v>1</v>
      </c>
      <c r="F677" s="172"/>
      <c r="G677" s="17">
        <f t="shared" si="31"/>
        <v>0</v>
      </c>
      <c r="H677" s="187">
        <f t="shared" si="30"/>
        <v>0</v>
      </c>
      <c r="I677" s="170"/>
    </row>
    <row r="678" spans="1:9" ht="12.75" hidden="1">
      <c r="A678" s="16"/>
      <c r="B678" s="51" t="s">
        <v>476</v>
      </c>
      <c r="C678" s="54"/>
      <c r="D678" s="32"/>
      <c r="E678" s="32"/>
      <c r="F678" s="172"/>
      <c r="G678" s="17">
        <f t="shared" si="31"/>
        <v>0</v>
      </c>
      <c r="H678" s="187">
        <f t="shared" si="30"/>
        <v>0</v>
      </c>
      <c r="I678" s="170"/>
    </row>
    <row r="679" spans="1:9" ht="12.75" hidden="1">
      <c r="A679" s="16"/>
      <c r="B679" s="49" t="s">
        <v>635</v>
      </c>
      <c r="C679" s="54"/>
      <c r="D679" s="32"/>
      <c r="E679" s="32">
        <v>1</v>
      </c>
      <c r="F679" s="172"/>
      <c r="G679" s="17">
        <f t="shared" si="31"/>
        <v>0</v>
      </c>
      <c r="H679" s="187">
        <f t="shared" si="30"/>
        <v>0</v>
      </c>
      <c r="I679" s="170"/>
    </row>
    <row r="680" spans="1:9" ht="12.75" hidden="1">
      <c r="A680" s="16"/>
      <c r="B680" s="24" t="s">
        <v>463</v>
      </c>
      <c r="C680" s="54"/>
      <c r="D680" s="32"/>
      <c r="E680" s="40">
        <f>SUM(E667:E679)</f>
        <v>7</v>
      </c>
      <c r="F680" s="172"/>
      <c r="G680" s="17">
        <f t="shared" si="31"/>
        <v>0</v>
      </c>
      <c r="H680" s="187">
        <f t="shared" si="30"/>
        <v>0</v>
      </c>
      <c r="I680" s="170"/>
    </row>
    <row r="681" spans="1:9" ht="25.5">
      <c r="A681" s="16" t="s">
        <v>400</v>
      </c>
      <c r="B681" s="25" t="s">
        <v>277</v>
      </c>
      <c r="C681" s="164">
        <v>89800</v>
      </c>
      <c r="D681" s="16" t="s">
        <v>81</v>
      </c>
      <c r="E681" s="17">
        <v>150</v>
      </c>
      <c r="F681" s="184">
        <v>12.48</v>
      </c>
      <c r="G681" s="17">
        <f t="shared" si="31"/>
        <v>15.63</v>
      </c>
      <c r="H681" s="187">
        <f t="shared" si="30"/>
        <v>2344.5</v>
      </c>
      <c r="I681" s="170">
        <f>H681/$H$960*100</f>
        <v>0.5838830787396404</v>
      </c>
    </row>
    <row r="682" spans="1:9" ht="25.5">
      <c r="A682" s="16" t="s">
        <v>401</v>
      </c>
      <c r="B682" s="25" t="s">
        <v>276</v>
      </c>
      <c r="C682" s="164">
        <v>89799</v>
      </c>
      <c r="D682" s="16" t="s">
        <v>81</v>
      </c>
      <c r="E682" s="17">
        <v>20</v>
      </c>
      <c r="F682" s="184">
        <v>9.61</v>
      </c>
      <c r="G682" s="17">
        <f t="shared" si="31"/>
        <v>12.03</v>
      </c>
      <c r="H682" s="187">
        <f t="shared" si="30"/>
        <v>240.6</v>
      </c>
      <c r="I682" s="170">
        <f>H682/$H$960*100</f>
        <v>5.9919926954471091E-2</v>
      </c>
    </row>
    <row r="683" spans="1:9" ht="25.5">
      <c r="A683" s="16" t="s">
        <v>402</v>
      </c>
      <c r="B683" s="25" t="s">
        <v>274</v>
      </c>
      <c r="C683" s="164">
        <v>89798</v>
      </c>
      <c r="D683" s="16" t="s">
        <v>81</v>
      </c>
      <c r="E683" s="17">
        <v>50</v>
      </c>
      <c r="F683" s="184">
        <v>6.46</v>
      </c>
      <c r="G683" s="17">
        <f t="shared" si="31"/>
        <v>8.09</v>
      </c>
      <c r="H683" s="187">
        <f t="shared" si="30"/>
        <v>404.5</v>
      </c>
      <c r="I683" s="170">
        <f>H683/$H$960*100</f>
        <v>0.10073819805936642</v>
      </c>
    </row>
    <row r="684" spans="1:9" ht="25.5">
      <c r="A684" s="16" t="s">
        <v>403</v>
      </c>
      <c r="B684" s="25" t="s">
        <v>280</v>
      </c>
      <c r="C684" s="164" t="s">
        <v>732</v>
      </c>
      <c r="D684" s="16" t="s">
        <v>65</v>
      </c>
      <c r="E684" s="17">
        <v>3</v>
      </c>
      <c r="F684" s="184">
        <v>155.71</v>
      </c>
      <c r="G684" s="17">
        <f t="shared" si="31"/>
        <v>194.98</v>
      </c>
      <c r="H684" s="187">
        <f t="shared" si="30"/>
        <v>584.94000000000005</v>
      </c>
      <c r="I684" s="170">
        <f>H684/$H$960*100</f>
        <v>0.14567565283769046</v>
      </c>
    </row>
    <row r="685" spans="1:9" ht="12.75" hidden="1">
      <c r="A685" s="16"/>
      <c r="B685" s="51" t="s">
        <v>470</v>
      </c>
      <c r="C685" s="54"/>
      <c r="D685" s="32"/>
      <c r="E685" s="32"/>
      <c r="F685" s="172"/>
      <c r="G685" s="17">
        <f t="shared" si="31"/>
        <v>0</v>
      </c>
      <c r="H685" s="187">
        <f t="shared" si="30"/>
        <v>0</v>
      </c>
      <c r="I685" s="170"/>
    </row>
    <row r="686" spans="1:9" ht="12.75" hidden="1">
      <c r="A686" s="16"/>
      <c r="B686" s="49" t="s">
        <v>635</v>
      </c>
      <c r="C686" s="54"/>
      <c r="D686" s="32"/>
      <c r="E686" s="32">
        <v>1</v>
      </c>
      <c r="F686" s="172"/>
      <c r="G686" s="17">
        <f t="shared" si="31"/>
        <v>0</v>
      </c>
      <c r="H686" s="187">
        <f t="shared" si="30"/>
        <v>0</v>
      </c>
      <c r="I686" s="170"/>
    </row>
    <row r="687" spans="1:9" ht="12.75" hidden="1">
      <c r="A687" s="16"/>
      <c r="B687" s="51" t="s">
        <v>476</v>
      </c>
      <c r="C687" s="54"/>
      <c r="D687" s="32"/>
      <c r="E687" s="32"/>
      <c r="F687" s="172"/>
      <c r="G687" s="17">
        <f t="shared" si="31"/>
        <v>0</v>
      </c>
      <c r="H687" s="187">
        <f t="shared" si="30"/>
        <v>0</v>
      </c>
      <c r="I687" s="170"/>
    </row>
    <row r="688" spans="1:9" ht="12.75" hidden="1">
      <c r="A688" s="16"/>
      <c r="B688" s="49" t="s">
        <v>635</v>
      </c>
      <c r="C688" s="54"/>
      <c r="D688" s="32"/>
      <c r="E688" s="32">
        <v>1</v>
      </c>
      <c r="F688" s="172"/>
      <c r="G688" s="17">
        <f t="shared" si="31"/>
        <v>0</v>
      </c>
      <c r="H688" s="187">
        <f t="shared" si="30"/>
        <v>0</v>
      </c>
      <c r="I688" s="170"/>
    </row>
    <row r="689" spans="1:9" ht="12.75" hidden="1">
      <c r="A689" s="16"/>
      <c r="B689" s="49" t="s">
        <v>486</v>
      </c>
      <c r="C689" s="54"/>
      <c r="D689" s="32"/>
      <c r="E689" s="32"/>
      <c r="F689" s="172"/>
      <c r="G689" s="17">
        <f t="shared" si="31"/>
        <v>0</v>
      </c>
      <c r="H689" s="187">
        <f t="shared" ref="H689:H735" si="32">ROUND(E689*G689,2)</f>
        <v>0</v>
      </c>
      <c r="I689" s="170"/>
    </row>
    <row r="690" spans="1:9" ht="12.75" hidden="1">
      <c r="A690" s="16"/>
      <c r="B690" s="49" t="s">
        <v>635</v>
      </c>
      <c r="C690" s="54"/>
      <c r="D690" s="32"/>
      <c r="E690" s="32">
        <v>1</v>
      </c>
      <c r="F690" s="172"/>
      <c r="G690" s="17">
        <f t="shared" si="31"/>
        <v>0</v>
      </c>
      <c r="H690" s="187">
        <f t="shared" si="32"/>
        <v>0</v>
      </c>
      <c r="I690" s="170"/>
    </row>
    <row r="691" spans="1:9" ht="12.75" hidden="1">
      <c r="A691" s="16"/>
      <c r="B691" s="24" t="s">
        <v>463</v>
      </c>
      <c r="C691" s="54"/>
      <c r="D691" s="32"/>
      <c r="E691" s="40">
        <f>SUM(E686:E690)</f>
        <v>3</v>
      </c>
      <c r="F691" s="172"/>
      <c r="G691" s="17">
        <f t="shared" si="31"/>
        <v>0</v>
      </c>
      <c r="H691" s="187">
        <f t="shared" si="32"/>
        <v>0</v>
      </c>
      <c r="I691" s="170"/>
    </row>
    <row r="692" spans="1:9" ht="25.5">
      <c r="A692" s="16" t="s">
        <v>404</v>
      </c>
      <c r="B692" s="25" t="s">
        <v>777</v>
      </c>
      <c r="C692" s="164">
        <v>89708</v>
      </c>
      <c r="D692" s="16" t="s">
        <v>65</v>
      </c>
      <c r="E692" s="17">
        <v>1</v>
      </c>
      <c r="F692" s="184">
        <v>38.840000000000003</v>
      </c>
      <c r="G692" s="17">
        <f t="shared" si="31"/>
        <v>48.64</v>
      </c>
      <c r="H692" s="187">
        <f t="shared" si="32"/>
        <v>48.64</v>
      </c>
      <c r="I692" s="170">
        <f>H692/$H$960*100</f>
        <v>1.2113488142416766E-2</v>
      </c>
    </row>
    <row r="693" spans="1:9" ht="12.75" hidden="1">
      <c r="A693" s="16"/>
      <c r="B693" s="51" t="s">
        <v>476</v>
      </c>
      <c r="C693" s="54"/>
      <c r="D693" s="32"/>
      <c r="E693" s="32"/>
      <c r="F693" s="172"/>
      <c r="G693" s="17">
        <f t="shared" si="31"/>
        <v>0</v>
      </c>
      <c r="H693" s="187">
        <f t="shared" si="32"/>
        <v>0</v>
      </c>
      <c r="I693" s="170"/>
    </row>
    <row r="694" spans="1:9" ht="12.75" hidden="1">
      <c r="A694" s="16"/>
      <c r="B694" s="49" t="s">
        <v>635</v>
      </c>
      <c r="C694" s="54"/>
      <c r="D694" s="32"/>
      <c r="E694" s="32">
        <v>1</v>
      </c>
      <c r="F694" s="172"/>
      <c r="G694" s="17">
        <f t="shared" si="31"/>
        <v>0</v>
      </c>
      <c r="H694" s="187">
        <f t="shared" si="32"/>
        <v>0</v>
      </c>
      <c r="I694" s="170"/>
    </row>
    <row r="695" spans="1:9" ht="12.75" hidden="1">
      <c r="A695" s="16"/>
      <c r="B695" s="24" t="s">
        <v>463</v>
      </c>
      <c r="C695" s="54"/>
      <c r="D695" s="32"/>
      <c r="E695" s="40">
        <f>SUM(E694)</f>
        <v>1</v>
      </c>
      <c r="F695" s="172"/>
      <c r="G695" s="17">
        <f t="shared" si="31"/>
        <v>0</v>
      </c>
      <c r="H695" s="187">
        <f t="shared" si="32"/>
        <v>0</v>
      </c>
      <c r="I695" s="170"/>
    </row>
    <row r="696" spans="1:9" ht="25.5">
      <c r="A696" s="16" t="s">
        <v>405</v>
      </c>
      <c r="B696" s="25" t="s">
        <v>282</v>
      </c>
      <c r="C696" s="164" t="s">
        <v>733</v>
      </c>
      <c r="D696" s="16" t="s">
        <v>65</v>
      </c>
      <c r="E696" s="17">
        <v>12</v>
      </c>
      <c r="F696" s="184">
        <v>153.79</v>
      </c>
      <c r="G696" s="17">
        <f t="shared" si="31"/>
        <v>192.58</v>
      </c>
      <c r="H696" s="187">
        <f t="shared" si="32"/>
        <v>2310.96</v>
      </c>
      <c r="I696" s="170">
        <f>H696/$H$960*100</f>
        <v>0.57553015126643603</v>
      </c>
    </row>
    <row r="697" spans="1:9" ht="25.5">
      <c r="A697" s="16" t="s">
        <v>406</v>
      </c>
      <c r="B697" s="25" t="s">
        <v>778</v>
      </c>
      <c r="C697" s="164">
        <v>89707</v>
      </c>
      <c r="D697" s="16" t="s">
        <v>65</v>
      </c>
      <c r="E697" s="17">
        <v>1</v>
      </c>
      <c r="F697" s="184">
        <v>16.95</v>
      </c>
      <c r="G697" s="17">
        <f t="shared" si="31"/>
        <v>21.22</v>
      </c>
      <c r="H697" s="187">
        <f t="shared" si="32"/>
        <v>21.22</v>
      </c>
      <c r="I697" s="170">
        <f>H697/$H$960*100</f>
        <v>5.2847084371316563E-3</v>
      </c>
    </row>
    <row r="698" spans="1:9" ht="12.75" hidden="1">
      <c r="A698" s="16"/>
      <c r="B698" s="51" t="s">
        <v>486</v>
      </c>
      <c r="C698" s="54"/>
      <c r="D698" s="32"/>
      <c r="E698" s="32"/>
      <c r="F698" s="172"/>
      <c r="G698" s="17">
        <f t="shared" si="31"/>
        <v>0</v>
      </c>
      <c r="H698" s="187">
        <f t="shared" si="32"/>
        <v>0</v>
      </c>
      <c r="I698" s="170"/>
    </row>
    <row r="699" spans="1:9" ht="12.75" hidden="1">
      <c r="A699" s="16"/>
      <c r="B699" s="49" t="s">
        <v>635</v>
      </c>
      <c r="C699" s="54"/>
      <c r="D699" s="32"/>
      <c r="E699" s="32">
        <v>1</v>
      </c>
      <c r="F699" s="172"/>
      <c r="G699" s="17">
        <f t="shared" si="31"/>
        <v>0</v>
      </c>
      <c r="H699" s="187">
        <f t="shared" si="32"/>
        <v>0</v>
      </c>
      <c r="I699" s="170"/>
    </row>
    <row r="700" spans="1:9" ht="12.75" hidden="1">
      <c r="A700" s="16"/>
      <c r="B700" s="24" t="s">
        <v>463</v>
      </c>
      <c r="C700" s="54"/>
      <c r="D700" s="32"/>
      <c r="E700" s="40">
        <f>SUM(E699)</f>
        <v>1</v>
      </c>
      <c r="F700" s="172"/>
      <c r="G700" s="17">
        <f t="shared" si="31"/>
        <v>0</v>
      </c>
      <c r="H700" s="187">
        <f t="shared" si="32"/>
        <v>0</v>
      </c>
      <c r="I700" s="170"/>
    </row>
    <row r="701" spans="1:9" ht="25.5">
      <c r="A701" s="16" t="s">
        <v>407</v>
      </c>
      <c r="B701" s="25" t="s">
        <v>779</v>
      </c>
      <c r="C701" s="164">
        <v>89709</v>
      </c>
      <c r="D701" s="16" t="s">
        <v>65</v>
      </c>
      <c r="E701" s="17">
        <v>3</v>
      </c>
      <c r="F701" s="184">
        <v>6.46</v>
      </c>
      <c r="G701" s="17">
        <f t="shared" si="31"/>
        <v>8.09</v>
      </c>
      <c r="H701" s="187">
        <f t="shared" si="32"/>
        <v>24.27</v>
      </c>
      <c r="I701" s="170">
        <f>H701/$H$960*100</f>
        <v>6.0442918835619842E-3</v>
      </c>
    </row>
    <row r="702" spans="1:9" ht="12.75" hidden="1">
      <c r="A702" s="16"/>
      <c r="B702" s="49" t="s">
        <v>479</v>
      </c>
      <c r="C702" s="54"/>
      <c r="D702" s="32"/>
      <c r="E702" s="32"/>
      <c r="F702" s="172"/>
      <c r="G702" s="17">
        <f t="shared" si="31"/>
        <v>0</v>
      </c>
      <c r="H702" s="187">
        <f t="shared" si="32"/>
        <v>0</v>
      </c>
      <c r="I702" s="170"/>
    </row>
    <row r="703" spans="1:9" ht="12.75" hidden="1">
      <c r="A703" s="16"/>
      <c r="B703" s="49" t="s">
        <v>635</v>
      </c>
      <c r="C703" s="54"/>
      <c r="D703" s="32"/>
      <c r="E703" s="32">
        <v>1</v>
      </c>
      <c r="F703" s="172"/>
      <c r="G703" s="17">
        <f t="shared" si="31"/>
        <v>0</v>
      </c>
      <c r="H703" s="187">
        <f t="shared" si="32"/>
        <v>0</v>
      </c>
      <c r="I703" s="170"/>
    </row>
    <row r="704" spans="1:9" ht="12.75" hidden="1">
      <c r="A704" s="16"/>
      <c r="B704" s="49" t="s">
        <v>485</v>
      </c>
      <c r="C704" s="54"/>
      <c r="D704" s="32"/>
      <c r="E704" s="32"/>
      <c r="F704" s="172"/>
      <c r="G704" s="17">
        <f t="shared" si="31"/>
        <v>0</v>
      </c>
      <c r="H704" s="187">
        <f t="shared" si="32"/>
        <v>0</v>
      </c>
      <c r="I704" s="170"/>
    </row>
    <row r="705" spans="1:9" ht="12.75" hidden="1">
      <c r="A705" s="16"/>
      <c r="B705" s="49" t="s">
        <v>635</v>
      </c>
      <c r="C705" s="54"/>
      <c r="D705" s="32"/>
      <c r="E705" s="32">
        <v>1</v>
      </c>
      <c r="F705" s="172"/>
      <c r="G705" s="17">
        <f t="shared" si="31"/>
        <v>0</v>
      </c>
      <c r="H705" s="187">
        <f t="shared" si="32"/>
        <v>0</v>
      </c>
      <c r="I705" s="170"/>
    </row>
    <row r="706" spans="1:9" ht="12.75" hidden="1">
      <c r="A706" s="16"/>
      <c r="B706" s="51" t="s">
        <v>597</v>
      </c>
      <c r="C706" s="54"/>
      <c r="D706" s="32"/>
      <c r="E706" s="32"/>
      <c r="F706" s="172"/>
      <c r="G706" s="17">
        <f t="shared" si="31"/>
        <v>0</v>
      </c>
      <c r="H706" s="187">
        <f t="shared" si="32"/>
        <v>0</v>
      </c>
      <c r="I706" s="170"/>
    </row>
    <row r="707" spans="1:9" ht="12.75" hidden="1">
      <c r="A707" s="16"/>
      <c r="B707" s="49" t="s">
        <v>635</v>
      </c>
      <c r="C707" s="54"/>
      <c r="D707" s="32"/>
      <c r="E707" s="32">
        <v>1</v>
      </c>
      <c r="F707" s="172"/>
      <c r="G707" s="17">
        <f t="shared" ref="G707:G770" si="33">ROUND(F707*1.2522,2)</f>
        <v>0</v>
      </c>
      <c r="H707" s="187">
        <f t="shared" si="32"/>
        <v>0</v>
      </c>
      <c r="I707" s="170"/>
    </row>
    <row r="708" spans="1:9" ht="12.75" hidden="1">
      <c r="A708" s="16"/>
      <c r="B708" s="24" t="s">
        <v>463</v>
      </c>
      <c r="C708" s="54"/>
      <c r="D708" s="32"/>
      <c r="E708" s="40">
        <f>SUM(E703:E707)</f>
        <v>3</v>
      </c>
      <c r="F708" s="172"/>
      <c r="G708" s="17">
        <f t="shared" si="33"/>
        <v>0</v>
      </c>
      <c r="H708" s="187">
        <f t="shared" si="32"/>
        <v>0</v>
      </c>
      <c r="I708" s="170"/>
    </row>
    <row r="709" spans="1:9" ht="25.5">
      <c r="A709" s="16" t="s">
        <v>408</v>
      </c>
      <c r="B709" s="25" t="s">
        <v>288</v>
      </c>
      <c r="C709" s="164" t="s">
        <v>734</v>
      </c>
      <c r="D709" s="16" t="s">
        <v>65</v>
      </c>
      <c r="E709" s="17">
        <v>1</v>
      </c>
      <c r="F709" s="184">
        <v>68.03</v>
      </c>
      <c r="G709" s="17">
        <f t="shared" si="33"/>
        <v>85.19</v>
      </c>
      <c r="H709" s="187">
        <f t="shared" si="32"/>
        <v>85.19</v>
      </c>
      <c r="I709" s="170">
        <f>H709/$H$960*100</f>
        <v>2.1216037311934298E-2</v>
      </c>
    </row>
    <row r="710" spans="1:9" ht="12.75" hidden="1">
      <c r="A710" s="16"/>
      <c r="B710" s="49" t="s">
        <v>664</v>
      </c>
      <c r="C710" s="54"/>
      <c r="D710" s="32"/>
      <c r="E710" s="32"/>
      <c r="F710" s="172"/>
      <c r="G710" s="17">
        <f t="shared" si="33"/>
        <v>0</v>
      </c>
      <c r="H710" s="187">
        <f t="shared" si="32"/>
        <v>0</v>
      </c>
      <c r="I710" s="170"/>
    </row>
    <row r="711" spans="1:9" ht="12.75" hidden="1">
      <c r="A711" s="16"/>
      <c r="B711" s="49" t="s">
        <v>635</v>
      </c>
      <c r="C711" s="54"/>
      <c r="D711" s="32"/>
      <c r="E711" s="32">
        <v>1</v>
      </c>
      <c r="F711" s="172"/>
      <c r="G711" s="17">
        <f t="shared" si="33"/>
        <v>0</v>
      </c>
      <c r="H711" s="187">
        <f t="shared" si="32"/>
        <v>0</v>
      </c>
      <c r="I711" s="170"/>
    </row>
    <row r="712" spans="1:9" ht="12.75" hidden="1">
      <c r="A712" s="16"/>
      <c r="B712" s="24" t="s">
        <v>463</v>
      </c>
      <c r="C712" s="54"/>
      <c r="D712" s="32"/>
      <c r="E712" s="40">
        <f>SUM(E711:E711)</f>
        <v>1</v>
      </c>
      <c r="F712" s="172"/>
      <c r="G712" s="17">
        <f t="shared" si="33"/>
        <v>0</v>
      </c>
      <c r="H712" s="187">
        <f t="shared" si="32"/>
        <v>0</v>
      </c>
      <c r="I712" s="170"/>
    </row>
    <row r="713" spans="1:9" ht="25.5">
      <c r="A713" s="16" t="s">
        <v>409</v>
      </c>
      <c r="B713" s="25" t="s">
        <v>290</v>
      </c>
      <c r="C713" s="164" t="s">
        <v>735</v>
      </c>
      <c r="D713" s="16" t="s">
        <v>65</v>
      </c>
      <c r="E713" s="17">
        <v>7</v>
      </c>
      <c r="F713" s="184">
        <v>58.17</v>
      </c>
      <c r="G713" s="17">
        <f t="shared" si="33"/>
        <v>72.84</v>
      </c>
      <c r="H713" s="187">
        <f t="shared" si="32"/>
        <v>509.88</v>
      </c>
      <c r="I713" s="170">
        <f>H713/$H$960*100</f>
        <v>0.12698242874291654</v>
      </c>
    </row>
    <row r="714" spans="1:9" ht="12.75" hidden="1">
      <c r="A714" s="16"/>
      <c r="B714" s="49" t="s">
        <v>479</v>
      </c>
      <c r="C714" s="54"/>
      <c r="D714" s="32"/>
      <c r="E714" s="32"/>
      <c r="F714" s="172"/>
      <c r="G714" s="17">
        <f t="shared" si="33"/>
        <v>0</v>
      </c>
      <c r="H714" s="187">
        <f t="shared" si="32"/>
        <v>0</v>
      </c>
      <c r="I714" s="170"/>
    </row>
    <row r="715" spans="1:9" ht="12.75" hidden="1">
      <c r="A715" s="16"/>
      <c r="B715" s="49" t="s">
        <v>635</v>
      </c>
      <c r="C715" s="54"/>
      <c r="D715" s="32"/>
      <c r="E715" s="32">
        <v>1</v>
      </c>
      <c r="F715" s="172"/>
      <c r="G715" s="17">
        <f t="shared" si="33"/>
        <v>0</v>
      </c>
      <c r="H715" s="187">
        <f t="shared" si="32"/>
        <v>0</v>
      </c>
      <c r="I715" s="170"/>
    </row>
    <row r="716" spans="1:9" ht="12.75" hidden="1">
      <c r="A716" s="16"/>
      <c r="B716" s="49" t="s">
        <v>485</v>
      </c>
      <c r="C716" s="54"/>
      <c r="D716" s="32"/>
      <c r="E716" s="32"/>
      <c r="F716" s="172"/>
      <c r="G716" s="17">
        <f t="shared" si="33"/>
        <v>0</v>
      </c>
      <c r="H716" s="187">
        <f t="shared" si="32"/>
        <v>0</v>
      </c>
      <c r="I716" s="170"/>
    </row>
    <row r="717" spans="1:9" ht="12.75" hidden="1">
      <c r="A717" s="16"/>
      <c r="B717" s="49" t="s">
        <v>635</v>
      </c>
      <c r="C717" s="54"/>
      <c r="D717" s="32"/>
      <c r="E717" s="32">
        <v>1</v>
      </c>
      <c r="F717" s="172"/>
      <c r="G717" s="17">
        <f t="shared" si="33"/>
        <v>0</v>
      </c>
      <c r="H717" s="187">
        <f t="shared" si="32"/>
        <v>0</v>
      </c>
      <c r="I717" s="170"/>
    </row>
    <row r="718" spans="1:9" ht="12.75" hidden="1">
      <c r="A718" s="16"/>
      <c r="B718" s="51" t="s">
        <v>470</v>
      </c>
      <c r="C718" s="54"/>
      <c r="D718" s="32"/>
      <c r="E718" s="32"/>
      <c r="F718" s="172"/>
      <c r="G718" s="17">
        <f t="shared" si="33"/>
        <v>0</v>
      </c>
      <c r="H718" s="187">
        <f t="shared" si="32"/>
        <v>0</v>
      </c>
      <c r="I718" s="170"/>
    </row>
    <row r="719" spans="1:9" ht="12.75" hidden="1">
      <c r="A719" s="16"/>
      <c r="B719" s="49" t="s">
        <v>635</v>
      </c>
      <c r="C719" s="54"/>
      <c r="D719" s="32"/>
      <c r="E719" s="32">
        <v>1</v>
      </c>
      <c r="F719" s="172"/>
      <c r="G719" s="17">
        <f t="shared" si="33"/>
        <v>0</v>
      </c>
      <c r="H719" s="187">
        <f t="shared" si="32"/>
        <v>0</v>
      </c>
      <c r="I719" s="170"/>
    </row>
    <row r="720" spans="1:9" ht="12.75" hidden="1">
      <c r="A720" s="16"/>
      <c r="B720" s="49" t="s">
        <v>486</v>
      </c>
      <c r="C720" s="54"/>
      <c r="D720" s="32"/>
      <c r="E720" s="32"/>
      <c r="F720" s="172"/>
      <c r="G720" s="17">
        <f t="shared" si="33"/>
        <v>0</v>
      </c>
      <c r="H720" s="187">
        <f t="shared" si="32"/>
        <v>0</v>
      </c>
      <c r="I720" s="170"/>
    </row>
    <row r="721" spans="1:9" ht="12.75" hidden="1">
      <c r="A721" s="16"/>
      <c r="B721" s="49" t="s">
        <v>635</v>
      </c>
      <c r="C721" s="54"/>
      <c r="D721" s="32"/>
      <c r="E721" s="32">
        <v>1</v>
      </c>
      <c r="F721" s="172"/>
      <c r="G721" s="17">
        <f t="shared" si="33"/>
        <v>0</v>
      </c>
      <c r="H721" s="187">
        <f t="shared" si="32"/>
        <v>0</v>
      </c>
      <c r="I721" s="170"/>
    </row>
    <row r="722" spans="1:9" ht="12.75" hidden="1">
      <c r="A722" s="16"/>
      <c r="B722" s="51" t="s">
        <v>478</v>
      </c>
      <c r="C722" s="54"/>
      <c r="D722" s="32"/>
      <c r="E722" s="32"/>
      <c r="F722" s="172"/>
      <c r="G722" s="17">
        <f t="shared" si="33"/>
        <v>0</v>
      </c>
      <c r="H722" s="187">
        <f t="shared" si="32"/>
        <v>0</v>
      </c>
      <c r="I722" s="170"/>
    </row>
    <row r="723" spans="1:9" ht="12.75" hidden="1">
      <c r="A723" s="16"/>
      <c r="B723" s="49" t="s">
        <v>635</v>
      </c>
      <c r="C723" s="54"/>
      <c r="D723" s="32"/>
      <c r="E723" s="32">
        <v>1</v>
      </c>
      <c r="F723" s="172"/>
      <c r="G723" s="17">
        <f t="shared" si="33"/>
        <v>0</v>
      </c>
      <c r="H723" s="187">
        <f t="shared" si="32"/>
        <v>0</v>
      </c>
      <c r="I723" s="170"/>
    </row>
    <row r="724" spans="1:9" ht="12.75" hidden="1">
      <c r="A724" s="16"/>
      <c r="B724" s="51" t="s">
        <v>597</v>
      </c>
      <c r="C724" s="54"/>
      <c r="D724" s="32"/>
      <c r="E724" s="32"/>
      <c r="F724" s="172"/>
      <c r="G724" s="17">
        <f t="shared" si="33"/>
        <v>0</v>
      </c>
      <c r="H724" s="187">
        <f t="shared" si="32"/>
        <v>0</v>
      </c>
      <c r="I724" s="170"/>
    </row>
    <row r="725" spans="1:9" ht="12.75" hidden="1">
      <c r="A725" s="16"/>
      <c r="B725" s="49" t="s">
        <v>635</v>
      </c>
      <c r="C725" s="54"/>
      <c r="D725" s="32"/>
      <c r="E725" s="32">
        <v>1</v>
      </c>
      <c r="F725" s="172"/>
      <c r="G725" s="17">
        <f t="shared" si="33"/>
        <v>0</v>
      </c>
      <c r="H725" s="187">
        <f t="shared" si="32"/>
        <v>0</v>
      </c>
      <c r="I725" s="170"/>
    </row>
    <row r="726" spans="1:9" ht="12.75" hidden="1">
      <c r="A726" s="16"/>
      <c r="B726" s="51" t="s">
        <v>476</v>
      </c>
      <c r="C726" s="54"/>
      <c r="D726" s="32"/>
      <c r="E726" s="32"/>
      <c r="F726" s="172"/>
      <c r="G726" s="17">
        <f t="shared" si="33"/>
        <v>0</v>
      </c>
      <c r="H726" s="187">
        <f t="shared" si="32"/>
        <v>0</v>
      </c>
      <c r="I726" s="170"/>
    </row>
    <row r="727" spans="1:9" ht="12.75" hidden="1">
      <c r="A727" s="16"/>
      <c r="B727" s="49" t="s">
        <v>635</v>
      </c>
      <c r="C727" s="54"/>
      <c r="D727" s="32"/>
      <c r="E727" s="32">
        <v>1</v>
      </c>
      <c r="F727" s="172"/>
      <c r="G727" s="17">
        <f t="shared" si="33"/>
        <v>0</v>
      </c>
      <c r="H727" s="187">
        <f t="shared" si="32"/>
        <v>0</v>
      </c>
      <c r="I727" s="170"/>
    </row>
    <row r="728" spans="1:9" ht="12.75" hidden="1">
      <c r="A728" s="16"/>
      <c r="B728" s="24" t="s">
        <v>463</v>
      </c>
      <c r="C728" s="54"/>
      <c r="D728" s="32"/>
      <c r="E728" s="40">
        <f>SUM(E715:E727)</f>
        <v>7</v>
      </c>
      <c r="F728" s="172"/>
      <c r="G728" s="17">
        <f t="shared" si="33"/>
        <v>0</v>
      </c>
      <c r="H728" s="187">
        <f t="shared" si="32"/>
        <v>0</v>
      </c>
      <c r="I728" s="170"/>
    </row>
    <row r="729" spans="1:9" ht="25.5">
      <c r="A729" s="16" t="s">
        <v>410</v>
      </c>
      <c r="B729" s="25" t="s">
        <v>293</v>
      </c>
      <c r="C729" s="164">
        <v>85118</v>
      </c>
      <c r="D729" s="16" t="s">
        <v>65</v>
      </c>
      <c r="E729" s="17">
        <v>2</v>
      </c>
      <c r="F729" s="184">
        <v>55.57</v>
      </c>
      <c r="G729" s="17">
        <f t="shared" si="33"/>
        <v>69.58</v>
      </c>
      <c r="H729" s="187">
        <f t="shared" si="32"/>
        <v>139.16</v>
      </c>
      <c r="I729" s="170">
        <f>H729/$H$960*100</f>
        <v>3.4656928657457176E-2</v>
      </c>
    </row>
    <row r="730" spans="1:9" ht="12.75" hidden="1">
      <c r="A730" s="16"/>
      <c r="B730" s="49" t="s">
        <v>479</v>
      </c>
      <c r="C730" s="54"/>
      <c r="D730" s="32"/>
      <c r="E730" s="32"/>
      <c r="F730" s="172"/>
      <c r="G730" s="17">
        <f t="shared" si="33"/>
        <v>0</v>
      </c>
      <c r="H730" s="187">
        <f t="shared" si="32"/>
        <v>0</v>
      </c>
      <c r="I730" s="170"/>
    </row>
    <row r="731" spans="1:9" ht="12.75" hidden="1">
      <c r="A731" s="16"/>
      <c r="B731" s="49" t="s">
        <v>635</v>
      </c>
      <c r="C731" s="54"/>
      <c r="D731" s="32"/>
      <c r="E731" s="32">
        <v>1</v>
      </c>
      <c r="F731" s="172"/>
      <c r="G731" s="17">
        <f t="shared" si="33"/>
        <v>0</v>
      </c>
      <c r="H731" s="187">
        <f t="shared" si="32"/>
        <v>0</v>
      </c>
      <c r="I731" s="170"/>
    </row>
    <row r="732" spans="1:9" ht="12.75" hidden="1">
      <c r="A732" s="16"/>
      <c r="B732" s="49" t="s">
        <v>485</v>
      </c>
      <c r="C732" s="54"/>
      <c r="D732" s="32"/>
      <c r="E732" s="32"/>
      <c r="F732" s="172"/>
      <c r="G732" s="17">
        <f t="shared" si="33"/>
        <v>0</v>
      </c>
      <c r="H732" s="187">
        <f t="shared" si="32"/>
        <v>0</v>
      </c>
      <c r="I732" s="170"/>
    </row>
    <row r="733" spans="1:9" ht="12.75" hidden="1">
      <c r="A733" s="16"/>
      <c r="B733" s="49" t="s">
        <v>635</v>
      </c>
      <c r="C733" s="54"/>
      <c r="D733" s="32"/>
      <c r="E733" s="32">
        <v>1</v>
      </c>
      <c r="F733" s="172"/>
      <c r="G733" s="17">
        <f t="shared" si="33"/>
        <v>0</v>
      </c>
      <c r="H733" s="187">
        <f t="shared" si="32"/>
        <v>0</v>
      </c>
      <c r="I733" s="170"/>
    </row>
    <row r="734" spans="1:9" ht="12.75" hidden="1">
      <c r="A734" s="16"/>
      <c r="B734" s="24" t="s">
        <v>463</v>
      </c>
      <c r="C734" s="54"/>
      <c r="D734" s="32"/>
      <c r="E734" s="40">
        <f>SUM(E731:E733)</f>
        <v>2</v>
      </c>
      <c r="F734" s="172"/>
      <c r="G734" s="17">
        <f t="shared" si="33"/>
        <v>0</v>
      </c>
      <c r="H734" s="187">
        <f t="shared" si="32"/>
        <v>0</v>
      </c>
      <c r="I734" s="170"/>
    </row>
    <row r="735" spans="1:9" ht="12.75">
      <c r="A735" s="16" t="s">
        <v>411</v>
      </c>
      <c r="B735" s="27" t="s">
        <v>294</v>
      </c>
      <c r="C735" s="164" t="s">
        <v>736</v>
      </c>
      <c r="D735" s="16" t="s">
        <v>65</v>
      </c>
      <c r="E735" s="17">
        <v>1</v>
      </c>
      <c r="F735" s="184">
        <v>287.7</v>
      </c>
      <c r="G735" s="17">
        <f t="shared" si="33"/>
        <v>360.26</v>
      </c>
      <c r="H735" s="187">
        <f t="shared" si="32"/>
        <v>360.26</v>
      </c>
      <c r="I735" s="170">
        <f>H735/$H$960*100</f>
        <v>8.9720502429832732E-2</v>
      </c>
    </row>
    <row r="736" spans="1:9" ht="12.75" hidden="1">
      <c r="A736" s="16"/>
      <c r="B736" s="49" t="s">
        <v>663</v>
      </c>
      <c r="C736" s="54"/>
      <c r="D736" s="32"/>
      <c r="E736" s="32"/>
      <c r="F736" s="172"/>
      <c r="G736" s="17">
        <f t="shared" si="33"/>
        <v>0</v>
      </c>
      <c r="H736" s="17">
        <f>ROUND(E736*G736,2)</f>
        <v>0</v>
      </c>
      <c r="I736" s="170"/>
    </row>
    <row r="737" spans="1:9" ht="12.75" hidden="1">
      <c r="A737" s="16"/>
      <c r="B737" s="49" t="s">
        <v>635</v>
      </c>
      <c r="C737" s="54"/>
      <c r="D737" s="32"/>
      <c r="E737" s="32">
        <v>1</v>
      </c>
      <c r="F737" s="56"/>
      <c r="G737" s="17">
        <f t="shared" si="33"/>
        <v>0</v>
      </c>
      <c r="H737" s="17">
        <f>ROUND(E737*G737,2)</f>
        <v>0</v>
      </c>
      <c r="I737" s="170"/>
    </row>
    <row r="738" spans="1:9" ht="12.75" hidden="1">
      <c r="A738" s="16"/>
      <c r="B738" s="24" t="s">
        <v>463</v>
      </c>
      <c r="C738" s="54"/>
      <c r="D738" s="32"/>
      <c r="E738" s="40">
        <f>SUM(E737)</f>
        <v>1</v>
      </c>
      <c r="F738" s="56"/>
      <c r="G738" s="17">
        <f t="shared" si="33"/>
        <v>0</v>
      </c>
      <c r="H738" s="17">
        <f>ROUND(E738*G738,2)</f>
        <v>0</v>
      </c>
      <c r="I738" s="170"/>
    </row>
    <row r="739" spans="1:9" ht="12.75">
      <c r="A739" s="16" t="s">
        <v>412</v>
      </c>
      <c r="B739" s="19" t="s">
        <v>114</v>
      </c>
      <c r="C739" s="164"/>
      <c r="D739" s="16"/>
      <c r="E739" s="17"/>
      <c r="F739" s="17"/>
      <c r="G739" s="17"/>
      <c r="H739" s="17"/>
      <c r="I739" s="170"/>
    </row>
    <row r="740" spans="1:9" ht="33.75" customHeight="1">
      <c r="A740" s="16" t="s">
        <v>413</v>
      </c>
      <c r="B740" s="50" t="s">
        <v>666</v>
      </c>
      <c r="C740" s="164">
        <v>86900</v>
      </c>
      <c r="D740" s="16" t="s">
        <v>65</v>
      </c>
      <c r="E740" s="17">
        <v>4</v>
      </c>
      <c r="F740" s="184">
        <v>61.76</v>
      </c>
      <c r="G740" s="17">
        <f t="shared" si="33"/>
        <v>77.34</v>
      </c>
      <c r="H740" s="187">
        <f t="shared" ref="H740:H803" si="34">ROUND(E740*G740,2)</f>
        <v>309.36</v>
      </c>
      <c r="I740" s="170">
        <f>H740/$H$960*100</f>
        <v>7.7044175405798748E-2</v>
      </c>
    </row>
    <row r="741" spans="1:9" ht="12.75" hidden="1" customHeight="1">
      <c r="A741" s="16"/>
      <c r="B741" s="49" t="s">
        <v>479</v>
      </c>
      <c r="C741" s="54"/>
      <c r="D741" s="32"/>
      <c r="E741" s="32"/>
      <c r="F741" s="172"/>
      <c r="G741" s="17">
        <f t="shared" si="33"/>
        <v>0</v>
      </c>
      <c r="H741" s="187">
        <f t="shared" si="34"/>
        <v>0</v>
      </c>
      <c r="I741" s="170"/>
    </row>
    <row r="742" spans="1:9" ht="12.75" hidden="1">
      <c r="A742" s="16"/>
      <c r="B742" s="49" t="s">
        <v>640</v>
      </c>
      <c r="C742" s="54"/>
      <c r="D742" s="32"/>
      <c r="E742" s="32">
        <v>2</v>
      </c>
      <c r="F742" s="172"/>
      <c r="G742" s="17">
        <f t="shared" si="33"/>
        <v>0</v>
      </c>
      <c r="H742" s="187">
        <f t="shared" si="34"/>
        <v>0</v>
      </c>
      <c r="I742" s="170"/>
    </row>
    <row r="743" spans="1:9" ht="12.75" hidden="1">
      <c r="A743" s="16"/>
      <c r="B743" s="49" t="s">
        <v>485</v>
      </c>
      <c r="C743" s="54"/>
      <c r="D743" s="32"/>
      <c r="E743" s="32"/>
      <c r="F743" s="172"/>
      <c r="G743" s="17">
        <f t="shared" si="33"/>
        <v>0</v>
      </c>
      <c r="H743" s="187">
        <f t="shared" si="34"/>
        <v>0</v>
      </c>
      <c r="I743" s="170"/>
    </row>
    <row r="744" spans="1:9" ht="12.75" hidden="1">
      <c r="A744" s="16"/>
      <c r="B744" s="49" t="s">
        <v>640</v>
      </c>
      <c r="C744" s="54"/>
      <c r="D744" s="32"/>
      <c r="E744" s="32">
        <v>2</v>
      </c>
      <c r="F744" s="172"/>
      <c r="G744" s="17">
        <f t="shared" si="33"/>
        <v>0</v>
      </c>
      <c r="H744" s="187">
        <f t="shared" si="34"/>
        <v>0</v>
      </c>
      <c r="I744" s="170"/>
    </row>
    <row r="745" spans="1:9" ht="12.75" hidden="1">
      <c r="A745" s="16"/>
      <c r="B745" s="24" t="s">
        <v>463</v>
      </c>
      <c r="C745" s="54"/>
      <c r="D745" s="32"/>
      <c r="E745" s="40">
        <f>SUM(E742:E744)</f>
        <v>4</v>
      </c>
      <c r="F745" s="172"/>
      <c r="G745" s="17">
        <f t="shared" si="33"/>
        <v>0</v>
      </c>
      <c r="H745" s="187">
        <f t="shared" si="34"/>
        <v>0</v>
      </c>
      <c r="I745" s="170"/>
    </row>
    <row r="746" spans="1:9" ht="65.25" customHeight="1">
      <c r="A746" s="16" t="s">
        <v>414</v>
      </c>
      <c r="B746" s="50" t="s">
        <v>753</v>
      </c>
      <c r="C746" s="164">
        <v>86903</v>
      </c>
      <c r="D746" s="16" t="s">
        <v>65</v>
      </c>
      <c r="E746" s="17">
        <v>2</v>
      </c>
      <c r="F746" s="184">
        <v>159.38</v>
      </c>
      <c r="G746" s="17">
        <f t="shared" si="33"/>
        <v>199.58</v>
      </c>
      <c r="H746" s="187">
        <f t="shared" si="34"/>
        <v>399.16</v>
      </c>
      <c r="I746" s="170">
        <f>H746/$H$960*100</f>
        <v>9.9408304418731025E-2</v>
      </c>
    </row>
    <row r="747" spans="1:9" ht="12.75" hidden="1">
      <c r="A747" s="16"/>
      <c r="B747" s="51" t="s">
        <v>597</v>
      </c>
      <c r="C747" s="168"/>
      <c r="D747" s="32"/>
      <c r="E747" s="32"/>
      <c r="F747" s="172"/>
      <c r="G747" s="17">
        <f t="shared" si="33"/>
        <v>0</v>
      </c>
      <c r="H747" s="187">
        <f t="shared" si="34"/>
        <v>0</v>
      </c>
      <c r="I747" s="170"/>
    </row>
    <row r="748" spans="1:9" ht="12.75" hidden="1">
      <c r="A748" s="16"/>
      <c r="B748" s="49" t="s">
        <v>635</v>
      </c>
      <c r="C748" s="168"/>
      <c r="D748" s="32"/>
      <c r="E748" s="32">
        <v>1</v>
      </c>
      <c r="F748" s="172"/>
      <c r="G748" s="17">
        <f t="shared" si="33"/>
        <v>0</v>
      </c>
      <c r="H748" s="187">
        <f t="shared" si="34"/>
        <v>0</v>
      </c>
      <c r="I748" s="170"/>
    </row>
    <row r="749" spans="1:9" ht="12.75" hidden="1">
      <c r="A749" s="16"/>
      <c r="B749" s="51" t="s">
        <v>476</v>
      </c>
      <c r="C749" s="168"/>
      <c r="D749" s="32"/>
      <c r="E749" s="32"/>
      <c r="F749" s="172"/>
      <c r="G749" s="17">
        <f t="shared" si="33"/>
        <v>0</v>
      </c>
      <c r="H749" s="187">
        <f t="shared" si="34"/>
        <v>0</v>
      </c>
      <c r="I749" s="170"/>
    </row>
    <row r="750" spans="1:9" ht="12.75" hidden="1">
      <c r="A750" s="16"/>
      <c r="B750" s="49" t="s">
        <v>635</v>
      </c>
      <c r="C750" s="168"/>
      <c r="D750" s="32"/>
      <c r="E750" s="32">
        <v>1</v>
      </c>
      <c r="F750" s="172"/>
      <c r="G750" s="17">
        <f t="shared" si="33"/>
        <v>0</v>
      </c>
      <c r="H750" s="187">
        <f t="shared" si="34"/>
        <v>0</v>
      </c>
      <c r="I750" s="170"/>
    </row>
    <row r="751" spans="1:9" ht="12.75" hidden="1">
      <c r="A751" s="16"/>
      <c r="B751" s="24" t="s">
        <v>463</v>
      </c>
      <c r="C751" s="168"/>
      <c r="D751" s="32"/>
      <c r="E751" s="40">
        <f>SUM(E748:E750)</f>
        <v>2</v>
      </c>
      <c r="F751" s="172"/>
      <c r="G751" s="17">
        <f t="shared" si="33"/>
        <v>0</v>
      </c>
      <c r="H751" s="187">
        <f t="shared" si="34"/>
        <v>0</v>
      </c>
      <c r="I751" s="170"/>
    </row>
    <row r="752" spans="1:9" ht="64.5" customHeight="1">
      <c r="A752" s="16" t="s">
        <v>415</v>
      </c>
      <c r="B752" s="50" t="s">
        <v>295</v>
      </c>
      <c r="C752" s="164">
        <v>86936</v>
      </c>
      <c r="D752" s="16" t="s">
        <v>65</v>
      </c>
      <c r="E752" s="17">
        <v>1</v>
      </c>
      <c r="F752" s="184">
        <v>183.46</v>
      </c>
      <c r="G752" s="17">
        <f t="shared" si="33"/>
        <v>229.73</v>
      </c>
      <c r="H752" s="187">
        <f t="shared" si="34"/>
        <v>229.73</v>
      </c>
      <c r="I752" s="170">
        <f>H752/$H$960*100</f>
        <v>5.7212821360143988E-2</v>
      </c>
    </row>
    <row r="753" spans="1:9" ht="12.75" hidden="1">
      <c r="A753" s="16"/>
      <c r="B753" s="49" t="s">
        <v>486</v>
      </c>
      <c r="C753" s="54"/>
      <c r="D753" s="32"/>
      <c r="E753" s="32"/>
      <c r="F753" s="172"/>
      <c r="G753" s="17">
        <f t="shared" si="33"/>
        <v>0</v>
      </c>
      <c r="H753" s="187">
        <f t="shared" si="34"/>
        <v>0</v>
      </c>
      <c r="I753" s="170"/>
    </row>
    <row r="754" spans="1:9" ht="12.75" hidden="1">
      <c r="A754" s="16"/>
      <c r="B754" s="49" t="s">
        <v>635</v>
      </c>
      <c r="C754" s="54"/>
      <c r="D754" s="32"/>
      <c r="E754" s="32">
        <v>1</v>
      </c>
      <c r="F754" s="172"/>
      <c r="G754" s="17">
        <f t="shared" si="33"/>
        <v>0</v>
      </c>
      <c r="H754" s="187">
        <f t="shared" si="34"/>
        <v>0</v>
      </c>
      <c r="I754" s="170"/>
    </row>
    <row r="755" spans="1:9" ht="12.75" hidden="1">
      <c r="A755" s="16"/>
      <c r="B755" s="24" t="s">
        <v>463</v>
      </c>
      <c r="C755" s="54"/>
      <c r="D755" s="32"/>
      <c r="E755" s="40">
        <f>SUM(E754)</f>
        <v>1</v>
      </c>
      <c r="F755" s="172"/>
      <c r="G755" s="17">
        <f t="shared" si="33"/>
        <v>0</v>
      </c>
      <c r="H755" s="187">
        <f t="shared" si="34"/>
        <v>0</v>
      </c>
      <c r="I755" s="170"/>
    </row>
    <row r="756" spans="1:9" ht="38.25">
      <c r="A756" s="16" t="s">
        <v>416</v>
      </c>
      <c r="B756" s="50" t="s">
        <v>261</v>
      </c>
      <c r="C756" s="164">
        <v>86931</v>
      </c>
      <c r="D756" s="16" t="s">
        <v>65</v>
      </c>
      <c r="E756" s="17">
        <v>3</v>
      </c>
      <c r="F756" s="184">
        <v>263.31</v>
      </c>
      <c r="G756" s="17">
        <f t="shared" si="33"/>
        <v>329.72</v>
      </c>
      <c r="H756" s="187">
        <f t="shared" si="34"/>
        <v>989.16</v>
      </c>
      <c r="I756" s="170">
        <f>H756/$H$960*100</f>
        <v>0.24634411864623701</v>
      </c>
    </row>
    <row r="757" spans="1:9" ht="12.75" hidden="1">
      <c r="A757" s="16"/>
      <c r="B757" s="49" t="s">
        <v>479</v>
      </c>
      <c r="C757" s="164"/>
      <c r="D757" s="32"/>
      <c r="E757" s="32"/>
      <c r="F757" s="172"/>
      <c r="G757" s="17">
        <f t="shared" si="33"/>
        <v>0</v>
      </c>
      <c r="H757" s="187">
        <f t="shared" si="34"/>
        <v>0</v>
      </c>
      <c r="I757" s="170"/>
    </row>
    <row r="758" spans="1:9" ht="12.75" hidden="1">
      <c r="A758" s="16"/>
      <c r="B758" s="49" t="s">
        <v>635</v>
      </c>
      <c r="C758" s="164"/>
      <c r="D758" s="32"/>
      <c r="E758" s="32">
        <v>1</v>
      </c>
      <c r="F758" s="172"/>
      <c r="G758" s="17">
        <f t="shared" si="33"/>
        <v>0</v>
      </c>
      <c r="H758" s="187">
        <f t="shared" si="34"/>
        <v>0</v>
      </c>
      <c r="I758" s="170"/>
    </row>
    <row r="759" spans="1:9" ht="12.75" hidden="1">
      <c r="A759" s="16"/>
      <c r="B759" s="49" t="s">
        <v>485</v>
      </c>
      <c r="C759" s="164"/>
      <c r="D759" s="32"/>
      <c r="E759" s="32"/>
      <c r="F759" s="172"/>
      <c r="G759" s="17">
        <f t="shared" si="33"/>
        <v>0</v>
      </c>
      <c r="H759" s="187">
        <f t="shared" si="34"/>
        <v>0</v>
      </c>
      <c r="I759" s="170"/>
    </row>
    <row r="760" spans="1:9" ht="12.75" hidden="1">
      <c r="A760" s="16"/>
      <c r="B760" s="49" t="s">
        <v>635</v>
      </c>
      <c r="C760" s="164"/>
      <c r="D760" s="32"/>
      <c r="E760" s="32">
        <v>1</v>
      </c>
      <c r="F760" s="172"/>
      <c r="G760" s="17">
        <f t="shared" si="33"/>
        <v>0</v>
      </c>
      <c r="H760" s="187">
        <f t="shared" si="34"/>
        <v>0</v>
      </c>
      <c r="I760" s="170"/>
    </row>
    <row r="761" spans="1:9" ht="12.75" hidden="1">
      <c r="A761" s="16"/>
      <c r="B761" s="51" t="s">
        <v>597</v>
      </c>
      <c r="C761" s="164"/>
      <c r="D761" s="32"/>
      <c r="E761" s="32"/>
      <c r="F761" s="172"/>
      <c r="G761" s="17">
        <f t="shared" si="33"/>
        <v>0</v>
      </c>
      <c r="H761" s="187">
        <f t="shared" si="34"/>
        <v>0</v>
      </c>
      <c r="I761" s="170"/>
    </row>
    <row r="762" spans="1:9" ht="12.75" hidden="1">
      <c r="A762" s="16"/>
      <c r="B762" s="49" t="s">
        <v>635</v>
      </c>
      <c r="C762" s="164"/>
      <c r="D762" s="32"/>
      <c r="E762" s="32">
        <v>1</v>
      </c>
      <c r="F762" s="172"/>
      <c r="G762" s="17">
        <f t="shared" si="33"/>
        <v>0</v>
      </c>
      <c r="H762" s="187">
        <f t="shared" si="34"/>
        <v>0</v>
      </c>
      <c r="I762" s="170"/>
    </row>
    <row r="763" spans="1:9" ht="12.75" hidden="1">
      <c r="A763" s="16"/>
      <c r="B763" s="24" t="s">
        <v>463</v>
      </c>
      <c r="C763" s="164"/>
      <c r="D763" s="32"/>
      <c r="E763" s="40">
        <f>SUM(E758:E762)</f>
        <v>3</v>
      </c>
      <c r="F763" s="17"/>
      <c r="G763" s="17">
        <f t="shared" si="33"/>
        <v>0</v>
      </c>
      <c r="H763" s="187">
        <f t="shared" si="34"/>
        <v>0</v>
      </c>
      <c r="I763" s="170"/>
    </row>
    <row r="764" spans="1:9" ht="27" customHeight="1">
      <c r="A764" s="16" t="s">
        <v>417</v>
      </c>
      <c r="B764" s="50" t="s">
        <v>263</v>
      </c>
      <c r="C764" s="164" t="s">
        <v>798</v>
      </c>
      <c r="D764" s="16" t="s">
        <v>65</v>
      </c>
      <c r="E764" s="17">
        <v>2</v>
      </c>
      <c r="F764" s="17">
        <v>476.5</v>
      </c>
      <c r="G764" s="17">
        <f t="shared" si="33"/>
        <v>596.66999999999996</v>
      </c>
      <c r="H764" s="187">
        <f t="shared" si="34"/>
        <v>1193.3399999999999</v>
      </c>
      <c r="I764" s="170">
        <f>H764/$H$960*100</f>
        <v>0.29719387211907117</v>
      </c>
    </row>
    <row r="765" spans="1:9" ht="12.75" hidden="1">
      <c r="A765" s="16"/>
      <c r="B765" s="51" t="s">
        <v>470</v>
      </c>
      <c r="C765" s="164"/>
      <c r="D765" s="32"/>
      <c r="E765" s="32"/>
      <c r="F765" s="172"/>
      <c r="G765" s="17">
        <f t="shared" si="33"/>
        <v>0</v>
      </c>
      <c r="H765" s="187">
        <f t="shared" si="34"/>
        <v>0</v>
      </c>
      <c r="I765" s="170"/>
    </row>
    <row r="766" spans="1:9" ht="12.75" hidden="1">
      <c r="A766" s="16"/>
      <c r="B766" s="49" t="s">
        <v>635</v>
      </c>
      <c r="C766" s="164"/>
      <c r="D766" s="32"/>
      <c r="E766" s="32">
        <v>1</v>
      </c>
      <c r="F766" s="172"/>
      <c r="G766" s="17">
        <f t="shared" si="33"/>
        <v>0</v>
      </c>
      <c r="H766" s="187">
        <f t="shared" si="34"/>
        <v>0</v>
      </c>
      <c r="I766" s="170"/>
    </row>
    <row r="767" spans="1:9" ht="12.75" hidden="1">
      <c r="A767" s="16"/>
      <c r="B767" s="51" t="s">
        <v>476</v>
      </c>
      <c r="C767" s="164"/>
      <c r="D767" s="32"/>
      <c r="E767" s="32"/>
      <c r="F767" s="172"/>
      <c r="G767" s="17">
        <f t="shared" si="33"/>
        <v>0</v>
      </c>
      <c r="H767" s="187">
        <f t="shared" si="34"/>
        <v>0</v>
      </c>
      <c r="I767" s="170"/>
    </row>
    <row r="768" spans="1:9" ht="12.75" hidden="1">
      <c r="A768" s="16"/>
      <c r="B768" s="49" t="s">
        <v>635</v>
      </c>
      <c r="C768" s="164"/>
      <c r="D768" s="32"/>
      <c r="E768" s="32">
        <v>1</v>
      </c>
      <c r="F768" s="172"/>
      <c r="G768" s="17">
        <f t="shared" si="33"/>
        <v>0</v>
      </c>
      <c r="H768" s="187">
        <f t="shared" si="34"/>
        <v>0</v>
      </c>
      <c r="I768" s="170"/>
    </row>
    <row r="769" spans="1:9" ht="12.75" hidden="1">
      <c r="A769" s="16"/>
      <c r="B769" s="24" t="s">
        <v>463</v>
      </c>
      <c r="C769" s="164"/>
      <c r="D769" s="32"/>
      <c r="E769" s="40">
        <f>SUM(E766:E768)</f>
        <v>2</v>
      </c>
      <c r="F769" s="172"/>
      <c r="G769" s="17">
        <f t="shared" si="33"/>
        <v>0</v>
      </c>
      <c r="H769" s="187">
        <f t="shared" si="34"/>
        <v>0</v>
      </c>
      <c r="I769" s="170"/>
    </row>
    <row r="770" spans="1:9" ht="36" customHeight="1">
      <c r="A770" s="16" t="s">
        <v>418</v>
      </c>
      <c r="B770" s="50" t="s">
        <v>265</v>
      </c>
      <c r="C770" s="164" t="s">
        <v>799</v>
      </c>
      <c r="D770" s="16" t="s">
        <v>65</v>
      </c>
      <c r="E770" s="17">
        <v>1</v>
      </c>
      <c r="F770" s="17">
        <v>1142.78</v>
      </c>
      <c r="G770" s="17">
        <f t="shared" si="33"/>
        <v>1430.99</v>
      </c>
      <c r="H770" s="187">
        <f t="shared" si="34"/>
        <v>1430.99</v>
      </c>
      <c r="I770" s="170">
        <f>H770/$H$960*100</f>
        <v>0.35637912000240479</v>
      </c>
    </row>
    <row r="771" spans="1:9" ht="12.75" hidden="1">
      <c r="A771" s="16"/>
      <c r="B771" s="51" t="s">
        <v>478</v>
      </c>
      <c r="C771" s="54"/>
      <c r="D771" s="32"/>
      <c r="E771" s="32"/>
      <c r="F771" s="172"/>
      <c r="G771" s="17">
        <f t="shared" ref="G771:G834" si="35">ROUND(F771*1.2522,2)</f>
        <v>0</v>
      </c>
      <c r="H771" s="187">
        <f t="shared" si="34"/>
        <v>0</v>
      </c>
      <c r="I771" s="170"/>
    </row>
    <row r="772" spans="1:9" ht="12.75" hidden="1" customHeight="1">
      <c r="A772" s="16"/>
      <c r="B772" s="49" t="s">
        <v>635</v>
      </c>
      <c r="C772" s="54"/>
      <c r="D772" s="32"/>
      <c r="E772" s="32">
        <v>1</v>
      </c>
      <c r="F772" s="17"/>
      <c r="G772" s="17">
        <f t="shared" si="35"/>
        <v>0</v>
      </c>
      <c r="H772" s="187">
        <f t="shared" si="34"/>
        <v>0</v>
      </c>
      <c r="I772" s="170"/>
    </row>
    <row r="773" spans="1:9" ht="12.75" hidden="1" customHeight="1">
      <c r="A773" s="16"/>
      <c r="B773" s="24" t="s">
        <v>463</v>
      </c>
      <c r="C773" s="54"/>
      <c r="D773" s="32"/>
      <c r="E773" s="40">
        <f>SUM(E771:E772)</f>
        <v>1</v>
      </c>
      <c r="F773" s="17"/>
      <c r="G773" s="17">
        <f t="shared" si="35"/>
        <v>0</v>
      </c>
      <c r="H773" s="187">
        <f t="shared" si="34"/>
        <v>0</v>
      </c>
      <c r="I773" s="170"/>
    </row>
    <row r="774" spans="1:9" ht="12.75">
      <c r="A774" s="16" t="s">
        <v>419</v>
      </c>
      <c r="B774" s="152" t="s">
        <v>668</v>
      </c>
      <c r="C774" s="164" t="s">
        <v>800</v>
      </c>
      <c r="D774" s="16" t="s">
        <v>65</v>
      </c>
      <c r="E774" s="17">
        <v>7</v>
      </c>
      <c r="F774" s="17">
        <v>270.45999999999998</v>
      </c>
      <c r="G774" s="17">
        <f t="shared" si="35"/>
        <v>338.67</v>
      </c>
      <c r="H774" s="187">
        <f t="shared" si="34"/>
        <v>2370.69</v>
      </c>
      <c r="I774" s="170">
        <f>H774/$H$960*100</f>
        <v>0.59040553462882417</v>
      </c>
    </row>
    <row r="775" spans="1:9" ht="12.75" hidden="1">
      <c r="A775" s="16"/>
      <c r="B775" s="49" t="s">
        <v>479</v>
      </c>
      <c r="C775" s="164"/>
      <c r="D775" s="32"/>
      <c r="E775" s="32"/>
      <c r="F775" s="172"/>
      <c r="G775" s="17">
        <f t="shared" si="35"/>
        <v>0</v>
      </c>
      <c r="H775" s="187">
        <f t="shared" si="34"/>
        <v>0</v>
      </c>
      <c r="I775" s="170"/>
    </row>
    <row r="776" spans="1:9" ht="12.75" hidden="1">
      <c r="A776" s="16"/>
      <c r="B776" s="49" t="s">
        <v>635</v>
      </c>
      <c r="C776" s="164"/>
      <c r="D776" s="32"/>
      <c r="E776" s="32">
        <v>1</v>
      </c>
      <c r="F776" s="172"/>
      <c r="G776" s="17">
        <f t="shared" si="35"/>
        <v>0</v>
      </c>
      <c r="H776" s="187">
        <f t="shared" si="34"/>
        <v>0</v>
      </c>
      <c r="I776" s="170"/>
    </row>
    <row r="777" spans="1:9" ht="12.75" hidden="1">
      <c r="A777" s="16"/>
      <c r="B777" s="49" t="s">
        <v>485</v>
      </c>
      <c r="C777" s="164"/>
      <c r="D777" s="32"/>
      <c r="E777" s="32"/>
      <c r="F777" s="172"/>
      <c r="G777" s="17">
        <f t="shared" si="35"/>
        <v>0</v>
      </c>
      <c r="H777" s="187">
        <f t="shared" si="34"/>
        <v>0</v>
      </c>
      <c r="I777" s="170"/>
    </row>
    <row r="778" spans="1:9" ht="12.75" hidden="1">
      <c r="A778" s="16"/>
      <c r="B778" s="49" t="s">
        <v>635</v>
      </c>
      <c r="C778" s="164"/>
      <c r="D778" s="32"/>
      <c r="E778" s="32">
        <v>1</v>
      </c>
      <c r="F778" s="172"/>
      <c r="G778" s="17">
        <f t="shared" si="35"/>
        <v>0</v>
      </c>
      <c r="H778" s="187">
        <f t="shared" si="34"/>
        <v>0</v>
      </c>
      <c r="I778" s="170"/>
    </row>
    <row r="779" spans="1:9" ht="12.75" hidden="1">
      <c r="A779" s="16"/>
      <c r="B779" s="51" t="s">
        <v>470</v>
      </c>
      <c r="C779" s="164"/>
      <c r="D779" s="32"/>
      <c r="E779" s="32"/>
      <c r="F779" s="172"/>
      <c r="G779" s="17">
        <f t="shared" si="35"/>
        <v>0</v>
      </c>
      <c r="H779" s="187">
        <f t="shared" si="34"/>
        <v>0</v>
      </c>
      <c r="I779" s="170"/>
    </row>
    <row r="780" spans="1:9" ht="12.75" hidden="1">
      <c r="A780" s="16"/>
      <c r="B780" s="49" t="s">
        <v>635</v>
      </c>
      <c r="C780" s="164"/>
      <c r="D780" s="32"/>
      <c r="E780" s="32">
        <v>1</v>
      </c>
      <c r="F780" s="172"/>
      <c r="G780" s="17">
        <f t="shared" si="35"/>
        <v>0</v>
      </c>
      <c r="H780" s="187">
        <f t="shared" si="34"/>
        <v>0</v>
      </c>
      <c r="I780" s="170"/>
    </row>
    <row r="781" spans="1:9" ht="12.75" hidden="1">
      <c r="A781" s="16"/>
      <c r="B781" s="49" t="s">
        <v>486</v>
      </c>
      <c r="C781" s="164"/>
      <c r="D781" s="32"/>
      <c r="E781" s="32"/>
      <c r="F781" s="172"/>
      <c r="G781" s="17">
        <f t="shared" si="35"/>
        <v>0</v>
      </c>
      <c r="H781" s="187">
        <f t="shared" si="34"/>
        <v>0</v>
      </c>
      <c r="I781" s="170"/>
    </row>
    <row r="782" spans="1:9" ht="12.75" hidden="1">
      <c r="A782" s="16"/>
      <c r="B782" s="49" t="s">
        <v>635</v>
      </c>
      <c r="C782" s="164"/>
      <c r="D782" s="32"/>
      <c r="E782" s="32">
        <v>1</v>
      </c>
      <c r="F782" s="172"/>
      <c r="G782" s="17">
        <f t="shared" si="35"/>
        <v>0</v>
      </c>
      <c r="H782" s="187">
        <f t="shared" si="34"/>
        <v>0</v>
      </c>
      <c r="I782" s="170"/>
    </row>
    <row r="783" spans="1:9" ht="12.75" hidden="1">
      <c r="A783" s="16"/>
      <c r="B783" s="51" t="s">
        <v>478</v>
      </c>
      <c r="C783" s="164"/>
      <c r="D783" s="32"/>
      <c r="E783" s="32"/>
      <c r="F783" s="172"/>
      <c r="G783" s="17">
        <f t="shared" si="35"/>
        <v>0</v>
      </c>
      <c r="H783" s="187">
        <f t="shared" si="34"/>
        <v>0</v>
      </c>
      <c r="I783" s="170"/>
    </row>
    <row r="784" spans="1:9" ht="12.75" hidden="1">
      <c r="A784" s="16"/>
      <c r="B784" s="49" t="s">
        <v>635</v>
      </c>
      <c r="C784" s="164"/>
      <c r="D784" s="32"/>
      <c r="E784" s="32">
        <v>1</v>
      </c>
      <c r="F784" s="172"/>
      <c r="G784" s="17">
        <f t="shared" si="35"/>
        <v>0</v>
      </c>
      <c r="H784" s="187">
        <f t="shared" si="34"/>
        <v>0</v>
      </c>
      <c r="I784" s="170"/>
    </row>
    <row r="785" spans="1:9" ht="12.75" hidden="1">
      <c r="A785" s="16"/>
      <c r="B785" s="51" t="s">
        <v>597</v>
      </c>
      <c r="C785" s="164"/>
      <c r="D785" s="32"/>
      <c r="E785" s="32"/>
      <c r="F785" s="172"/>
      <c r="G785" s="17">
        <f t="shared" si="35"/>
        <v>0</v>
      </c>
      <c r="H785" s="187">
        <f t="shared" si="34"/>
        <v>0</v>
      </c>
      <c r="I785" s="170"/>
    </row>
    <row r="786" spans="1:9" ht="12.75" hidden="1">
      <c r="A786" s="16"/>
      <c r="B786" s="49" t="s">
        <v>635</v>
      </c>
      <c r="C786" s="164"/>
      <c r="D786" s="32"/>
      <c r="E786" s="32">
        <v>1</v>
      </c>
      <c r="F786" s="172"/>
      <c r="G786" s="17">
        <f t="shared" si="35"/>
        <v>0</v>
      </c>
      <c r="H786" s="187">
        <f t="shared" si="34"/>
        <v>0</v>
      </c>
      <c r="I786" s="170"/>
    </row>
    <row r="787" spans="1:9" ht="12.75" hidden="1">
      <c r="A787" s="16"/>
      <c r="B787" s="51" t="s">
        <v>476</v>
      </c>
      <c r="C787" s="164"/>
      <c r="D787" s="32"/>
      <c r="E787" s="32"/>
      <c r="F787" s="172"/>
      <c r="G787" s="17">
        <f t="shared" si="35"/>
        <v>0</v>
      </c>
      <c r="H787" s="187">
        <f t="shared" si="34"/>
        <v>0</v>
      </c>
      <c r="I787" s="170"/>
    </row>
    <row r="788" spans="1:9" ht="12.75" hidden="1">
      <c r="A788" s="16"/>
      <c r="B788" s="49" t="s">
        <v>635</v>
      </c>
      <c r="C788" s="164"/>
      <c r="D788" s="32"/>
      <c r="E788" s="32">
        <v>1</v>
      </c>
      <c r="F788" s="172"/>
      <c r="G788" s="17">
        <f t="shared" si="35"/>
        <v>0</v>
      </c>
      <c r="H788" s="187">
        <f t="shared" si="34"/>
        <v>0</v>
      </c>
      <c r="I788" s="170"/>
    </row>
    <row r="789" spans="1:9" ht="12.75" hidden="1">
      <c r="A789" s="16"/>
      <c r="B789" s="24" t="s">
        <v>463</v>
      </c>
      <c r="C789" s="164"/>
      <c r="D789" s="32"/>
      <c r="E789" s="40">
        <f>SUM(E776:E788)</f>
        <v>7</v>
      </c>
      <c r="F789" s="172"/>
      <c r="G789" s="17">
        <f t="shared" si="35"/>
        <v>0</v>
      </c>
      <c r="H789" s="187">
        <f t="shared" si="34"/>
        <v>0</v>
      </c>
      <c r="I789" s="170"/>
    </row>
    <row r="790" spans="1:9" ht="25.5">
      <c r="A790" s="16" t="s">
        <v>420</v>
      </c>
      <c r="B790" s="26" t="s">
        <v>669</v>
      </c>
      <c r="C790" s="164" t="s">
        <v>801</v>
      </c>
      <c r="D790" s="16" t="s">
        <v>65</v>
      </c>
      <c r="E790" s="17">
        <v>2</v>
      </c>
      <c r="F790" s="17">
        <v>57.29</v>
      </c>
      <c r="G790" s="17">
        <f t="shared" si="35"/>
        <v>71.739999999999995</v>
      </c>
      <c r="H790" s="187">
        <f t="shared" si="34"/>
        <v>143.47999999999999</v>
      </c>
      <c r="I790" s="170">
        <f>H790/$H$960*100</f>
        <v>3.573279767010603E-2</v>
      </c>
    </row>
    <row r="791" spans="1:9" ht="12.75" hidden="1">
      <c r="A791" s="16"/>
      <c r="B791" s="49" t="s">
        <v>479</v>
      </c>
      <c r="C791" s="168"/>
      <c r="D791" s="32"/>
      <c r="E791" s="32"/>
      <c r="F791" s="172"/>
      <c r="G791" s="17">
        <f t="shared" si="35"/>
        <v>0</v>
      </c>
      <c r="H791" s="187">
        <f t="shared" si="34"/>
        <v>0</v>
      </c>
      <c r="I791" s="170"/>
    </row>
    <row r="792" spans="1:9" ht="12.75" hidden="1">
      <c r="A792" s="16"/>
      <c r="B792" s="49" t="s">
        <v>635</v>
      </c>
      <c r="C792" s="168"/>
      <c r="D792" s="32"/>
      <c r="E792" s="32">
        <v>1</v>
      </c>
      <c r="F792" s="172"/>
      <c r="G792" s="17">
        <f t="shared" si="35"/>
        <v>0</v>
      </c>
      <c r="H792" s="187">
        <f t="shared" si="34"/>
        <v>0</v>
      </c>
      <c r="I792" s="170"/>
    </row>
    <row r="793" spans="1:9" ht="12.75" hidden="1">
      <c r="A793" s="16"/>
      <c r="B793" s="49" t="s">
        <v>485</v>
      </c>
      <c r="C793" s="168"/>
      <c r="D793" s="32"/>
      <c r="E793" s="32"/>
      <c r="F793" s="172"/>
      <c r="G793" s="17">
        <f t="shared" si="35"/>
        <v>0</v>
      </c>
      <c r="H793" s="187">
        <f t="shared" si="34"/>
        <v>0</v>
      </c>
      <c r="I793" s="170"/>
    </row>
    <row r="794" spans="1:9" ht="12.75" hidden="1">
      <c r="A794" s="16"/>
      <c r="B794" s="49" t="s">
        <v>635</v>
      </c>
      <c r="C794" s="168"/>
      <c r="D794" s="32"/>
      <c r="E794" s="32">
        <v>1</v>
      </c>
      <c r="F794" s="172"/>
      <c r="G794" s="17">
        <f t="shared" si="35"/>
        <v>0</v>
      </c>
      <c r="H794" s="187">
        <f t="shared" si="34"/>
        <v>0</v>
      </c>
      <c r="I794" s="170"/>
    </row>
    <row r="795" spans="1:9" ht="12.75" hidden="1">
      <c r="A795" s="16"/>
      <c r="B795" s="24" t="s">
        <v>463</v>
      </c>
      <c r="C795" s="168"/>
      <c r="D795" s="32"/>
      <c r="E795" s="40">
        <f>SUM(E792:E794)</f>
        <v>2</v>
      </c>
      <c r="F795" s="172"/>
      <c r="G795" s="17">
        <f t="shared" si="35"/>
        <v>0</v>
      </c>
      <c r="H795" s="187">
        <f t="shared" si="34"/>
        <v>0</v>
      </c>
      <c r="I795" s="170"/>
    </row>
    <row r="796" spans="1:9" ht="12.75">
      <c r="A796" s="16" t="s">
        <v>421</v>
      </c>
      <c r="B796" s="19" t="s">
        <v>296</v>
      </c>
      <c r="C796" s="164" t="s">
        <v>802</v>
      </c>
      <c r="D796" s="16" t="s">
        <v>65</v>
      </c>
      <c r="E796" s="17">
        <v>3</v>
      </c>
      <c r="F796" s="17">
        <v>25.09</v>
      </c>
      <c r="G796" s="17">
        <f t="shared" si="35"/>
        <v>31.42</v>
      </c>
      <c r="H796" s="187">
        <f t="shared" si="34"/>
        <v>94.26</v>
      </c>
      <c r="I796" s="170">
        <f>H796/$H$960*100</f>
        <v>2.3474864150991044E-2</v>
      </c>
    </row>
    <row r="797" spans="1:9" ht="12.75" hidden="1">
      <c r="A797" s="16"/>
      <c r="B797" s="49" t="s">
        <v>479</v>
      </c>
      <c r="C797" s="164"/>
      <c r="D797" s="32"/>
      <c r="E797" s="32"/>
      <c r="F797" s="172"/>
      <c r="G797" s="17">
        <f t="shared" si="35"/>
        <v>0</v>
      </c>
      <c r="H797" s="187">
        <f t="shared" si="34"/>
        <v>0</v>
      </c>
      <c r="I797" s="170"/>
    </row>
    <row r="798" spans="1:9" ht="12.75" hidden="1">
      <c r="A798" s="16"/>
      <c r="B798" s="49" t="s">
        <v>635</v>
      </c>
      <c r="C798" s="164"/>
      <c r="D798" s="32"/>
      <c r="E798" s="32">
        <v>1</v>
      </c>
      <c r="F798" s="172"/>
      <c r="G798" s="17">
        <f t="shared" si="35"/>
        <v>0</v>
      </c>
      <c r="H798" s="187">
        <f t="shared" si="34"/>
        <v>0</v>
      </c>
      <c r="I798" s="170"/>
    </row>
    <row r="799" spans="1:9" ht="12.75" hidden="1">
      <c r="A799" s="16"/>
      <c r="B799" s="49" t="s">
        <v>485</v>
      </c>
      <c r="C799" s="164"/>
      <c r="D799" s="32"/>
      <c r="E799" s="32"/>
      <c r="F799" s="172"/>
      <c r="G799" s="17">
        <f t="shared" si="35"/>
        <v>0</v>
      </c>
      <c r="H799" s="187">
        <f t="shared" si="34"/>
        <v>0</v>
      </c>
      <c r="I799" s="170"/>
    </row>
    <row r="800" spans="1:9" ht="12.75" hidden="1">
      <c r="A800" s="16"/>
      <c r="B800" s="49" t="s">
        <v>635</v>
      </c>
      <c r="C800" s="164"/>
      <c r="D800" s="32"/>
      <c r="E800" s="32">
        <v>1</v>
      </c>
      <c r="F800" s="172"/>
      <c r="G800" s="17">
        <f t="shared" si="35"/>
        <v>0</v>
      </c>
      <c r="H800" s="187">
        <f t="shared" si="34"/>
        <v>0</v>
      </c>
      <c r="I800" s="170"/>
    </row>
    <row r="801" spans="1:9" ht="12.75" hidden="1">
      <c r="A801" s="16"/>
      <c r="B801" s="51" t="s">
        <v>597</v>
      </c>
      <c r="C801" s="164"/>
      <c r="D801" s="32"/>
      <c r="E801" s="32"/>
      <c r="F801" s="172"/>
      <c r="G801" s="17">
        <f t="shared" si="35"/>
        <v>0</v>
      </c>
      <c r="H801" s="187">
        <f t="shared" si="34"/>
        <v>0</v>
      </c>
      <c r="I801" s="170"/>
    </row>
    <row r="802" spans="1:9" ht="12.75" hidden="1">
      <c r="A802" s="16"/>
      <c r="B802" s="49" t="s">
        <v>635</v>
      </c>
      <c r="C802" s="164"/>
      <c r="D802" s="32"/>
      <c r="E802" s="32">
        <v>1</v>
      </c>
      <c r="F802" s="172"/>
      <c r="G802" s="17">
        <f t="shared" si="35"/>
        <v>0</v>
      </c>
      <c r="H802" s="187">
        <f t="shared" si="34"/>
        <v>0</v>
      </c>
      <c r="I802" s="170"/>
    </row>
    <row r="803" spans="1:9" ht="12.75" hidden="1">
      <c r="A803" s="16"/>
      <c r="B803" s="24" t="s">
        <v>463</v>
      </c>
      <c r="C803" s="164"/>
      <c r="D803" s="32"/>
      <c r="E803" s="40">
        <f>SUM(E798:E802)</f>
        <v>3</v>
      </c>
      <c r="F803" s="172"/>
      <c r="G803" s="17">
        <f t="shared" si="35"/>
        <v>0</v>
      </c>
      <c r="H803" s="187">
        <f t="shared" si="34"/>
        <v>0</v>
      </c>
      <c r="I803" s="170"/>
    </row>
    <row r="804" spans="1:9" ht="12.75">
      <c r="A804" s="16" t="s">
        <v>422</v>
      </c>
      <c r="B804" s="27" t="s">
        <v>116</v>
      </c>
      <c r="C804" s="164" t="s">
        <v>803</v>
      </c>
      <c r="D804" s="16" t="s">
        <v>65</v>
      </c>
      <c r="E804" s="17">
        <v>7</v>
      </c>
      <c r="F804" s="17">
        <v>20.309999999999999</v>
      </c>
      <c r="G804" s="17">
        <f t="shared" si="35"/>
        <v>25.43</v>
      </c>
      <c r="H804" s="187">
        <f t="shared" ref="H804:H819" si="36">ROUND(E804*G804,2)</f>
        <v>178.01</v>
      </c>
      <c r="I804" s="170">
        <f>H804/$H$960*100</f>
        <v>4.433227845870906E-2</v>
      </c>
    </row>
    <row r="805" spans="1:9" ht="12.75" hidden="1">
      <c r="A805" s="16"/>
      <c r="B805" s="49" t="s">
        <v>479</v>
      </c>
      <c r="C805" s="54"/>
      <c r="D805" s="32"/>
      <c r="E805" s="32"/>
      <c r="F805" s="172"/>
      <c r="G805" s="17">
        <f t="shared" si="35"/>
        <v>0</v>
      </c>
      <c r="H805" s="17">
        <f t="shared" si="36"/>
        <v>0</v>
      </c>
      <c r="I805" s="170"/>
    </row>
    <row r="806" spans="1:9" ht="12.75" hidden="1">
      <c r="A806" s="16"/>
      <c r="B806" s="49" t="s">
        <v>635</v>
      </c>
      <c r="C806" s="54"/>
      <c r="D806" s="32"/>
      <c r="E806" s="32">
        <v>1</v>
      </c>
      <c r="F806" s="172"/>
      <c r="G806" s="17">
        <f t="shared" si="35"/>
        <v>0</v>
      </c>
      <c r="H806" s="17">
        <f t="shared" si="36"/>
        <v>0</v>
      </c>
      <c r="I806" s="170"/>
    </row>
    <row r="807" spans="1:9" ht="12.75" hidden="1">
      <c r="A807" s="16"/>
      <c r="B807" s="49" t="s">
        <v>485</v>
      </c>
      <c r="C807" s="54"/>
      <c r="D807" s="32"/>
      <c r="E807" s="32"/>
      <c r="F807" s="172"/>
      <c r="G807" s="17">
        <f t="shared" si="35"/>
        <v>0</v>
      </c>
      <c r="H807" s="17">
        <f t="shared" si="36"/>
        <v>0</v>
      </c>
      <c r="I807" s="170"/>
    </row>
    <row r="808" spans="1:9" ht="12.75" hidden="1">
      <c r="A808" s="16"/>
      <c r="B808" s="49" t="s">
        <v>635</v>
      </c>
      <c r="C808" s="54"/>
      <c r="D808" s="32"/>
      <c r="E808" s="32">
        <v>1</v>
      </c>
      <c r="F808" s="172"/>
      <c r="G808" s="17">
        <f t="shared" si="35"/>
        <v>0</v>
      </c>
      <c r="H808" s="17">
        <f t="shared" si="36"/>
        <v>0</v>
      </c>
      <c r="I808" s="170"/>
    </row>
    <row r="809" spans="1:9" ht="12.75" hidden="1">
      <c r="A809" s="16"/>
      <c r="B809" s="51" t="s">
        <v>470</v>
      </c>
      <c r="C809" s="54"/>
      <c r="D809" s="32"/>
      <c r="E809" s="32"/>
      <c r="F809" s="172"/>
      <c r="G809" s="17">
        <f t="shared" si="35"/>
        <v>0</v>
      </c>
      <c r="H809" s="17">
        <f t="shared" si="36"/>
        <v>0</v>
      </c>
      <c r="I809" s="170"/>
    </row>
    <row r="810" spans="1:9" ht="12.75" hidden="1">
      <c r="A810" s="16"/>
      <c r="B810" s="49" t="s">
        <v>635</v>
      </c>
      <c r="C810" s="54"/>
      <c r="D810" s="32"/>
      <c r="E810" s="32">
        <v>1</v>
      </c>
      <c r="F810" s="172"/>
      <c r="G810" s="17">
        <f t="shared" si="35"/>
        <v>0</v>
      </c>
      <c r="H810" s="17">
        <f t="shared" si="36"/>
        <v>0</v>
      </c>
      <c r="I810" s="170"/>
    </row>
    <row r="811" spans="1:9" ht="12.75" hidden="1">
      <c r="A811" s="16"/>
      <c r="B811" s="49" t="s">
        <v>486</v>
      </c>
      <c r="C811" s="54"/>
      <c r="D811" s="32"/>
      <c r="E811" s="32"/>
      <c r="F811" s="172"/>
      <c r="G811" s="17">
        <f t="shared" si="35"/>
        <v>0</v>
      </c>
      <c r="H811" s="17">
        <f t="shared" si="36"/>
        <v>0</v>
      </c>
      <c r="I811" s="170"/>
    </row>
    <row r="812" spans="1:9" ht="12.75" hidden="1">
      <c r="A812" s="16"/>
      <c r="B812" s="49" t="s">
        <v>635</v>
      </c>
      <c r="C812" s="54"/>
      <c r="D812" s="32"/>
      <c r="E812" s="32">
        <v>1</v>
      </c>
      <c r="F812" s="172"/>
      <c r="G812" s="17">
        <f t="shared" si="35"/>
        <v>0</v>
      </c>
      <c r="H812" s="17">
        <f t="shared" si="36"/>
        <v>0</v>
      </c>
      <c r="I812" s="170"/>
    </row>
    <row r="813" spans="1:9" ht="12.75" hidden="1">
      <c r="A813" s="16"/>
      <c r="B813" s="51" t="s">
        <v>478</v>
      </c>
      <c r="C813" s="54"/>
      <c r="D813" s="32"/>
      <c r="E813" s="32"/>
      <c r="F813" s="172"/>
      <c r="G813" s="17">
        <f t="shared" si="35"/>
        <v>0</v>
      </c>
      <c r="H813" s="17">
        <f t="shared" si="36"/>
        <v>0</v>
      </c>
      <c r="I813" s="170"/>
    </row>
    <row r="814" spans="1:9" ht="12.75" hidden="1">
      <c r="A814" s="16"/>
      <c r="B814" s="49" t="s">
        <v>635</v>
      </c>
      <c r="C814" s="54"/>
      <c r="D814" s="32"/>
      <c r="E814" s="32">
        <v>1</v>
      </c>
      <c r="F814" s="172"/>
      <c r="G814" s="17">
        <f t="shared" si="35"/>
        <v>0</v>
      </c>
      <c r="H814" s="17">
        <f t="shared" si="36"/>
        <v>0</v>
      </c>
      <c r="I814" s="170"/>
    </row>
    <row r="815" spans="1:9" ht="12.75" hidden="1">
      <c r="A815" s="16"/>
      <c r="B815" s="51" t="s">
        <v>597</v>
      </c>
      <c r="C815" s="54"/>
      <c r="D815" s="32"/>
      <c r="E815" s="32"/>
      <c r="F815" s="172"/>
      <c r="G815" s="17">
        <f t="shared" si="35"/>
        <v>0</v>
      </c>
      <c r="H815" s="17">
        <f t="shared" si="36"/>
        <v>0</v>
      </c>
      <c r="I815" s="170"/>
    </row>
    <row r="816" spans="1:9" ht="12.75" hidden="1">
      <c r="A816" s="16"/>
      <c r="B816" s="49" t="s">
        <v>635</v>
      </c>
      <c r="C816" s="54"/>
      <c r="D816" s="32"/>
      <c r="E816" s="32">
        <v>1</v>
      </c>
      <c r="F816" s="172"/>
      <c r="G816" s="17">
        <f t="shared" si="35"/>
        <v>0</v>
      </c>
      <c r="H816" s="17">
        <f t="shared" si="36"/>
        <v>0</v>
      </c>
      <c r="I816" s="170"/>
    </row>
    <row r="817" spans="1:9" ht="12.75" hidden="1">
      <c r="A817" s="16"/>
      <c r="B817" s="51" t="s">
        <v>476</v>
      </c>
      <c r="C817" s="54"/>
      <c r="D817" s="32"/>
      <c r="E817" s="32"/>
      <c r="F817" s="172"/>
      <c r="G817" s="17">
        <f t="shared" si="35"/>
        <v>0</v>
      </c>
      <c r="H817" s="17">
        <f t="shared" si="36"/>
        <v>0</v>
      </c>
      <c r="I817" s="170"/>
    </row>
    <row r="818" spans="1:9" ht="12.75" hidden="1">
      <c r="A818" s="16"/>
      <c r="B818" s="49" t="s">
        <v>635</v>
      </c>
      <c r="C818" s="54"/>
      <c r="D818" s="32"/>
      <c r="E818" s="32">
        <v>1</v>
      </c>
      <c r="F818" s="172"/>
      <c r="G818" s="17">
        <f t="shared" si="35"/>
        <v>0</v>
      </c>
      <c r="H818" s="17">
        <f t="shared" si="36"/>
        <v>0</v>
      </c>
      <c r="I818" s="170"/>
    </row>
    <row r="819" spans="1:9" ht="12.75" hidden="1">
      <c r="A819" s="16"/>
      <c r="B819" s="24" t="s">
        <v>463</v>
      </c>
      <c r="C819" s="54"/>
      <c r="D819" s="32"/>
      <c r="E819" s="40">
        <f>SUM(E806:E818)</f>
        <v>7</v>
      </c>
      <c r="F819" s="172"/>
      <c r="G819" s="17">
        <f t="shared" si="35"/>
        <v>0</v>
      </c>
      <c r="H819" s="17">
        <f t="shared" si="36"/>
        <v>0</v>
      </c>
      <c r="I819" s="170"/>
    </row>
    <row r="820" spans="1:9" ht="12.75">
      <c r="A820" s="16" t="s">
        <v>696</v>
      </c>
      <c r="B820" s="19" t="s">
        <v>697</v>
      </c>
      <c r="C820" s="54"/>
      <c r="D820" s="32"/>
      <c r="E820" s="40"/>
      <c r="F820" s="172"/>
      <c r="G820" s="17"/>
      <c r="H820" s="17"/>
      <c r="I820" s="170"/>
    </row>
    <row r="821" spans="1:9" ht="12.75">
      <c r="A821" s="16" t="s">
        <v>46</v>
      </c>
      <c r="B821" s="77" t="s">
        <v>698</v>
      </c>
      <c r="C821" s="54" t="s">
        <v>152</v>
      </c>
      <c r="D821" s="16" t="s">
        <v>65</v>
      </c>
      <c r="E821" s="78">
        <v>3</v>
      </c>
      <c r="F821" s="184">
        <v>140.43</v>
      </c>
      <c r="G821" s="17">
        <f t="shared" si="35"/>
        <v>175.85</v>
      </c>
      <c r="H821" s="187">
        <f t="shared" ref="H821:H828" si="37">ROUND(E821*G821,2)</f>
        <v>527.54999999999995</v>
      </c>
      <c r="I821" s="170">
        <f t="shared" ref="I821:I829" si="38">H821/$H$960*100</f>
        <v>0.13138303185715386</v>
      </c>
    </row>
    <row r="822" spans="1:9" ht="12.75">
      <c r="A822" s="16" t="s">
        <v>47</v>
      </c>
      <c r="B822" s="77" t="s">
        <v>699</v>
      </c>
      <c r="C822" s="54" t="s">
        <v>3</v>
      </c>
      <c r="D822" s="16" t="s">
        <v>65</v>
      </c>
      <c r="E822" s="78">
        <v>3</v>
      </c>
      <c r="F822" s="184">
        <v>159.44</v>
      </c>
      <c r="G822" s="17">
        <f t="shared" si="35"/>
        <v>199.65</v>
      </c>
      <c r="H822" s="187">
        <f t="shared" si="37"/>
        <v>598.95000000000005</v>
      </c>
      <c r="I822" s="170">
        <f t="shared" si="38"/>
        <v>0.14916475581621139</v>
      </c>
    </row>
    <row r="823" spans="1:9" ht="12.75">
      <c r="A823" s="16" t="s">
        <v>48</v>
      </c>
      <c r="B823" s="77" t="s">
        <v>700</v>
      </c>
      <c r="C823" s="54" t="s">
        <v>4</v>
      </c>
      <c r="D823" s="16" t="s">
        <v>65</v>
      </c>
      <c r="E823" s="78">
        <v>3</v>
      </c>
      <c r="F823" s="184">
        <v>13.99</v>
      </c>
      <c r="G823" s="17">
        <f t="shared" si="35"/>
        <v>17.52</v>
      </c>
      <c r="H823" s="187">
        <f t="shared" si="37"/>
        <v>52.56</v>
      </c>
      <c r="I823" s="170">
        <f t="shared" si="38"/>
        <v>1.3089739653894433E-2</v>
      </c>
    </row>
    <row r="824" spans="1:9" ht="12.75">
      <c r="A824" s="16" t="s">
        <v>49</v>
      </c>
      <c r="B824" s="77" t="s">
        <v>701</v>
      </c>
      <c r="C824" s="54" t="s">
        <v>4</v>
      </c>
      <c r="D824" s="16" t="s">
        <v>65</v>
      </c>
      <c r="E824" s="78">
        <v>3</v>
      </c>
      <c r="F824" s="184">
        <v>13.99</v>
      </c>
      <c r="G824" s="17">
        <f t="shared" si="35"/>
        <v>17.52</v>
      </c>
      <c r="H824" s="187">
        <f t="shared" si="37"/>
        <v>52.56</v>
      </c>
      <c r="I824" s="170">
        <f t="shared" si="38"/>
        <v>1.3089739653894433E-2</v>
      </c>
    </row>
    <row r="825" spans="1:9" ht="12.75">
      <c r="A825" s="16" t="s">
        <v>50</v>
      </c>
      <c r="B825" s="77" t="s">
        <v>0</v>
      </c>
      <c r="C825" s="54" t="s">
        <v>4</v>
      </c>
      <c r="D825" s="16" t="s">
        <v>65</v>
      </c>
      <c r="E825" s="78">
        <v>2</v>
      </c>
      <c r="F825" s="184">
        <v>13.99</v>
      </c>
      <c r="G825" s="17">
        <f t="shared" si="35"/>
        <v>17.52</v>
      </c>
      <c r="H825" s="187">
        <f t="shared" si="37"/>
        <v>35.04</v>
      </c>
      <c r="I825" s="170">
        <f t="shared" si="38"/>
        <v>8.7264931025962892E-3</v>
      </c>
    </row>
    <row r="826" spans="1:9" ht="12.75">
      <c r="A826" s="16" t="s">
        <v>51</v>
      </c>
      <c r="B826" s="77" t="s">
        <v>1</v>
      </c>
      <c r="C826" s="54" t="s">
        <v>4</v>
      </c>
      <c r="D826" s="16" t="s">
        <v>65</v>
      </c>
      <c r="E826" s="78">
        <v>1</v>
      </c>
      <c r="F826" s="184">
        <v>13.99</v>
      </c>
      <c r="G826" s="17">
        <f t="shared" si="35"/>
        <v>17.52</v>
      </c>
      <c r="H826" s="187">
        <f t="shared" si="37"/>
        <v>17.52</v>
      </c>
      <c r="I826" s="170">
        <f t="shared" si="38"/>
        <v>4.3632465512981446E-3</v>
      </c>
    </row>
    <row r="827" spans="1:9" ht="12.75">
      <c r="A827" s="16" t="s">
        <v>52</v>
      </c>
      <c r="B827" s="77" t="s">
        <v>2</v>
      </c>
      <c r="C827" s="54" t="s">
        <v>4</v>
      </c>
      <c r="D827" s="16" t="s">
        <v>65</v>
      </c>
      <c r="E827" s="78">
        <v>3</v>
      </c>
      <c r="F827" s="184">
        <v>13.99</v>
      </c>
      <c r="G827" s="17">
        <f t="shared" si="35"/>
        <v>17.52</v>
      </c>
      <c r="H827" s="187">
        <f t="shared" si="37"/>
        <v>52.56</v>
      </c>
      <c r="I827" s="170">
        <f t="shared" si="38"/>
        <v>1.3089739653894433E-2</v>
      </c>
    </row>
    <row r="828" spans="1:9" ht="12.75">
      <c r="A828" s="16" t="s">
        <v>53</v>
      </c>
      <c r="B828" s="26" t="s">
        <v>721</v>
      </c>
      <c r="C828" s="164" t="s">
        <v>652</v>
      </c>
      <c r="D828" s="16" t="s">
        <v>65</v>
      </c>
      <c r="E828" s="17">
        <v>5</v>
      </c>
      <c r="F828" s="184">
        <v>44.83</v>
      </c>
      <c r="G828" s="17">
        <f t="shared" si="35"/>
        <v>56.14</v>
      </c>
      <c r="H828" s="187">
        <f t="shared" si="37"/>
        <v>280.7</v>
      </c>
      <c r="I828" s="170">
        <f t="shared" si="38"/>
        <v>6.9906581446882943E-2</v>
      </c>
    </row>
    <row r="829" spans="1:9" ht="12.75">
      <c r="A829" s="190" t="s">
        <v>111</v>
      </c>
      <c r="B829" s="190"/>
      <c r="C829" s="163"/>
      <c r="D829" s="23"/>
      <c r="E829" s="22"/>
      <c r="F829" s="22"/>
      <c r="G829" s="17"/>
      <c r="H829" s="22">
        <f>H828+H827+H826+H825+H824+H823+H822+H821+H804+H796+H790+H774+H770+H764+H756+H752+H746+H740+H735+H729+H713+H709+H701+H697+H696+H692+H684+H683+H682+H681+H665+H655+H645+H635+H625+H618+H602+H592+H582+H581+H580+H579</f>
        <v>30658.970000000005</v>
      </c>
      <c r="I829" s="170">
        <f t="shared" si="38"/>
        <v>7.6354249497062376</v>
      </c>
    </row>
    <row r="830" spans="1:9" ht="12.75">
      <c r="A830" s="23" t="s">
        <v>363</v>
      </c>
      <c r="B830" s="18" t="s">
        <v>72</v>
      </c>
      <c r="C830" s="163"/>
      <c r="D830" s="16"/>
      <c r="E830" s="17"/>
      <c r="F830" s="17"/>
      <c r="G830" s="17"/>
      <c r="H830" s="17"/>
      <c r="I830" s="170"/>
    </row>
    <row r="831" spans="1:9" ht="12.75">
      <c r="A831" s="16" t="s">
        <v>364</v>
      </c>
      <c r="B831" s="19" t="s">
        <v>780</v>
      </c>
      <c r="C831" s="164">
        <v>88414</v>
      </c>
      <c r="D831" s="38" t="s">
        <v>109</v>
      </c>
      <c r="E831" s="17">
        <v>200.65</v>
      </c>
      <c r="F831" s="184">
        <v>2.5499999999999998</v>
      </c>
      <c r="G831" s="17">
        <f t="shared" si="35"/>
        <v>3.19</v>
      </c>
      <c r="H831" s="187">
        <f t="shared" ref="H831:H851" si="39">ROUND(E831*G831,2)</f>
        <v>640.07000000000005</v>
      </c>
      <c r="I831" s="170">
        <f>H831/$H$960*100</f>
        <v>0.15940543493660977</v>
      </c>
    </row>
    <row r="832" spans="1:9" ht="12.75" hidden="1">
      <c r="A832" s="16"/>
      <c r="B832" s="55" t="s">
        <v>673</v>
      </c>
      <c r="C832" s="164"/>
      <c r="D832" s="38"/>
      <c r="E832" s="72">
        <f>E313</f>
        <v>200.65</v>
      </c>
      <c r="F832" s="17"/>
      <c r="G832" s="17">
        <f t="shared" si="35"/>
        <v>0</v>
      </c>
      <c r="H832" s="187">
        <f t="shared" si="39"/>
        <v>0</v>
      </c>
      <c r="I832" s="170"/>
    </row>
    <row r="833" spans="1:9" ht="25.5">
      <c r="A833" s="16" t="s">
        <v>365</v>
      </c>
      <c r="B833" s="26" t="s">
        <v>676</v>
      </c>
      <c r="C833" s="164">
        <v>88414</v>
      </c>
      <c r="D833" s="38" t="s">
        <v>109</v>
      </c>
      <c r="E833" s="17">
        <v>922.85</v>
      </c>
      <c r="F833" s="184">
        <v>2.5499999999999998</v>
      </c>
      <c r="G833" s="17">
        <f t="shared" si="35"/>
        <v>3.19</v>
      </c>
      <c r="H833" s="187">
        <f t="shared" si="39"/>
        <v>2943.89</v>
      </c>
      <c r="I833" s="170">
        <f>H833/$H$960*100</f>
        <v>0.73315741380714006</v>
      </c>
    </row>
    <row r="834" spans="1:9" ht="12.75" hidden="1">
      <c r="A834" s="16"/>
      <c r="B834" s="55" t="s">
        <v>677</v>
      </c>
      <c r="C834" s="164"/>
      <c r="D834" s="38"/>
      <c r="E834" s="72">
        <f>E307</f>
        <v>472.15</v>
      </c>
      <c r="F834" s="17"/>
      <c r="G834" s="17">
        <f t="shared" si="35"/>
        <v>0</v>
      </c>
      <c r="H834" s="187">
        <f t="shared" si="39"/>
        <v>0</v>
      </c>
      <c r="I834" s="170"/>
    </row>
    <row r="835" spans="1:9" ht="12.75" hidden="1">
      <c r="A835" s="16"/>
      <c r="B835" s="55" t="s">
        <v>678</v>
      </c>
      <c r="C835" s="164"/>
      <c r="D835" s="38"/>
      <c r="E835" s="72">
        <f>E311</f>
        <v>450.7</v>
      </c>
      <c r="F835" s="17"/>
      <c r="G835" s="17">
        <f t="shared" ref="G835:G898" si="40">ROUND(F835*1.2522,2)</f>
        <v>0</v>
      </c>
      <c r="H835" s="187">
        <f t="shared" si="39"/>
        <v>0</v>
      </c>
      <c r="I835" s="170"/>
    </row>
    <row r="836" spans="1:9" ht="12.75" hidden="1">
      <c r="A836" s="16"/>
      <c r="B836" s="24" t="s">
        <v>463</v>
      </c>
      <c r="C836" s="54"/>
      <c r="D836" s="32"/>
      <c r="E836" s="40">
        <f>SUM(E834:E835)</f>
        <v>922.84999999999991</v>
      </c>
      <c r="F836" s="17"/>
      <c r="G836" s="17">
        <f t="shared" si="40"/>
        <v>0</v>
      </c>
      <c r="H836" s="187">
        <f t="shared" si="39"/>
        <v>0</v>
      </c>
      <c r="I836" s="170"/>
    </row>
    <row r="837" spans="1:9" ht="25.5">
      <c r="A837" s="16" t="s">
        <v>366</v>
      </c>
      <c r="B837" s="26" t="s">
        <v>782</v>
      </c>
      <c r="C837" s="164" t="s">
        <v>781</v>
      </c>
      <c r="D837" s="38" t="s">
        <v>109</v>
      </c>
      <c r="E837" s="17">
        <v>200.65</v>
      </c>
      <c r="F837" s="184">
        <v>15.72</v>
      </c>
      <c r="G837" s="17">
        <f t="shared" si="40"/>
        <v>19.68</v>
      </c>
      <c r="H837" s="187">
        <f t="shared" si="39"/>
        <v>3948.79</v>
      </c>
      <c r="I837" s="170">
        <f>H837/$H$960*100</f>
        <v>0.98342148112446348</v>
      </c>
    </row>
    <row r="838" spans="1:9" ht="12.75" hidden="1">
      <c r="A838" s="16"/>
      <c r="B838" s="55" t="s">
        <v>674</v>
      </c>
      <c r="C838" s="164"/>
      <c r="D838" s="38"/>
      <c r="E838" s="72">
        <f>E313</f>
        <v>200.65</v>
      </c>
      <c r="F838" s="17"/>
      <c r="G838" s="17">
        <f t="shared" si="40"/>
        <v>0</v>
      </c>
      <c r="H838" s="187">
        <f t="shared" si="39"/>
        <v>0</v>
      </c>
      <c r="I838" s="170"/>
    </row>
    <row r="839" spans="1:9" ht="25.5">
      <c r="A839" s="16" t="s">
        <v>423</v>
      </c>
      <c r="B839" s="26" t="s">
        <v>783</v>
      </c>
      <c r="C839" s="164" t="s">
        <v>781</v>
      </c>
      <c r="D839" s="38" t="s">
        <v>109</v>
      </c>
      <c r="E839" s="17">
        <v>430.45</v>
      </c>
      <c r="F839" s="184">
        <v>15.72</v>
      </c>
      <c r="G839" s="17">
        <f t="shared" si="40"/>
        <v>19.68</v>
      </c>
      <c r="H839" s="187">
        <f t="shared" si="39"/>
        <v>8471.26</v>
      </c>
      <c r="I839" s="170">
        <f>H839/$H$960*100</f>
        <v>2.1097143824286486</v>
      </c>
    </row>
    <row r="840" spans="1:9" ht="25.5" hidden="1">
      <c r="A840" s="16"/>
      <c r="B840" s="26" t="s">
        <v>683</v>
      </c>
      <c r="C840" s="164"/>
      <c r="D840" s="38"/>
      <c r="E840" s="72"/>
      <c r="F840" s="17"/>
      <c r="G840" s="17">
        <f t="shared" si="40"/>
        <v>0</v>
      </c>
      <c r="H840" s="187">
        <f t="shared" si="39"/>
        <v>0</v>
      </c>
      <c r="I840" s="170"/>
    </row>
    <row r="841" spans="1:9" ht="12.75" hidden="1">
      <c r="A841" s="16"/>
      <c r="B841" s="49" t="s">
        <v>684</v>
      </c>
      <c r="C841" s="54"/>
      <c r="D841" s="32"/>
      <c r="E841" s="32">
        <f>472.15-41.7</f>
        <v>430.45</v>
      </c>
      <c r="F841" s="17"/>
      <c r="G841" s="17">
        <f t="shared" si="40"/>
        <v>0</v>
      </c>
      <c r="H841" s="187">
        <f t="shared" si="39"/>
        <v>0</v>
      </c>
      <c r="I841" s="170"/>
    </row>
    <row r="842" spans="1:9" ht="25.5">
      <c r="A842" s="16" t="s">
        <v>424</v>
      </c>
      <c r="B842" s="180" t="s">
        <v>809</v>
      </c>
      <c r="C842" s="164">
        <v>88486</v>
      </c>
      <c r="D842" s="38" t="s">
        <v>109</v>
      </c>
      <c r="E842" s="17">
        <v>200.65</v>
      </c>
      <c r="F842" s="184">
        <v>7.18</v>
      </c>
      <c r="G842" s="17">
        <f t="shared" si="40"/>
        <v>8.99</v>
      </c>
      <c r="H842" s="187">
        <f t="shared" si="39"/>
        <v>1803.84</v>
      </c>
      <c r="I842" s="170">
        <f>H842/$H$960*100</f>
        <v>0.44923508328160072</v>
      </c>
    </row>
    <row r="843" spans="1:9" ht="12.75" hidden="1">
      <c r="A843" s="16"/>
      <c r="B843" s="19" t="s">
        <v>679</v>
      </c>
      <c r="C843" s="164"/>
      <c r="D843" s="38"/>
      <c r="E843" s="72">
        <f>E837</f>
        <v>200.65</v>
      </c>
      <c r="F843" s="17"/>
      <c r="G843" s="17">
        <f t="shared" si="40"/>
        <v>0</v>
      </c>
      <c r="H843" s="187">
        <f t="shared" si="39"/>
        <v>0</v>
      </c>
      <c r="I843" s="170"/>
    </row>
    <row r="844" spans="1:9" ht="12.75">
      <c r="A844" s="16" t="s">
        <v>425</v>
      </c>
      <c r="B844" s="27" t="s">
        <v>308</v>
      </c>
      <c r="C844" s="164">
        <v>88489</v>
      </c>
      <c r="D844" s="38" t="s">
        <v>109</v>
      </c>
      <c r="E844" s="17">
        <v>430.45</v>
      </c>
      <c r="F844" s="184">
        <v>8.15</v>
      </c>
      <c r="G844" s="17">
        <f t="shared" si="40"/>
        <v>10.210000000000001</v>
      </c>
      <c r="H844" s="187">
        <f t="shared" si="39"/>
        <v>4394.8900000000003</v>
      </c>
      <c r="I844" s="170">
        <f>H844/$H$960*100</f>
        <v>1.0945198993056338</v>
      </c>
    </row>
    <row r="845" spans="1:9" ht="12.75" hidden="1">
      <c r="A845" s="16"/>
      <c r="B845" s="19" t="s">
        <v>680</v>
      </c>
      <c r="C845" s="164"/>
      <c r="D845" s="38"/>
      <c r="E845" s="72">
        <f>E839</f>
        <v>430.45</v>
      </c>
      <c r="F845" s="17"/>
      <c r="G845" s="17">
        <f t="shared" si="40"/>
        <v>0</v>
      </c>
      <c r="H845" s="187">
        <f t="shared" si="39"/>
        <v>0</v>
      </c>
      <c r="I845" s="170"/>
    </row>
    <row r="846" spans="1:9" ht="12.75">
      <c r="A846" s="16" t="s">
        <v>426</v>
      </c>
      <c r="B846" s="176" t="s">
        <v>310</v>
      </c>
      <c r="C846" s="164">
        <v>88417</v>
      </c>
      <c r="D846" s="38" t="s">
        <v>109</v>
      </c>
      <c r="E846" s="17">
        <v>450.7</v>
      </c>
      <c r="F846" s="184">
        <v>15.16</v>
      </c>
      <c r="G846" s="17">
        <f t="shared" si="40"/>
        <v>18.98</v>
      </c>
      <c r="H846" s="187">
        <f t="shared" si="39"/>
        <v>8554.2900000000009</v>
      </c>
      <c r="I846" s="170">
        <f>H846/$H$960*100</f>
        <v>2.1303924852342582</v>
      </c>
    </row>
    <row r="847" spans="1:9" ht="12.75" hidden="1">
      <c r="A847" s="16"/>
      <c r="B847" s="19" t="s">
        <v>681</v>
      </c>
      <c r="C847" s="164"/>
      <c r="D847" s="16"/>
      <c r="E847" s="72">
        <f>E311</f>
        <v>450.7</v>
      </c>
      <c r="F847" s="17"/>
      <c r="G847" s="17">
        <f t="shared" si="40"/>
        <v>0</v>
      </c>
      <c r="H847" s="187">
        <f t="shared" si="39"/>
        <v>0</v>
      </c>
      <c r="I847" s="170"/>
    </row>
    <row r="848" spans="1:9" ht="38.25">
      <c r="A848" s="16" t="s">
        <v>427</v>
      </c>
      <c r="B848" s="175" t="s">
        <v>298</v>
      </c>
      <c r="C848" s="164">
        <v>84647</v>
      </c>
      <c r="D848" s="38" t="s">
        <v>109</v>
      </c>
      <c r="E848" s="17">
        <v>41.7</v>
      </c>
      <c r="F848" s="184">
        <v>98.56</v>
      </c>
      <c r="G848" s="17">
        <f t="shared" si="40"/>
        <v>123.42</v>
      </c>
      <c r="H848" s="187">
        <f t="shared" si="39"/>
        <v>5146.6099999999997</v>
      </c>
      <c r="I848" s="170">
        <f>H848/$H$960*100</f>
        <v>1.2817310692566519</v>
      </c>
    </row>
    <row r="849" spans="1:9" s="52" customFormat="1" ht="12.75" hidden="1">
      <c r="A849" s="16"/>
      <c r="B849" s="51" t="s">
        <v>476</v>
      </c>
      <c r="C849" s="54"/>
      <c r="D849" s="32"/>
      <c r="E849" s="32"/>
      <c r="F849" s="172"/>
      <c r="G849" s="17">
        <f t="shared" si="40"/>
        <v>0</v>
      </c>
      <c r="H849" s="187">
        <f t="shared" si="39"/>
        <v>0</v>
      </c>
      <c r="I849" s="170"/>
    </row>
    <row r="850" spans="1:9" s="52" customFormat="1" ht="12.75" hidden="1">
      <c r="A850" s="16"/>
      <c r="B850" s="49" t="s">
        <v>579</v>
      </c>
      <c r="C850" s="54"/>
      <c r="D850" s="32"/>
      <c r="E850" s="79">
        <f>(3.6+3.35)*2*3</f>
        <v>41.7</v>
      </c>
      <c r="F850" s="172"/>
      <c r="G850" s="17">
        <f t="shared" si="40"/>
        <v>0</v>
      </c>
      <c r="H850" s="187">
        <f t="shared" si="39"/>
        <v>0</v>
      </c>
      <c r="I850" s="170"/>
    </row>
    <row r="851" spans="1:9" ht="38.25">
      <c r="A851" s="16" t="s">
        <v>428</v>
      </c>
      <c r="B851" s="26" t="s">
        <v>297</v>
      </c>
      <c r="C851" s="164" t="s">
        <v>174</v>
      </c>
      <c r="D851" s="38" t="s">
        <v>109</v>
      </c>
      <c r="E851" s="17">
        <v>75.12</v>
      </c>
      <c r="F851" s="184">
        <v>16.37</v>
      </c>
      <c r="G851" s="17">
        <f t="shared" si="40"/>
        <v>20.5</v>
      </c>
      <c r="H851" s="187">
        <f t="shared" si="39"/>
        <v>1539.96</v>
      </c>
      <c r="I851" s="170">
        <f>H851/$H$960*100</f>
        <v>0.38351741775896636</v>
      </c>
    </row>
    <row r="852" spans="1:9" s="52" customFormat="1" ht="12.75" hidden="1" customHeight="1">
      <c r="A852" s="33"/>
      <c r="B852" s="49" t="s">
        <v>689</v>
      </c>
      <c r="C852" s="54"/>
      <c r="D852" s="32"/>
      <c r="E852" s="32"/>
      <c r="F852" s="172"/>
      <c r="G852" s="17">
        <f t="shared" si="40"/>
        <v>0</v>
      </c>
      <c r="H852" s="32"/>
      <c r="I852" s="170"/>
    </row>
    <row r="853" spans="1:9" s="52" customFormat="1" ht="12.75" hidden="1" customHeight="1">
      <c r="A853" s="33"/>
      <c r="B853" s="49" t="s">
        <v>688</v>
      </c>
      <c r="C853" s="54"/>
      <c r="D853" s="32"/>
      <c r="E853" s="183">
        <f>0.55*1.8*4*2</f>
        <v>7.9200000000000008</v>
      </c>
      <c r="F853" s="172"/>
      <c r="G853" s="17">
        <f t="shared" si="40"/>
        <v>0</v>
      </c>
      <c r="H853" s="32"/>
      <c r="I853" s="170"/>
    </row>
    <row r="854" spans="1:9" s="52" customFormat="1" ht="12.75" hidden="1" customHeight="1">
      <c r="A854" s="81" t="s">
        <v>643</v>
      </c>
      <c r="B854" s="49" t="s">
        <v>690</v>
      </c>
      <c r="C854" s="54"/>
      <c r="D854" s="32"/>
      <c r="E854" s="32"/>
      <c r="F854" s="172"/>
      <c r="G854" s="17">
        <f t="shared" si="40"/>
        <v>0</v>
      </c>
      <c r="H854" s="32"/>
      <c r="I854" s="170"/>
    </row>
    <row r="855" spans="1:9" s="52" customFormat="1" ht="12.75" hidden="1" customHeight="1">
      <c r="A855" s="33"/>
      <c r="B855" s="49" t="s">
        <v>691</v>
      </c>
      <c r="C855" s="54"/>
      <c r="D855" s="32"/>
      <c r="E855" s="183">
        <f>0.8*2.1*9*2.5</f>
        <v>37.800000000000004</v>
      </c>
      <c r="F855" s="172"/>
      <c r="G855" s="17">
        <f t="shared" si="40"/>
        <v>0</v>
      </c>
      <c r="H855" s="32"/>
      <c r="I855" s="170"/>
    </row>
    <row r="856" spans="1:9" s="52" customFormat="1" ht="12.75" hidden="1" customHeight="1">
      <c r="A856" s="33"/>
      <c r="B856" s="49" t="s">
        <v>692</v>
      </c>
      <c r="C856" s="54"/>
      <c r="D856" s="32"/>
      <c r="E856" s="32"/>
      <c r="F856" s="172"/>
      <c r="G856" s="17">
        <f t="shared" si="40"/>
        <v>0</v>
      </c>
      <c r="H856" s="32"/>
      <c r="I856" s="170"/>
    </row>
    <row r="857" spans="1:9" s="52" customFormat="1" ht="12.75" hidden="1" customHeight="1">
      <c r="A857" s="33"/>
      <c r="B857" s="49" t="s">
        <v>693</v>
      </c>
      <c r="C857" s="54"/>
      <c r="D857" s="32"/>
      <c r="E857" s="183">
        <f>1.2*2.1*2*2.5</f>
        <v>12.6</v>
      </c>
      <c r="F857" s="172"/>
      <c r="G857" s="17">
        <f t="shared" si="40"/>
        <v>0</v>
      </c>
      <c r="H857" s="32"/>
      <c r="I857" s="170"/>
    </row>
    <row r="858" spans="1:9" s="52" customFormat="1" ht="12.75" hidden="1" customHeight="1">
      <c r="A858" s="33"/>
      <c r="B858" s="49" t="s">
        <v>694</v>
      </c>
      <c r="C858" s="54"/>
      <c r="D858" s="32"/>
      <c r="E858" s="32"/>
      <c r="F858" s="172"/>
      <c r="G858" s="17">
        <f t="shared" si="40"/>
        <v>0</v>
      </c>
      <c r="H858" s="32"/>
      <c r="I858" s="170"/>
    </row>
    <row r="859" spans="1:9" s="52" customFormat="1" ht="12.75" hidden="1" customHeight="1">
      <c r="A859" s="33"/>
      <c r="B859" s="49" t="s">
        <v>695</v>
      </c>
      <c r="C859" s="54"/>
      <c r="D859" s="32"/>
      <c r="E859" s="183">
        <f>1.6*2.1*2*2.5</f>
        <v>16.8</v>
      </c>
      <c r="F859" s="172"/>
      <c r="G859" s="17">
        <f t="shared" si="40"/>
        <v>0</v>
      </c>
      <c r="H859" s="32"/>
      <c r="I859" s="170"/>
    </row>
    <row r="860" spans="1:9" s="52" customFormat="1" ht="12.75" hidden="1" customHeight="1">
      <c r="A860" s="33"/>
      <c r="B860" s="24" t="s">
        <v>463</v>
      </c>
      <c r="C860" s="54"/>
      <c r="D860" s="32"/>
      <c r="E860" s="40">
        <f>SUM(E853:E859)</f>
        <v>75.12</v>
      </c>
      <c r="F860" s="172"/>
      <c r="G860" s="17">
        <f t="shared" si="40"/>
        <v>0</v>
      </c>
      <c r="H860" s="32"/>
      <c r="I860" s="170"/>
    </row>
    <row r="861" spans="1:9" ht="12.75">
      <c r="A861" s="190" t="s">
        <v>111</v>
      </c>
      <c r="B861" s="190"/>
      <c r="C861" s="163"/>
      <c r="D861" s="23"/>
      <c r="E861" s="22"/>
      <c r="F861" s="22"/>
      <c r="G861" s="17"/>
      <c r="H861" s="22">
        <f>H831+H833+H837+H839+H842+H844+H846+H848+H851</f>
        <v>37443.599999999999</v>
      </c>
      <c r="I861" s="170">
        <f>H861/$H$960*100</f>
        <v>9.3250946671339729</v>
      </c>
    </row>
    <row r="862" spans="1:9" s="30" customFormat="1" ht="12.75">
      <c r="A862" s="35" t="s">
        <v>367</v>
      </c>
      <c r="B862" s="36" t="s">
        <v>120</v>
      </c>
      <c r="C862" s="165"/>
      <c r="D862" s="38"/>
      <c r="E862" s="39"/>
      <c r="F862" s="17"/>
      <c r="G862" s="17"/>
      <c r="H862" s="40"/>
      <c r="I862" s="170"/>
    </row>
    <row r="863" spans="1:9" s="30" customFormat="1" ht="25.5">
      <c r="A863" s="33" t="s">
        <v>368</v>
      </c>
      <c r="B863" s="41" t="s">
        <v>719</v>
      </c>
      <c r="C863" s="54" t="s">
        <v>754</v>
      </c>
      <c r="D863" s="33" t="s">
        <v>109</v>
      </c>
      <c r="E863" s="32">
        <v>16.14</v>
      </c>
      <c r="F863" s="172">
        <v>156.69999999999999</v>
      </c>
      <c r="G863" s="17">
        <f t="shared" si="40"/>
        <v>196.22</v>
      </c>
      <c r="H863" s="187">
        <f t="shared" ref="H863:H907" si="41">ROUND(E863*G863,2)</f>
        <v>3166.99</v>
      </c>
      <c r="I863" s="170">
        <f>H863/$H$960*100</f>
        <v>0.78871907508537142</v>
      </c>
    </row>
    <row r="864" spans="1:9" ht="12.75" hidden="1">
      <c r="A864" s="16"/>
      <c r="B864" s="51" t="s">
        <v>470</v>
      </c>
      <c r="C864" s="54"/>
      <c r="D864" s="32"/>
      <c r="E864" s="32"/>
      <c r="F864" s="172"/>
      <c r="G864" s="17">
        <f t="shared" si="40"/>
        <v>0</v>
      </c>
      <c r="H864" s="187">
        <f t="shared" si="41"/>
        <v>0</v>
      </c>
      <c r="I864" s="170"/>
    </row>
    <row r="865" spans="1:9" ht="12.75" hidden="1">
      <c r="A865" s="16"/>
      <c r="B865" s="51" t="s">
        <v>5</v>
      </c>
      <c r="C865" s="54"/>
      <c r="D865" s="32"/>
      <c r="E865" s="32"/>
      <c r="F865" s="172"/>
      <c r="G865" s="17">
        <f t="shared" si="40"/>
        <v>0</v>
      </c>
      <c r="H865" s="187">
        <f t="shared" si="41"/>
        <v>0</v>
      </c>
      <c r="I865" s="170"/>
    </row>
    <row r="866" spans="1:9" ht="12.75" hidden="1">
      <c r="A866" s="16"/>
      <c r="B866" s="49" t="s">
        <v>6</v>
      </c>
      <c r="C866" s="54"/>
      <c r="D866" s="32"/>
      <c r="E866" s="32">
        <f>1.2*0.85</f>
        <v>1.02</v>
      </c>
      <c r="F866" s="172"/>
      <c r="G866" s="17">
        <f t="shared" si="40"/>
        <v>0</v>
      </c>
      <c r="H866" s="187">
        <f t="shared" si="41"/>
        <v>0</v>
      </c>
      <c r="I866" s="170"/>
    </row>
    <row r="867" spans="1:9" s="30" customFormat="1" ht="12.75" hidden="1">
      <c r="A867" s="33"/>
      <c r="B867" s="41" t="s">
        <v>7</v>
      </c>
      <c r="C867" s="166"/>
      <c r="D867" s="33"/>
      <c r="E867" s="32"/>
      <c r="F867" s="172"/>
      <c r="G867" s="17">
        <f t="shared" si="40"/>
        <v>0</v>
      </c>
      <c r="H867" s="187">
        <f t="shared" si="41"/>
        <v>0</v>
      </c>
      <c r="I867" s="170"/>
    </row>
    <row r="868" spans="1:9" s="30" customFormat="1" ht="12.75" hidden="1">
      <c r="A868" s="33"/>
      <c r="B868" s="49" t="s">
        <v>8</v>
      </c>
      <c r="C868" s="166"/>
      <c r="D868" s="33"/>
      <c r="E868" s="32">
        <f>2.06*0.85</f>
        <v>1.7509999999999999</v>
      </c>
      <c r="F868" s="172"/>
      <c r="G868" s="17">
        <f t="shared" si="40"/>
        <v>0</v>
      </c>
      <c r="H868" s="187">
        <f t="shared" si="41"/>
        <v>0</v>
      </c>
      <c r="I868" s="170"/>
    </row>
    <row r="869" spans="1:9" ht="12.75" hidden="1">
      <c r="A869" s="16"/>
      <c r="B869" s="49" t="s">
        <v>486</v>
      </c>
      <c r="C869" s="54"/>
      <c r="D869" s="32"/>
      <c r="E869" s="32"/>
      <c r="F869" s="172"/>
      <c r="G869" s="17">
        <f t="shared" si="40"/>
        <v>0</v>
      </c>
      <c r="H869" s="187">
        <f t="shared" si="41"/>
        <v>0</v>
      </c>
      <c r="I869" s="170"/>
    </row>
    <row r="870" spans="1:9" ht="12.75" hidden="1">
      <c r="A870" s="16"/>
      <c r="B870" s="49" t="s">
        <v>9</v>
      </c>
      <c r="C870" s="54"/>
      <c r="D870" s="32"/>
      <c r="E870" s="32">
        <f>1.7*0.85</f>
        <v>1.4449999999999998</v>
      </c>
      <c r="F870" s="172"/>
      <c r="G870" s="17">
        <f t="shared" si="40"/>
        <v>0</v>
      </c>
      <c r="H870" s="187">
        <f t="shared" si="41"/>
        <v>0</v>
      </c>
      <c r="I870" s="170"/>
    </row>
    <row r="871" spans="1:9" ht="12.75" hidden="1">
      <c r="A871" s="16"/>
      <c r="B871" s="51" t="s">
        <v>478</v>
      </c>
      <c r="C871" s="54"/>
      <c r="D871" s="32"/>
      <c r="E871" s="32"/>
      <c r="F871" s="172"/>
      <c r="G871" s="17">
        <f t="shared" si="40"/>
        <v>0</v>
      </c>
      <c r="H871" s="187">
        <f t="shared" si="41"/>
        <v>0</v>
      </c>
      <c r="I871" s="170"/>
    </row>
    <row r="872" spans="1:9" ht="12.75" hidden="1">
      <c r="A872" s="16"/>
      <c r="B872" s="49" t="s">
        <v>10</v>
      </c>
      <c r="C872" s="54"/>
      <c r="D872" s="32"/>
      <c r="E872" s="32">
        <f>3.6*0.85</f>
        <v>3.06</v>
      </c>
      <c r="F872" s="172"/>
      <c r="G872" s="17">
        <f t="shared" si="40"/>
        <v>0</v>
      </c>
      <c r="H872" s="187">
        <f t="shared" si="41"/>
        <v>0</v>
      </c>
      <c r="I872" s="170"/>
    </row>
    <row r="873" spans="1:9" ht="12.75" hidden="1">
      <c r="A873" s="16"/>
      <c r="B873" s="51" t="s">
        <v>476</v>
      </c>
      <c r="C873" s="54"/>
      <c r="D873" s="32"/>
      <c r="E873" s="32"/>
      <c r="F873" s="172"/>
      <c r="G873" s="17">
        <f t="shared" si="40"/>
        <v>0</v>
      </c>
      <c r="H873" s="187">
        <f t="shared" si="41"/>
        <v>0</v>
      </c>
      <c r="I873" s="170"/>
    </row>
    <row r="874" spans="1:9" ht="12.75" hidden="1">
      <c r="A874" s="16"/>
      <c r="B874" s="49" t="s">
        <v>11</v>
      </c>
      <c r="C874" s="54"/>
      <c r="D874" s="32"/>
      <c r="E874" s="32">
        <f>(3+3.35)*0.85</f>
        <v>5.3975</v>
      </c>
      <c r="F874" s="172"/>
      <c r="G874" s="17">
        <f t="shared" si="40"/>
        <v>0</v>
      </c>
      <c r="H874" s="187">
        <f t="shared" si="41"/>
        <v>0</v>
      </c>
      <c r="I874" s="170"/>
    </row>
    <row r="875" spans="1:9" ht="12.75" hidden="1">
      <c r="A875" s="16"/>
      <c r="B875" s="51" t="s">
        <v>474</v>
      </c>
      <c r="C875" s="54"/>
      <c r="D875" s="32"/>
      <c r="E875" s="32"/>
      <c r="F875" s="172"/>
      <c r="G875" s="17">
        <f t="shared" si="40"/>
        <v>0</v>
      </c>
      <c r="H875" s="187">
        <f t="shared" si="41"/>
        <v>0</v>
      </c>
      <c r="I875" s="170"/>
    </row>
    <row r="876" spans="1:9" ht="12.75" hidden="1">
      <c r="A876" s="16"/>
      <c r="B876" s="49" t="s">
        <v>12</v>
      </c>
      <c r="C876" s="54"/>
      <c r="D876" s="32"/>
      <c r="E876" s="32">
        <f>(1.85+2.23)*0.85</f>
        <v>3.468</v>
      </c>
      <c r="F876" s="172"/>
      <c r="G876" s="17">
        <f t="shared" si="40"/>
        <v>0</v>
      </c>
      <c r="H876" s="187">
        <f t="shared" si="41"/>
        <v>0</v>
      </c>
      <c r="I876" s="170"/>
    </row>
    <row r="877" spans="1:9" s="30" customFormat="1" ht="12.75" hidden="1">
      <c r="A877" s="33"/>
      <c r="B877" s="24" t="s">
        <v>463</v>
      </c>
      <c r="C877" s="54"/>
      <c r="D877" s="32"/>
      <c r="E877" s="40">
        <f>SUM(E866:E876)</f>
        <v>16.141500000000001</v>
      </c>
      <c r="F877" s="172"/>
      <c r="G877" s="17">
        <f t="shared" si="40"/>
        <v>0</v>
      </c>
      <c r="H877" s="187">
        <f t="shared" si="41"/>
        <v>0</v>
      </c>
      <c r="I877" s="170"/>
    </row>
    <row r="878" spans="1:9" s="30" customFormat="1" ht="63.75">
      <c r="A878" s="33" t="s">
        <v>369</v>
      </c>
      <c r="B878" s="41" t="s">
        <v>806</v>
      </c>
      <c r="C878" s="54">
        <v>72138</v>
      </c>
      <c r="D878" s="33" t="s">
        <v>109</v>
      </c>
      <c r="E878" s="32">
        <v>3.4</v>
      </c>
      <c r="F878" s="184">
        <v>419.03</v>
      </c>
      <c r="G878" s="17">
        <f t="shared" si="40"/>
        <v>524.71</v>
      </c>
      <c r="H878" s="187">
        <f t="shared" si="41"/>
        <v>1784.01</v>
      </c>
      <c r="I878" s="170">
        <f>H878/$H$829*100</f>
        <v>5.8188843265119461</v>
      </c>
    </row>
    <row r="879" spans="1:9" ht="12.75" hidden="1">
      <c r="A879" s="16"/>
      <c r="B879" s="49" t="s">
        <v>479</v>
      </c>
      <c r="C879" s="54"/>
      <c r="D879" s="32"/>
      <c r="E879" s="32"/>
      <c r="F879" s="172"/>
      <c r="G879" s="17">
        <f t="shared" si="40"/>
        <v>0</v>
      </c>
      <c r="H879" s="187">
        <f t="shared" si="41"/>
        <v>0</v>
      </c>
      <c r="I879" s="170"/>
    </row>
    <row r="880" spans="1:9" ht="12.75" hidden="1">
      <c r="A880" s="16"/>
      <c r="B880" s="49" t="s">
        <v>14</v>
      </c>
      <c r="C880" s="54"/>
      <c r="D880" s="32"/>
      <c r="E880" s="32">
        <f>1.4*1</f>
        <v>1.4</v>
      </c>
      <c r="F880" s="172"/>
      <c r="G880" s="17">
        <f t="shared" si="40"/>
        <v>0</v>
      </c>
      <c r="H880" s="187">
        <f t="shared" si="41"/>
        <v>0</v>
      </c>
      <c r="I880" s="170"/>
    </row>
    <row r="881" spans="1:9" ht="12.75" hidden="1">
      <c r="A881" s="16"/>
      <c r="B881" s="49" t="s">
        <v>485</v>
      </c>
      <c r="C881" s="54"/>
      <c r="D881" s="32"/>
      <c r="E881" s="32"/>
      <c r="F881" s="172"/>
      <c r="G881" s="17">
        <f t="shared" si="40"/>
        <v>0</v>
      </c>
      <c r="H881" s="187">
        <f t="shared" si="41"/>
        <v>0</v>
      </c>
      <c r="I881" s="170"/>
    </row>
    <row r="882" spans="1:9" ht="12.75" hidden="1">
      <c r="A882" s="16"/>
      <c r="B882" s="49" t="s">
        <v>14</v>
      </c>
      <c r="C882" s="54"/>
      <c r="D882" s="32"/>
      <c r="E882" s="32">
        <f>1.4*1</f>
        <v>1.4</v>
      </c>
      <c r="F882" s="172"/>
      <c r="G882" s="17">
        <f t="shared" si="40"/>
        <v>0</v>
      </c>
      <c r="H882" s="187">
        <f t="shared" si="41"/>
        <v>0</v>
      </c>
      <c r="I882" s="170"/>
    </row>
    <row r="883" spans="1:9" ht="12.75" hidden="1">
      <c r="A883" s="16"/>
      <c r="B883" s="51" t="s">
        <v>597</v>
      </c>
      <c r="C883" s="54"/>
      <c r="D883" s="32"/>
      <c r="E883" s="32"/>
      <c r="F883" s="172"/>
      <c r="G883" s="17">
        <f t="shared" si="40"/>
        <v>0</v>
      </c>
      <c r="H883" s="187">
        <f t="shared" si="41"/>
        <v>0</v>
      </c>
      <c r="I883" s="170"/>
    </row>
    <row r="884" spans="1:9" ht="12.75" hidden="1">
      <c r="A884" s="16"/>
      <c r="B884" s="49" t="s">
        <v>13</v>
      </c>
      <c r="C884" s="54"/>
      <c r="D884" s="32"/>
      <c r="E884" s="32">
        <f>0.6*1</f>
        <v>0.6</v>
      </c>
      <c r="F884" s="172"/>
      <c r="G884" s="17">
        <f t="shared" si="40"/>
        <v>0</v>
      </c>
      <c r="H884" s="187">
        <f t="shared" si="41"/>
        <v>0</v>
      </c>
      <c r="I884" s="170"/>
    </row>
    <row r="885" spans="1:9" s="30" customFormat="1" ht="12.75" hidden="1">
      <c r="A885" s="33"/>
      <c r="B885" s="24" t="s">
        <v>463</v>
      </c>
      <c r="C885" s="54"/>
      <c r="D885" s="32"/>
      <c r="E885" s="40">
        <f>SUM(E880:E884)</f>
        <v>3.4</v>
      </c>
      <c r="F885" s="172"/>
      <c r="G885" s="17">
        <f t="shared" si="40"/>
        <v>0</v>
      </c>
      <c r="H885" s="187">
        <f t="shared" si="41"/>
        <v>0</v>
      </c>
      <c r="I885" s="170"/>
    </row>
    <row r="886" spans="1:9" s="30" customFormat="1" ht="25.5">
      <c r="A886" s="33" t="s">
        <v>370</v>
      </c>
      <c r="B886" s="25" t="s">
        <v>269</v>
      </c>
      <c r="C886" s="54" t="s">
        <v>807</v>
      </c>
      <c r="D886" s="33" t="s">
        <v>81</v>
      </c>
      <c r="E886" s="32">
        <v>9.1199999999999992</v>
      </c>
      <c r="F886" s="172">
        <v>268.36</v>
      </c>
      <c r="G886" s="17">
        <f t="shared" si="40"/>
        <v>336.04</v>
      </c>
      <c r="H886" s="187">
        <f t="shared" si="41"/>
        <v>3064.68</v>
      </c>
      <c r="I886" s="170">
        <f>H886/$H$829*100</f>
        <v>9.9960305254873187</v>
      </c>
    </row>
    <row r="887" spans="1:9" s="30" customFormat="1" ht="12.75" hidden="1">
      <c r="A887" s="16"/>
      <c r="B887" s="51" t="s">
        <v>470</v>
      </c>
      <c r="C887" s="54"/>
      <c r="D887" s="32"/>
      <c r="E887" s="32"/>
      <c r="F887" s="172"/>
      <c r="G887" s="17">
        <f t="shared" si="40"/>
        <v>0</v>
      </c>
      <c r="H887" s="187">
        <f t="shared" si="41"/>
        <v>0</v>
      </c>
      <c r="I887" s="170"/>
    </row>
    <row r="888" spans="1:9" s="30" customFormat="1" ht="12.75" hidden="1">
      <c r="A888" s="16"/>
      <c r="B888" s="51" t="s">
        <v>15</v>
      </c>
      <c r="C888" s="54"/>
      <c r="D888" s="32"/>
      <c r="E888" s="32"/>
      <c r="F888" s="172"/>
      <c r="G888" s="17">
        <f t="shared" si="40"/>
        <v>0</v>
      </c>
      <c r="H888" s="187">
        <f t="shared" si="41"/>
        <v>0</v>
      </c>
      <c r="I888" s="170"/>
    </row>
    <row r="889" spans="1:9" s="30" customFormat="1" ht="12.75" hidden="1">
      <c r="A889" s="16"/>
      <c r="B889" s="49" t="s">
        <v>16</v>
      </c>
      <c r="C889" s="54"/>
      <c r="D889" s="32"/>
      <c r="E889" s="32">
        <f>2.06*0.6</f>
        <v>1.236</v>
      </c>
      <c r="F889" s="172"/>
      <c r="G889" s="17">
        <f t="shared" si="40"/>
        <v>0</v>
      </c>
      <c r="H889" s="187">
        <f t="shared" si="41"/>
        <v>0</v>
      </c>
      <c r="I889" s="170"/>
    </row>
    <row r="890" spans="1:9" s="30" customFormat="1" ht="12.75" hidden="1">
      <c r="A890" s="33"/>
      <c r="B890" s="41" t="s">
        <v>17</v>
      </c>
      <c r="C890" s="166"/>
      <c r="D890" s="33"/>
      <c r="E890" s="32"/>
      <c r="F890" s="172"/>
      <c r="G890" s="17">
        <f t="shared" si="40"/>
        <v>0</v>
      </c>
      <c r="H890" s="187">
        <f t="shared" si="41"/>
        <v>0</v>
      </c>
      <c r="I890" s="170"/>
    </row>
    <row r="891" spans="1:9" s="30" customFormat="1" ht="12.75" hidden="1">
      <c r="A891" s="33"/>
      <c r="B891" s="49" t="s">
        <v>18</v>
      </c>
      <c r="C891" s="166"/>
      <c r="D891" s="33"/>
      <c r="E891" s="32">
        <f>2.06*0.35</f>
        <v>0.72099999999999997</v>
      </c>
      <c r="F891" s="172"/>
      <c r="G891" s="17">
        <f t="shared" si="40"/>
        <v>0</v>
      </c>
      <c r="H891" s="187">
        <f t="shared" si="41"/>
        <v>0</v>
      </c>
      <c r="I891" s="170"/>
    </row>
    <row r="892" spans="1:9" s="30" customFormat="1" ht="12.75" hidden="1">
      <c r="A892" s="16"/>
      <c r="B892" s="49" t="s">
        <v>486</v>
      </c>
      <c r="C892" s="54"/>
      <c r="D892" s="32"/>
      <c r="E892" s="32"/>
      <c r="F892" s="172"/>
      <c r="G892" s="17">
        <f t="shared" si="40"/>
        <v>0</v>
      </c>
      <c r="H892" s="187">
        <f t="shared" si="41"/>
        <v>0</v>
      </c>
      <c r="I892" s="170"/>
    </row>
    <row r="893" spans="1:9" s="30" customFormat="1" ht="12.75" hidden="1">
      <c r="A893" s="16"/>
      <c r="B893" s="49" t="s">
        <v>19</v>
      </c>
      <c r="C893" s="54"/>
      <c r="D893" s="32"/>
      <c r="E893" s="32">
        <f>1.7*0.6</f>
        <v>1.02</v>
      </c>
      <c r="F893" s="172"/>
      <c r="G893" s="17">
        <f t="shared" si="40"/>
        <v>0</v>
      </c>
      <c r="H893" s="187">
        <f t="shared" si="41"/>
        <v>0</v>
      </c>
      <c r="I893" s="170"/>
    </row>
    <row r="894" spans="1:9" ht="12.75" hidden="1">
      <c r="A894" s="16"/>
      <c r="B894" s="49" t="s">
        <v>479</v>
      </c>
      <c r="C894" s="54"/>
      <c r="D894" s="32"/>
      <c r="E894" s="32"/>
      <c r="F894" s="172"/>
      <c r="G894" s="17">
        <f t="shared" si="40"/>
        <v>0</v>
      </c>
      <c r="H894" s="187">
        <f t="shared" si="41"/>
        <v>0</v>
      </c>
      <c r="I894" s="170"/>
    </row>
    <row r="895" spans="1:9" ht="12.75" hidden="1">
      <c r="A895" s="16"/>
      <c r="B895" s="49" t="s">
        <v>22</v>
      </c>
      <c r="C895" s="54"/>
      <c r="D895" s="32"/>
      <c r="E895" s="32">
        <f>1.4*0.6</f>
        <v>0.84</v>
      </c>
      <c r="F895" s="172"/>
      <c r="G895" s="17">
        <f t="shared" si="40"/>
        <v>0</v>
      </c>
      <c r="H895" s="187">
        <f t="shared" si="41"/>
        <v>0</v>
      </c>
      <c r="I895" s="170"/>
    </row>
    <row r="896" spans="1:9" ht="12.75" hidden="1">
      <c r="A896" s="16"/>
      <c r="B896" s="49" t="s">
        <v>485</v>
      </c>
      <c r="C896" s="54"/>
      <c r="D896" s="32"/>
      <c r="E896" s="32"/>
      <c r="F896" s="172"/>
      <c r="G896" s="17">
        <f t="shared" si="40"/>
        <v>0</v>
      </c>
      <c r="H896" s="187">
        <f t="shared" si="41"/>
        <v>0</v>
      </c>
      <c r="I896" s="170"/>
    </row>
    <row r="897" spans="1:9" ht="12.75" hidden="1">
      <c r="A897" s="16"/>
      <c r="B897" s="49" t="s">
        <v>22</v>
      </c>
      <c r="C897" s="54"/>
      <c r="D897" s="32"/>
      <c r="E897" s="32">
        <f>1.4*0.6</f>
        <v>0.84</v>
      </c>
      <c r="F897" s="172"/>
      <c r="G897" s="17">
        <f t="shared" si="40"/>
        <v>0</v>
      </c>
      <c r="H897" s="187">
        <f t="shared" si="41"/>
        <v>0</v>
      </c>
      <c r="I897" s="170"/>
    </row>
    <row r="898" spans="1:9" s="30" customFormat="1" ht="12.75" hidden="1">
      <c r="A898" s="16"/>
      <c r="B898" s="51" t="s">
        <v>476</v>
      </c>
      <c r="C898" s="54"/>
      <c r="D898" s="32"/>
      <c r="E898" s="32"/>
      <c r="F898" s="172"/>
      <c r="G898" s="17">
        <f t="shared" si="40"/>
        <v>0</v>
      </c>
      <c r="H898" s="187">
        <f t="shared" si="41"/>
        <v>0</v>
      </c>
      <c r="I898" s="170"/>
    </row>
    <row r="899" spans="1:9" s="30" customFormat="1" ht="12.75" hidden="1">
      <c r="A899" s="16"/>
      <c r="B899" s="49" t="s">
        <v>20</v>
      </c>
      <c r="C899" s="54"/>
      <c r="D899" s="32"/>
      <c r="E899" s="32">
        <f>3.35*0.6</f>
        <v>2.0099999999999998</v>
      </c>
      <c r="F899" s="172"/>
      <c r="G899" s="17">
        <f t="shared" ref="G899:G958" si="42">ROUND(F899*1.2522,2)</f>
        <v>0</v>
      </c>
      <c r="H899" s="187">
        <f t="shared" si="41"/>
        <v>0</v>
      </c>
      <c r="I899" s="170"/>
    </row>
    <row r="900" spans="1:9" s="30" customFormat="1" ht="12.75" hidden="1">
      <c r="A900" s="16"/>
      <c r="B900" s="51" t="s">
        <v>474</v>
      </c>
      <c r="C900" s="54"/>
      <c r="D900" s="32"/>
      <c r="E900" s="32"/>
      <c r="F900" s="172"/>
      <c r="G900" s="17">
        <f t="shared" si="42"/>
        <v>0</v>
      </c>
      <c r="H900" s="187">
        <f t="shared" si="41"/>
        <v>0</v>
      </c>
      <c r="I900" s="170"/>
    </row>
    <row r="901" spans="1:9" s="30" customFormat="1" ht="12.75" hidden="1">
      <c r="A901" s="16"/>
      <c r="B901" s="49" t="s">
        <v>21</v>
      </c>
      <c r="C901" s="54"/>
      <c r="D901" s="32"/>
      <c r="E901" s="32">
        <f>(1.85+2.23)*0.6</f>
        <v>2.448</v>
      </c>
      <c r="F901" s="172"/>
      <c r="G901" s="17">
        <f t="shared" si="42"/>
        <v>0</v>
      </c>
      <c r="H901" s="187">
        <f t="shared" si="41"/>
        <v>0</v>
      </c>
      <c r="I901" s="170"/>
    </row>
    <row r="902" spans="1:9" s="30" customFormat="1" ht="12.75" hidden="1">
      <c r="A902" s="33"/>
      <c r="B902" s="24" t="s">
        <v>463</v>
      </c>
      <c r="C902" s="54"/>
      <c r="D902" s="32"/>
      <c r="E902" s="40">
        <f>SUM(E889:E901)</f>
        <v>9.1150000000000002</v>
      </c>
      <c r="F902" s="172"/>
      <c r="G902" s="17">
        <f t="shared" si="42"/>
        <v>0</v>
      </c>
      <c r="H902" s="187">
        <f t="shared" si="41"/>
        <v>0</v>
      </c>
      <c r="I902" s="170"/>
    </row>
    <row r="903" spans="1:9" s="30" customFormat="1" ht="37.5" customHeight="1">
      <c r="A903" s="33" t="s">
        <v>374</v>
      </c>
      <c r="B903" s="41" t="s">
        <v>267</v>
      </c>
      <c r="C903" s="54" t="s">
        <v>755</v>
      </c>
      <c r="D903" s="33" t="s">
        <v>81</v>
      </c>
      <c r="E903" s="32">
        <v>1.8</v>
      </c>
      <c r="F903" s="172">
        <v>526.26</v>
      </c>
      <c r="G903" s="17">
        <f t="shared" si="42"/>
        <v>658.98</v>
      </c>
      <c r="H903" s="187">
        <f t="shared" si="41"/>
        <v>1186.1600000000001</v>
      </c>
      <c r="I903" s="170">
        <f>H903/$H$829*100</f>
        <v>3.868884049268452</v>
      </c>
    </row>
    <row r="904" spans="1:9" s="30" customFormat="1" ht="12.75" hidden="1">
      <c r="A904" s="33" t="s">
        <v>375</v>
      </c>
      <c r="B904" s="51" t="s">
        <v>476</v>
      </c>
      <c r="C904" s="54"/>
      <c r="D904" s="32"/>
      <c r="E904" s="32"/>
      <c r="F904" s="172"/>
      <c r="G904" s="17">
        <f t="shared" si="42"/>
        <v>0</v>
      </c>
      <c r="H904" s="187">
        <f t="shared" si="41"/>
        <v>0</v>
      </c>
      <c r="I904" s="170"/>
    </row>
    <row r="905" spans="1:9" s="30" customFormat="1" ht="12.75" hidden="1">
      <c r="A905" s="33" t="s">
        <v>718</v>
      </c>
      <c r="B905" s="49" t="s">
        <v>24</v>
      </c>
      <c r="C905" s="54"/>
      <c r="D905" s="32"/>
      <c r="E905" s="32">
        <f>3.6-0.6-1.2</f>
        <v>1.8</v>
      </c>
      <c r="F905" s="172"/>
      <c r="G905" s="17">
        <f t="shared" si="42"/>
        <v>0</v>
      </c>
      <c r="H905" s="187">
        <f t="shared" si="41"/>
        <v>0</v>
      </c>
      <c r="I905" s="170"/>
    </row>
    <row r="906" spans="1:9" s="30" customFormat="1" ht="12.75" hidden="1">
      <c r="A906" s="33" t="s">
        <v>726</v>
      </c>
      <c r="B906" s="49" t="s">
        <v>720</v>
      </c>
      <c r="C906" s="54"/>
      <c r="D906" s="32"/>
      <c r="E906" s="32">
        <f>E863</f>
        <v>16.14</v>
      </c>
      <c r="F906" s="172"/>
      <c r="G906" s="17">
        <f t="shared" si="42"/>
        <v>0</v>
      </c>
      <c r="H906" s="187">
        <f t="shared" si="41"/>
        <v>0</v>
      </c>
      <c r="I906" s="170"/>
    </row>
    <row r="907" spans="1:9" s="30" customFormat="1" ht="12.75">
      <c r="A907" s="33" t="s">
        <v>375</v>
      </c>
      <c r="B907" s="41" t="s">
        <v>330</v>
      </c>
      <c r="C907" s="54">
        <v>72117</v>
      </c>
      <c r="D907" s="33" t="s">
        <v>109</v>
      </c>
      <c r="E907" s="32">
        <v>22.88</v>
      </c>
      <c r="F907" s="184">
        <v>90.5</v>
      </c>
      <c r="G907" s="17">
        <f t="shared" si="42"/>
        <v>113.32</v>
      </c>
      <c r="H907" s="187">
        <f t="shared" si="41"/>
        <v>2592.7600000000002</v>
      </c>
      <c r="I907" s="170">
        <f>H907/$H$829*100</f>
        <v>8.4567746405048823</v>
      </c>
    </row>
    <row r="908" spans="1:9" s="30" customFormat="1" ht="12.75" hidden="1" customHeight="1">
      <c r="A908" s="33"/>
      <c r="B908" s="34" t="s">
        <v>25</v>
      </c>
      <c r="C908" s="54"/>
      <c r="D908" s="33"/>
      <c r="E908" s="79">
        <f>E401</f>
        <v>2.16</v>
      </c>
      <c r="F908" s="172"/>
      <c r="G908" s="17">
        <f t="shared" si="42"/>
        <v>0</v>
      </c>
      <c r="H908" s="32"/>
      <c r="I908" s="170"/>
    </row>
    <row r="909" spans="1:9" s="30" customFormat="1" ht="12.75" hidden="1" customHeight="1">
      <c r="A909" s="33"/>
      <c r="B909" s="34" t="s">
        <v>26</v>
      </c>
      <c r="C909" s="54"/>
      <c r="D909" s="33"/>
      <c r="E909" s="79">
        <f>E409</f>
        <v>14.04</v>
      </c>
      <c r="F909" s="172"/>
      <c r="G909" s="17">
        <f t="shared" si="42"/>
        <v>0</v>
      </c>
      <c r="H909" s="32"/>
      <c r="I909" s="170"/>
    </row>
    <row r="910" spans="1:9" s="30" customFormat="1" ht="12.75" hidden="1" customHeight="1">
      <c r="A910" s="33"/>
      <c r="B910" s="34" t="s">
        <v>27</v>
      </c>
      <c r="C910" s="54"/>
      <c r="D910" s="33"/>
      <c r="E910" s="79">
        <f>E421</f>
        <v>5.4</v>
      </c>
      <c r="F910" s="172"/>
      <c r="G910" s="17">
        <f t="shared" si="42"/>
        <v>0</v>
      </c>
      <c r="H910" s="32"/>
      <c r="I910" s="170"/>
    </row>
    <row r="911" spans="1:9" s="30" customFormat="1" ht="12.75" hidden="1" customHeight="1">
      <c r="A911" s="33"/>
      <c r="B911" s="34" t="s">
        <v>29</v>
      </c>
      <c r="C911" s="54"/>
      <c r="D911" s="33"/>
      <c r="E911" s="79">
        <f>E431</f>
        <v>0.48</v>
      </c>
      <c r="F911" s="172"/>
      <c r="G911" s="17">
        <f t="shared" si="42"/>
        <v>0</v>
      </c>
      <c r="H911" s="32"/>
      <c r="I911" s="170"/>
    </row>
    <row r="912" spans="1:9" s="30" customFormat="1" ht="12.75" hidden="1" customHeight="1">
      <c r="A912" s="33"/>
      <c r="B912" s="34" t="s">
        <v>28</v>
      </c>
      <c r="C912" s="54"/>
      <c r="D912" s="33"/>
      <c r="E912" s="32">
        <f>E435</f>
        <v>0.8</v>
      </c>
      <c r="F912" s="172"/>
      <c r="G912" s="17">
        <f t="shared" si="42"/>
        <v>0</v>
      </c>
      <c r="H912" s="32"/>
      <c r="I912" s="170"/>
    </row>
    <row r="913" spans="1:9" s="30" customFormat="1" ht="12.75" hidden="1" customHeight="1">
      <c r="A913" s="33"/>
      <c r="B913" s="24" t="s">
        <v>463</v>
      </c>
      <c r="C913" s="54"/>
      <c r="D913" s="32"/>
      <c r="E913" s="40">
        <f>SUM(E908:E912)</f>
        <v>22.880000000000003</v>
      </c>
      <c r="F913" s="172"/>
      <c r="G913" s="17">
        <f t="shared" si="42"/>
        <v>0</v>
      </c>
      <c r="H913" s="32"/>
      <c r="I913" s="170"/>
    </row>
    <row r="914" spans="1:9" ht="12.75">
      <c r="A914" s="190" t="s">
        <v>111</v>
      </c>
      <c r="B914" s="190"/>
      <c r="C914" s="163"/>
      <c r="D914" s="23"/>
      <c r="E914" s="22"/>
      <c r="F914" s="22"/>
      <c r="G914" s="17"/>
      <c r="H914" s="22">
        <f>H863+H878+H886+H903+H907</f>
        <v>11794.6</v>
      </c>
      <c r="I914" s="170">
        <f>H914/$H$960*100</f>
        <v>2.937371448284309</v>
      </c>
    </row>
    <row r="915" spans="1:9" s="30" customFormat="1" ht="12.75">
      <c r="A915" s="35" t="s">
        <v>371</v>
      </c>
      <c r="B915" s="36" t="s">
        <v>121</v>
      </c>
      <c r="C915" s="165"/>
      <c r="D915" s="38"/>
      <c r="E915" s="39"/>
      <c r="F915" s="17"/>
      <c r="G915" s="17"/>
      <c r="H915" s="40"/>
      <c r="I915" s="170"/>
    </row>
    <row r="916" spans="1:9" s="30" customFormat="1" ht="37.5" customHeight="1">
      <c r="A916" s="33" t="s">
        <v>372</v>
      </c>
      <c r="B916" s="179" t="s">
        <v>804</v>
      </c>
      <c r="C916" s="54" t="s">
        <v>805</v>
      </c>
      <c r="D916" s="38" t="s">
        <v>109</v>
      </c>
      <c r="E916" s="39">
        <v>0.96</v>
      </c>
      <c r="F916" s="17">
        <v>343.38</v>
      </c>
      <c r="G916" s="17">
        <f t="shared" si="42"/>
        <v>429.98</v>
      </c>
      <c r="H916" s="187">
        <f>ROUND(E916*G916,2)</f>
        <v>412.78</v>
      </c>
      <c r="I916" s="170">
        <f>H916/$H$960*100</f>
        <v>0.10280028033361004</v>
      </c>
    </row>
    <row r="917" spans="1:9" ht="12.75" hidden="1">
      <c r="A917" s="16"/>
      <c r="B917" s="51" t="s">
        <v>685</v>
      </c>
      <c r="C917" s="54"/>
      <c r="D917" s="32"/>
      <c r="E917" s="32"/>
      <c r="F917" s="172"/>
      <c r="G917" s="17">
        <f t="shared" si="42"/>
        <v>0</v>
      </c>
      <c r="H917" s="187">
        <f>ROUND(E917*G917,2)</f>
        <v>0</v>
      </c>
      <c r="I917" s="170"/>
    </row>
    <row r="918" spans="1:9" ht="12.75" hidden="1">
      <c r="A918" s="16"/>
      <c r="B918" s="49" t="s">
        <v>686</v>
      </c>
      <c r="C918" s="54"/>
      <c r="D918" s="32"/>
      <c r="E918" s="32">
        <f>5.5*1.5</f>
        <v>8.25</v>
      </c>
      <c r="F918" s="172"/>
      <c r="G918" s="17">
        <f t="shared" si="42"/>
        <v>0</v>
      </c>
      <c r="H918" s="187">
        <f>ROUND(E918*G918,2)</f>
        <v>0</v>
      </c>
      <c r="I918" s="170"/>
    </row>
    <row r="919" spans="1:9" ht="12.75" hidden="1">
      <c r="A919" s="16"/>
      <c r="B919" s="24" t="s">
        <v>463</v>
      </c>
      <c r="C919" s="54"/>
      <c r="D919" s="32"/>
      <c r="E919" s="40">
        <f>SUM(E918)</f>
        <v>8.25</v>
      </c>
      <c r="F919" s="172"/>
      <c r="G919" s="17">
        <f t="shared" si="42"/>
        <v>0</v>
      </c>
      <c r="H919" s="187">
        <f>ROUND(E919*G919,2)</f>
        <v>0</v>
      </c>
      <c r="I919" s="170"/>
    </row>
    <row r="920" spans="1:9" s="30" customFormat="1" ht="12.75">
      <c r="A920" s="33" t="s">
        <v>713</v>
      </c>
      <c r="B920" s="34" t="s">
        <v>176</v>
      </c>
      <c r="C920" s="54">
        <v>9537</v>
      </c>
      <c r="D920" s="38" t="s">
        <v>109</v>
      </c>
      <c r="E920" s="39">
        <v>279.83999999999997</v>
      </c>
      <c r="F920" s="172">
        <v>1.51</v>
      </c>
      <c r="G920" s="17">
        <f t="shared" si="42"/>
        <v>1.89</v>
      </c>
      <c r="H920" s="187">
        <f>ROUND(E920*G920,2)</f>
        <v>528.9</v>
      </c>
      <c r="I920" s="170">
        <f>H920/$H$960*100</f>
        <v>0.13171924092360665</v>
      </c>
    </row>
    <row r="921" spans="1:9" s="30" customFormat="1" ht="12.75">
      <c r="A921" s="16" t="s">
        <v>714</v>
      </c>
      <c r="B921" s="49" t="s">
        <v>724</v>
      </c>
      <c r="C921" s="54"/>
      <c r="D921" s="38"/>
      <c r="E921" s="39"/>
      <c r="F921" s="172"/>
      <c r="G921" s="17"/>
      <c r="H921" s="17"/>
      <c r="I921" s="170"/>
    </row>
    <row r="922" spans="1:9" s="30" customFormat="1" ht="25.5">
      <c r="A922" s="16" t="s">
        <v>715</v>
      </c>
      <c r="B922" s="50" t="s">
        <v>722</v>
      </c>
      <c r="C922" s="54" t="s">
        <v>711</v>
      </c>
      <c r="D922" s="33" t="s">
        <v>109</v>
      </c>
      <c r="E922" s="32">
        <v>8.25</v>
      </c>
      <c r="F922" s="172">
        <v>378.8</v>
      </c>
      <c r="G922" s="17">
        <f t="shared" si="42"/>
        <v>474.33</v>
      </c>
      <c r="H922" s="187">
        <f>ROUND(E922*G922,2)</f>
        <v>3913.22</v>
      </c>
      <c r="I922" s="170">
        <f>H922/$H$960*100</f>
        <v>0.97456299483281528</v>
      </c>
    </row>
    <row r="923" spans="1:9" s="30" customFormat="1" ht="12.75">
      <c r="A923" s="16" t="s">
        <v>716</v>
      </c>
      <c r="B923" s="49" t="s">
        <v>712</v>
      </c>
      <c r="C923" s="54" t="s">
        <v>443</v>
      </c>
      <c r="D923" s="33" t="s">
        <v>109</v>
      </c>
      <c r="E923" s="32">
        <v>8.25</v>
      </c>
      <c r="F923" s="172">
        <v>28.69</v>
      </c>
      <c r="G923" s="17">
        <f t="shared" si="42"/>
        <v>35.93</v>
      </c>
      <c r="H923" s="187">
        <f>ROUND(E923*G923,2)</f>
        <v>296.42</v>
      </c>
      <c r="I923" s="170">
        <f>H923/$H$960*100</f>
        <v>7.3821549242910733E-2</v>
      </c>
    </row>
    <row r="924" spans="1:9" ht="12.75">
      <c r="A924" s="190" t="s">
        <v>111</v>
      </c>
      <c r="B924" s="190"/>
      <c r="C924" s="163"/>
      <c r="D924" s="23"/>
      <c r="E924" s="22"/>
      <c r="F924" s="22"/>
      <c r="G924" s="17"/>
      <c r="H924" s="22">
        <f>H923+H922+H920+H916</f>
        <v>5151.3199999999988</v>
      </c>
      <c r="I924" s="170">
        <f>H924/$H$960*100</f>
        <v>1.2829040653329424</v>
      </c>
    </row>
    <row r="925" spans="1:9" ht="12.75">
      <c r="A925" s="23" t="s">
        <v>376</v>
      </c>
      <c r="B925" s="24" t="s">
        <v>311</v>
      </c>
      <c r="C925" s="163"/>
      <c r="D925" s="23"/>
      <c r="E925" s="22"/>
      <c r="F925" s="22"/>
      <c r="G925" s="17"/>
      <c r="H925" s="22"/>
      <c r="I925" s="170"/>
    </row>
    <row r="926" spans="1:9" s="63" customFormat="1" ht="25.5">
      <c r="A926" s="16" t="s">
        <v>377</v>
      </c>
      <c r="B926" s="50" t="s">
        <v>313</v>
      </c>
      <c r="C926" s="164" t="s">
        <v>737</v>
      </c>
      <c r="D926" s="38" t="s">
        <v>109</v>
      </c>
      <c r="E926" s="17">
        <v>25.95</v>
      </c>
      <c r="F926" s="184">
        <v>15.03</v>
      </c>
      <c r="G926" s="17">
        <f t="shared" si="42"/>
        <v>18.82</v>
      </c>
      <c r="H926" s="187">
        <f t="shared" ref="H926:H957" si="43">ROUND(E926*G926,2)</f>
        <v>488.38</v>
      </c>
      <c r="I926" s="170">
        <f>H926/$H$960*100</f>
        <v>0.12162798805496505</v>
      </c>
    </row>
    <row r="927" spans="1:9" s="63" customFormat="1" ht="12.75" hidden="1">
      <c r="A927" s="16"/>
      <c r="B927" s="50" t="s">
        <v>31</v>
      </c>
      <c r="C927" s="164"/>
      <c r="D927" s="38"/>
      <c r="E927" s="72">
        <f>14.65*1+(4+7.3)*1</f>
        <v>25.950000000000003</v>
      </c>
      <c r="F927" s="17"/>
      <c r="G927" s="17">
        <f t="shared" si="42"/>
        <v>0</v>
      </c>
      <c r="H927" s="187">
        <f t="shared" si="43"/>
        <v>0</v>
      </c>
      <c r="I927" s="170"/>
    </row>
    <row r="928" spans="1:9" ht="25.5">
      <c r="A928" s="16" t="s">
        <v>378</v>
      </c>
      <c r="B928" s="51" t="s">
        <v>315</v>
      </c>
      <c r="C928" s="164" t="s">
        <v>742</v>
      </c>
      <c r="D928" s="16" t="s">
        <v>199</v>
      </c>
      <c r="E928" s="32">
        <v>46.71</v>
      </c>
      <c r="F928" s="184">
        <v>56.54</v>
      </c>
      <c r="G928" s="17">
        <f t="shared" si="42"/>
        <v>70.8</v>
      </c>
      <c r="H928" s="187">
        <f t="shared" si="43"/>
        <v>3307.07</v>
      </c>
      <c r="I928" s="170">
        <f>H928/$H$960*100</f>
        <v>0.82360512399552255</v>
      </c>
    </row>
    <row r="929" spans="1:9" s="63" customFormat="1" ht="12.75" hidden="1">
      <c r="A929" s="16"/>
      <c r="B929" s="50" t="s">
        <v>32</v>
      </c>
      <c r="C929" s="164"/>
      <c r="D929" s="38"/>
      <c r="E929" s="72">
        <f>14.65*1.8+(4+7.3)*1.8</f>
        <v>46.710000000000008</v>
      </c>
      <c r="F929" s="17"/>
      <c r="G929" s="17">
        <f t="shared" si="42"/>
        <v>0</v>
      </c>
      <c r="H929" s="187">
        <f t="shared" si="43"/>
        <v>0</v>
      </c>
      <c r="I929" s="170"/>
    </row>
    <row r="930" spans="1:9" ht="12.75">
      <c r="A930" s="16" t="s">
        <v>379</v>
      </c>
      <c r="B930" s="49" t="s">
        <v>201</v>
      </c>
      <c r="C930" s="164">
        <v>72897</v>
      </c>
      <c r="D930" s="16" t="s">
        <v>199</v>
      </c>
      <c r="E930" s="17">
        <v>10.79</v>
      </c>
      <c r="F930" s="184">
        <v>17.059999999999999</v>
      </c>
      <c r="G930" s="17">
        <f t="shared" si="42"/>
        <v>21.36</v>
      </c>
      <c r="H930" s="187">
        <f t="shared" si="43"/>
        <v>230.47</v>
      </c>
      <c r="I930" s="170">
        <f>H930/$H$960*100</f>
        <v>5.7397113737310698E-2</v>
      </c>
    </row>
    <row r="931" spans="1:9" s="63" customFormat="1" ht="12.75" hidden="1">
      <c r="A931" s="16"/>
      <c r="B931" s="50" t="s">
        <v>34</v>
      </c>
      <c r="C931" s="164"/>
      <c r="D931" s="38"/>
      <c r="E931" s="17"/>
      <c r="F931" s="17"/>
      <c r="G931" s="17">
        <f t="shared" si="42"/>
        <v>0</v>
      </c>
      <c r="H931" s="187">
        <f t="shared" si="43"/>
        <v>0</v>
      </c>
      <c r="I931" s="170"/>
    </row>
    <row r="932" spans="1:9" s="63" customFormat="1" ht="12.75" hidden="1">
      <c r="A932" s="16"/>
      <c r="B932" s="50" t="s">
        <v>33</v>
      </c>
      <c r="C932" s="164"/>
      <c r="D932" s="38"/>
      <c r="E932" s="182">
        <f>46.71*0.06*1.1</f>
        <v>3.0828600000000002</v>
      </c>
      <c r="F932" s="17"/>
      <c r="G932" s="17">
        <f t="shared" si="42"/>
        <v>0</v>
      </c>
      <c r="H932" s="187">
        <f t="shared" si="43"/>
        <v>0</v>
      </c>
      <c r="I932" s="170"/>
    </row>
    <row r="933" spans="1:9" s="63" customFormat="1" ht="12.75" hidden="1">
      <c r="A933" s="16"/>
      <c r="B933" s="50" t="s">
        <v>35</v>
      </c>
      <c r="C933" s="164"/>
      <c r="D933" s="38"/>
      <c r="E933" s="17"/>
      <c r="F933" s="17"/>
      <c r="G933" s="17">
        <f t="shared" si="42"/>
        <v>0</v>
      </c>
      <c r="H933" s="187">
        <f t="shared" si="43"/>
        <v>0</v>
      </c>
      <c r="I933" s="170"/>
    </row>
    <row r="934" spans="1:9" s="63" customFormat="1" ht="12.75" hidden="1">
      <c r="A934" s="16"/>
      <c r="B934" s="50" t="s">
        <v>36</v>
      </c>
      <c r="C934" s="164"/>
      <c r="D934" s="38"/>
      <c r="E934" s="182">
        <f>46.71*0.15*1.1</f>
        <v>7.7071500000000004</v>
      </c>
      <c r="F934" s="17"/>
      <c r="G934" s="17">
        <f t="shared" si="42"/>
        <v>0</v>
      </c>
      <c r="H934" s="187">
        <f t="shared" si="43"/>
        <v>0</v>
      </c>
      <c r="I934" s="170"/>
    </row>
    <row r="935" spans="1:9" s="63" customFormat="1" ht="12.75" hidden="1">
      <c r="A935" s="16"/>
      <c r="B935" s="24" t="s">
        <v>463</v>
      </c>
      <c r="C935" s="54"/>
      <c r="D935" s="32"/>
      <c r="E935" s="40">
        <f>SUM(E932:E934)</f>
        <v>10.790010000000001</v>
      </c>
      <c r="F935" s="17"/>
      <c r="G935" s="17">
        <f t="shared" si="42"/>
        <v>0</v>
      </c>
      <c r="H935" s="187">
        <f t="shared" si="43"/>
        <v>0</v>
      </c>
      <c r="I935" s="170"/>
    </row>
    <row r="936" spans="1:9" ht="25.5">
      <c r="A936" s="16" t="s">
        <v>429</v>
      </c>
      <c r="B936" s="50" t="s">
        <v>324</v>
      </c>
      <c r="C936" s="164" t="s">
        <v>743</v>
      </c>
      <c r="D936" s="16" t="s">
        <v>199</v>
      </c>
      <c r="E936" s="17">
        <v>2.96</v>
      </c>
      <c r="F936" s="184">
        <v>35.07</v>
      </c>
      <c r="G936" s="17">
        <f t="shared" si="42"/>
        <v>43.91</v>
      </c>
      <c r="H936" s="187">
        <f t="shared" si="43"/>
        <v>129.97</v>
      </c>
      <c r="I936" s="170">
        <f>H936/$H$960*100</f>
        <v>3.2368216568049078E-2</v>
      </c>
    </row>
    <row r="937" spans="1:9" ht="12.75" hidden="1">
      <c r="A937" s="16"/>
      <c r="B937" s="50" t="s">
        <v>37</v>
      </c>
      <c r="C937" s="164"/>
      <c r="D937" s="16"/>
      <c r="E937" s="17"/>
      <c r="F937" s="17"/>
      <c r="G937" s="17">
        <f t="shared" si="42"/>
        <v>0</v>
      </c>
      <c r="H937" s="187">
        <f t="shared" si="43"/>
        <v>0</v>
      </c>
      <c r="I937" s="170"/>
    </row>
    <row r="938" spans="1:9" ht="25.5" hidden="1">
      <c r="A938" s="16"/>
      <c r="B938" s="50" t="s">
        <v>38</v>
      </c>
      <c r="C938" s="164"/>
      <c r="D938" s="16"/>
      <c r="E938" s="182">
        <f>49.31*0.2*0.3</f>
        <v>2.9586000000000006</v>
      </c>
      <c r="F938" s="17"/>
      <c r="G938" s="17">
        <f t="shared" si="42"/>
        <v>0</v>
      </c>
      <c r="H938" s="187">
        <f t="shared" si="43"/>
        <v>0</v>
      </c>
      <c r="I938" s="170"/>
    </row>
    <row r="939" spans="1:9" ht="38.25">
      <c r="A939" s="16" t="s">
        <v>430</v>
      </c>
      <c r="B939" s="50" t="s">
        <v>325</v>
      </c>
      <c r="C939" s="164">
        <v>73611</v>
      </c>
      <c r="D939" s="16" t="s">
        <v>199</v>
      </c>
      <c r="E939" s="17">
        <v>2.96</v>
      </c>
      <c r="F939" s="184">
        <v>309.47000000000003</v>
      </c>
      <c r="G939" s="17">
        <f t="shared" si="42"/>
        <v>387.52</v>
      </c>
      <c r="H939" s="187">
        <f t="shared" si="43"/>
        <v>1147.06</v>
      </c>
      <c r="I939" s="170">
        <f>H939/$H$960*100</f>
        <v>0.28566812723356449</v>
      </c>
    </row>
    <row r="940" spans="1:9" ht="12.75" hidden="1">
      <c r="A940" s="16"/>
      <c r="B940" s="50" t="s">
        <v>39</v>
      </c>
      <c r="C940" s="164"/>
      <c r="D940" s="16"/>
      <c r="E940" s="72">
        <v>2.96</v>
      </c>
      <c r="F940" s="17"/>
      <c r="G940" s="17">
        <f t="shared" si="42"/>
        <v>0</v>
      </c>
      <c r="H940" s="187">
        <f t="shared" si="43"/>
        <v>0</v>
      </c>
      <c r="I940" s="170"/>
    </row>
    <row r="941" spans="1:9" ht="38.25">
      <c r="A941" s="16" t="s">
        <v>431</v>
      </c>
      <c r="B941" s="25" t="s">
        <v>326</v>
      </c>
      <c r="C941" s="164">
        <v>6110</v>
      </c>
      <c r="D941" s="16" t="s">
        <v>199</v>
      </c>
      <c r="E941" s="17">
        <v>4.34</v>
      </c>
      <c r="F941" s="184">
        <v>469.89</v>
      </c>
      <c r="G941" s="17">
        <f t="shared" si="42"/>
        <v>588.4</v>
      </c>
      <c r="H941" s="187">
        <f t="shared" si="43"/>
        <v>2553.66</v>
      </c>
      <c r="I941" s="170">
        <f>H941/$H$960*100</f>
        <v>0.63597307010205584</v>
      </c>
    </row>
    <row r="942" spans="1:9" ht="12.75" hidden="1">
      <c r="A942" s="16"/>
      <c r="B942" s="25" t="s">
        <v>41</v>
      </c>
      <c r="C942" s="164"/>
      <c r="D942" s="16"/>
      <c r="E942" s="72">
        <f>49.31*0.22*0.4</f>
        <v>4.3392800000000005</v>
      </c>
      <c r="F942" s="17"/>
      <c r="G942" s="17">
        <f t="shared" si="42"/>
        <v>0</v>
      </c>
      <c r="H942" s="187">
        <f t="shared" si="43"/>
        <v>0</v>
      </c>
      <c r="I942" s="170"/>
    </row>
    <row r="943" spans="1:9" ht="25.5">
      <c r="A943" s="16" t="s">
        <v>432</v>
      </c>
      <c r="B943" s="50" t="s">
        <v>323</v>
      </c>
      <c r="C943" s="164">
        <v>55835</v>
      </c>
      <c r="D943" s="16" t="s">
        <v>199</v>
      </c>
      <c r="E943" s="17">
        <v>49.31</v>
      </c>
      <c r="F943" s="184">
        <v>35.07</v>
      </c>
      <c r="G943" s="17">
        <f t="shared" si="42"/>
        <v>43.91</v>
      </c>
      <c r="H943" s="187">
        <f t="shared" si="43"/>
        <v>2165.1999999999998</v>
      </c>
      <c r="I943" s="170">
        <f>H943/$H$960*100</f>
        <v>0.53922953383965422</v>
      </c>
    </row>
    <row r="944" spans="1:9" ht="12.75" hidden="1">
      <c r="A944" s="16"/>
      <c r="B944" s="25" t="s">
        <v>40</v>
      </c>
      <c r="C944" s="164"/>
      <c r="D944" s="16"/>
      <c r="E944" s="72">
        <f>49.31*1</f>
        <v>49.31</v>
      </c>
      <c r="F944" s="17"/>
      <c r="G944" s="17">
        <f t="shared" si="42"/>
        <v>0</v>
      </c>
      <c r="H944" s="187">
        <f t="shared" si="43"/>
        <v>0</v>
      </c>
      <c r="I944" s="170"/>
    </row>
    <row r="945" spans="1:9" ht="38.25">
      <c r="A945" s="16" t="s">
        <v>433</v>
      </c>
      <c r="B945" s="50" t="s">
        <v>784</v>
      </c>
      <c r="C945" s="164" t="s">
        <v>764</v>
      </c>
      <c r="D945" s="32" t="s">
        <v>109</v>
      </c>
      <c r="E945" s="17">
        <v>49.31</v>
      </c>
      <c r="F945" s="184">
        <v>23.25</v>
      </c>
      <c r="G945" s="17">
        <f t="shared" si="42"/>
        <v>29.11</v>
      </c>
      <c r="H945" s="187">
        <f t="shared" si="43"/>
        <v>1435.41</v>
      </c>
      <c r="I945" s="170">
        <f>H945/$H$960*100</f>
        <v>0.35747989339034647</v>
      </c>
    </row>
    <row r="946" spans="1:9" ht="12.75" hidden="1">
      <c r="A946" s="16"/>
      <c r="B946" s="25" t="s">
        <v>42</v>
      </c>
      <c r="C946" s="164"/>
      <c r="D946" s="16"/>
      <c r="E946" s="72">
        <f>49.31*1</f>
        <v>49.31</v>
      </c>
      <c r="F946" s="17"/>
      <c r="G946" s="17">
        <f t="shared" si="42"/>
        <v>0</v>
      </c>
      <c r="H946" s="187">
        <f t="shared" si="43"/>
        <v>0</v>
      </c>
      <c r="I946" s="170"/>
    </row>
    <row r="947" spans="1:9" ht="51">
      <c r="A947" s="16" t="s">
        <v>434</v>
      </c>
      <c r="B947" s="50" t="s">
        <v>318</v>
      </c>
      <c r="C947" s="164" t="s">
        <v>738</v>
      </c>
      <c r="D947" s="16" t="s">
        <v>81</v>
      </c>
      <c r="E947" s="17">
        <v>158.62</v>
      </c>
      <c r="F947" s="184">
        <v>35.46</v>
      </c>
      <c r="G947" s="17">
        <f t="shared" si="42"/>
        <v>44.4</v>
      </c>
      <c r="H947" s="187">
        <f t="shared" si="43"/>
        <v>7042.73</v>
      </c>
      <c r="I947" s="170">
        <f>H947/$H$960*100</f>
        <v>1.7539479100584461</v>
      </c>
    </row>
    <row r="948" spans="1:9" ht="25.5">
      <c r="A948" s="16" t="s">
        <v>435</v>
      </c>
      <c r="B948" s="50" t="s">
        <v>57</v>
      </c>
      <c r="C948" s="164" t="s">
        <v>54</v>
      </c>
      <c r="D948" s="16" t="s">
        <v>199</v>
      </c>
      <c r="E948" s="17">
        <v>150.02000000000001</v>
      </c>
      <c r="F948" s="184">
        <v>79.56</v>
      </c>
      <c r="G948" s="17">
        <f t="shared" si="42"/>
        <v>99.63</v>
      </c>
      <c r="H948" s="187">
        <f t="shared" si="43"/>
        <v>14946.49</v>
      </c>
      <c r="I948" s="170">
        <f>H948/$H$960*100</f>
        <v>3.722329962700468</v>
      </c>
    </row>
    <row r="949" spans="1:9" ht="25.5" hidden="1">
      <c r="A949" s="16"/>
      <c r="B949" s="50" t="s">
        <v>55</v>
      </c>
      <c r="C949" s="164"/>
      <c r="D949" s="16"/>
      <c r="E949" s="17"/>
      <c r="F949" s="56"/>
      <c r="G949" s="17">
        <f t="shared" si="42"/>
        <v>0</v>
      </c>
      <c r="H949" s="187">
        <f t="shared" si="43"/>
        <v>0</v>
      </c>
      <c r="I949" s="170"/>
    </row>
    <row r="950" spans="1:9" ht="25.5" hidden="1">
      <c r="A950" s="16"/>
      <c r="B950" s="50" t="s">
        <v>56</v>
      </c>
      <c r="C950" s="164"/>
      <c r="D950" s="16"/>
      <c r="E950" s="182">
        <f>((14.65*18.65)+(26.5*5)+(14.65*4)+(3.78*4.38)+(4.44*4.32))*0.3</f>
        <v>150.01790999999997</v>
      </c>
      <c r="F950" s="17"/>
      <c r="G950" s="17">
        <f t="shared" si="42"/>
        <v>0</v>
      </c>
      <c r="H950" s="187">
        <f t="shared" si="43"/>
        <v>0</v>
      </c>
      <c r="I950" s="170"/>
    </row>
    <row r="951" spans="1:9" ht="12.75" hidden="1">
      <c r="A951" s="16"/>
      <c r="B951" s="173" t="s">
        <v>463</v>
      </c>
      <c r="C951" s="164"/>
      <c r="D951" s="16"/>
      <c r="E951" s="22">
        <f>E950</f>
        <v>150.01790999999997</v>
      </c>
      <c r="F951" s="56"/>
      <c r="G951" s="17"/>
      <c r="H951" s="187">
        <f t="shared" si="43"/>
        <v>0</v>
      </c>
      <c r="I951" s="170"/>
    </row>
    <row r="952" spans="1:9" ht="38.25">
      <c r="A952" s="16" t="s">
        <v>436</v>
      </c>
      <c r="B952" s="50" t="s">
        <v>320</v>
      </c>
      <c r="C952" s="164" t="s">
        <v>739</v>
      </c>
      <c r="D952" s="32" t="s">
        <v>109</v>
      </c>
      <c r="E952" s="17">
        <v>417.01</v>
      </c>
      <c r="F952" s="184">
        <v>44.7</v>
      </c>
      <c r="G952" s="17">
        <f t="shared" si="42"/>
        <v>55.97</v>
      </c>
      <c r="H952" s="187">
        <f t="shared" si="43"/>
        <v>23340.05</v>
      </c>
      <c r="I952" s="170">
        <f>H952/$H$960*100</f>
        <v>5.8126936455266129</v>
      </c>
    </row>
    <row r="953" spans="1:9" ht="38.25" hidden="1">
      <c r="A953" s="16"/>
      <c r="B953" s="50" t="s">
        <v>58</v>
      </c>
      <c r="C953" s="164"/>
      <c r="D953" s="16"/>
      <c r="E953" s="17"/>
      <c r="F953" s="17"/>
      <c r="G953" s="17">
        <f t="shared" si="42"/>
        <v>0</v>
      </c>
      <c r="H953" s="187">
        <f t="shared" si="43"/>
        <v>0</v>
      </c>
      <c r="I953" s="170"/>
    </row>
    <row r="954" spans="1:9" ht="12.75" hidden="1">
      <c r="A954" s="16"/>
      <c r="B954" s="50" t="s">
        <v>59</v>
      </c>
      <c r="C954" s="169"/>
      <c r="D954" s="80"/>
      <c r="E954" s="182">
        <f>500.06-33.74-49.31</f>
        <v>417.01</v>
      </c>
      <c r="F954" s="17"/>
      <c r="G954" s="17">
        <f t="shared" si="42"/>
        <v>0</v>
      </c>
      <c r="H954" s="187">
        <f t="shared" si="43"/>
        <v>0</v>
      </c>
      <c r="I954" s="170"/>
    </row>
    <row r="955" spans="1:9" ht="25.5">
      <c r="A955" s="16" t="s">
        <v>437</v>
      </c>
      <c r="B955" s="50" t="s">
        <v>322</v>
      </c>
      <c r="C955" s="164" t="s">
        <v>740</v>
      </c>
      <c r="D955" s="32" t="s">
        <v>109</v>
      </c>
      <c r="E955" s="17">
        <v>33.74</v>
      </c>
      <c r="F955" s="184">
        <v>14.93</v>
      </c>
      <c r="G955" s="17">
        <f t="shared" si="42"/>
        <v>18.7</v>
      </c>
      <c r="H955" s="187">
        <f t="shared" si="43"/>
        <v>630.94000000000005</v>
      </c>
      <c r="I955" s="170">
        <f>H955/$H$960*100</f>
        <v>0.15713166547237736</v>
      </c>
    </row>
    <row r="956" spans="1:9" ht="12.75" hidden="1">
      <c r="A956" s="16"/>
      <c r="B956" s="50" t="s">
        <v>60</v>
      </c>
      <c r="C956" s="169"/>
      <c r="D956" s="80"/>
      <c r="E956" s="182">
        <f>33.74</f>
        <v>33.74</v>
      </c>
      <c r="F956" s="17"/>
      <c r="G956" s="17">
        <f t="shared" si="42"/>
        <v>0</v>
      </c>
      <c r="H956" s="187">
        <f t="shared" si="43"/>
        <v>0</v>
      </c>
      <c r="I956" s="170"/>
    </row>
    <row r="957" spans="1:9" ht="25.5">
      <c r="A957" s="16" t="s">
        <v>438</v>
      </c>
      <c r="B957" s="50" t="s">
        <v>328</v>
      </c>
      <c r="C957" s="164" t="s">
        <v>741</v>
      </c>
      <c r="D957" s="32" t="s">
        <v>109</v>
      </c>
      <c r="E957" s="17">
        <v>71.38</v>
      </c>
      <c r="F957" s="184">
        <v>5.58</v>
      </c>
      <c r="G957" s="17">
        <f t="shared" si="42"/>
        <v>6.99</v>
      </c>
      <c r="H957" s="187">
        <f t="shared" si="43"/>
        <v>498.95</v>
      </c>
      <c r="I957" s="170">
        <f>H957/$H$960*100</f>
        <v>0.12426038052341375</v>
      </c>
    </row>
    <row r="958" spans="1:9" ht="12.75" hidden="1">
      <c r="A958" s="16"/>
      <c r="B958" s="50" t="s">
        <v>61</v>
      </c>
      <c r="C958" s="164"/>
      <c r="D958" s="32"/>
      <c r="E958" s="17">
        <f>158.62*0.45</f>
        <v>71.379000000000005</v>
      </c>
      <c r="F958" s="17"/>
      <c r="G958" s="17">
        <f t="shared" si="42"/>
        <v>0</v>
      </c>
      <c r="H958" s="17">
        <f>E958*G958</f>
        <v>0</v>
      </c>
      <c r="I958" s="170"/>
    </row>
    <row r="959" spans="1:9" ht="12.75">
      <c r="A959" s="190" t="s">
        <v>111</v>
      </c>
      <c r="B959" s="190"/>
      <c r="C959" s="163"/>
      <c r="D959" s="23"/>
      <c r="E959" s="22"/>
      <c r="F959" s="22"/>
      <c r="G959" s="22"/>
      <c r="H959" s="22">
        <f>H957+H955+H952+H948+H947+H945+H943+H941+H939+H936+H930+H928+H926</f>
        <v>57916.380000000005</v>
      </c>
      <c r="I959" s="170">
        <f>H959/$H$960*100</f>
        <v>14.423712631202786</v>
      </c>
    </row>
    <row r="960" spans="1:9" ht="12.75">
      <c r="A960" s="189" t="s">
        <v>115</v>
      </c>
      <c r="B960" s="189"/>
      <c r="C960" s="163"/>
      <c r="D960" s="23"/>
      <c r="E960" s="22"/>
      <c r="F960" s="22"/>
      <c r="G960" s="22"/>
      <c r="H960" s="22">
        <f>H959+H924+H914+H861+H829+H548+H542+H439+H361+H318+H221+H200+H160+H141+H97+H64+H576</f>
        <v>401535.87</v>
      </c>
      <c r="I960" s="17">
        <v>100</v>
      </c>
    </row>
    <row r="961" spans="1:9" ht="33" customHeight="1">
      <c r="A961" s="192" t="s">
        <v>816</v>
      </c>
      <c r="B961" s="193"/>
      <c r="C961" s="193"/>
      <c r="D961" s="193"/>
      <c r="E961" s="193"/>
      <c r="F961" s="193"/>
      <c r="G961" s="193"/>
      <c r="H961" s="193"/>
      <c r="I961" s="194"/>
    </row>
  </sheetData>
  <mergeCells count="35">
    <mergeCell ref="A5:I5"/>
    <mergeCell ref="A6:I6"/>
    <mergeCell ref="A7:C7"/>
    <mergeCell ref="A1:A4"/>
    <mergeCell ref="B1:H2"/>
    <mergeCell ref="I1:I4"/>
    <mergeCell ref="B3:H4"/>
    <mergeCell ref="D7:F7"/>
    <mergeCell ref="H7:I7"/>
    <mergeCell ref="A961:I961"/>
    <mergeCell ref="A924:B924"/>
    <mergeCell ref="A959:B959"/>
    <mergeCell ref="A960:B960"/>
    <mergeCell ref="A160:B160"/>
    <mergeCell ref="A829:B829"/>
    <mergeCell ref="A318:B318"/>
    <mergeCell ref="A542:B542"/>
    <mergeCell ref="A548:B548"/>
    <mergeCell ref="A361:B361"/>
    <mergeCell ref="A861:B861"/>
    <mergeCell ref="A914:B914"/>
    <mergeCell ref="A576:B576"/>
    <mergeCell ref="A8:C8"/>
    <mergeCell ref="D8:I8"/>
    <mergeCell ref="H9:I9"/>
    <mergeCell ref="A9:B9"/>
    <mergeCell ref="E9:F9"/>
    <mergeCell ref="C9:D9"/>
    <mergeCell ref="A10:I10"/>
    <mergeCell ref="A64:B64"/>
    <mergeCell ref="A97:B97"/>
    <mergeCell ref="A141:B141"/>
    <mergeCell ref="A439:B439"/>
    <mergeCell ref="A200:B200"/>
    <mergeCell ref="A221:B221"/>
  </mergeCells>
  <phoneticPr fontId="9" type="noConversion"/>
  <hyperlinks>
    <hyperlink ref="C454" r:id="rId1" display="http://187.17.2.135/orse/composicao.asp?font_sg_fonte=ORSE&amp;serv_nr_codigo=641&amp;peri_nr_ano=2014&amp;peri_nr_mes=5&amp;peri_nr_ordem=1"/>
    <hyperlink ref="C544" r:id="rId2" display="http://187.17.2.135/orse/composicao.asp?font_sg_fonte=ORSE&amp;serv_nr_codigo=706&amp;peri_nr_ano=2014&amp;peri_nr_mes=5&amp;peri_nr_ordem=1"/>
    <hyperlink ref="C550" r:id="rId3" display="http://187.17.2.135/orse/composicao.asp?font_sg_fonte=ORSE&amp;serv_nr_codigo=10369&amp;peri_nr_ano=2014&amp;peri_nr_mes=5&amp;peri_nr_ordem=1"/>
    <hyperlink ref="C564" r:id="rId4" display="http://187.17.2.135/orse/composicao.asp?font_sg_fonte=ORSE&amp;serv_nr_codigo=2359&amp;peri_nr_ano=2014&amp;peri_nr_mes=5&amp;peri_nr_ordem=1"/>
    <hyperlink ref="C572" r:id="rId5" display="http://187.17.2.135/orse/composicao.asp?font_sg_fonte=ORSE&amp;serv_nr_codigo=2360&amp;peri_nr_ano=2014&amp;peri_nr_mes=5&amp;peri_nr_ordem=1"/>
    <hyperlink ref="C602" r:id="rId6" display="http://187.17.2.135/orse/composicao.asp?font_sg_fonte=ORSE&amp;serv_nr_codigo=1353&amp;peri_nr_ano=2014&amp;peri_nr_mes=5&amp;peri_nr_ordem=1"/>
    <hyperlink ref="C740" r:id="rId7" display="http://187.17.2.135/orse/composicao.asp?font_sg_fonte=ORSE&amp;serv_nr_codigo=3780&amp;peri_nr_ano=2014&amp;peri_nr_mes=5&amp;peri_nr_ordem=1"/>
    <hyperlink ref="C796" r:id="rId8" display="http://187.17.2.135/orse/composicao.asp?font_sg_fonte=ORSE&amp;serv_nr_codigo=7611&amp;peri_nr_ano=2014&amp;peri_nr_mes=5&amp;peri_nr_ordem=1"/>
    <hyperlink ref="C804" r:id="rId9" display="http://187.17.2.135/orse/composicao.asp?font_sg_fonte=ORSE&amp;serv_nr_codigo=2046&amp;peri_nr_ano=2014&amp;peri_nr_mes=5&amp;peri_nr_ordem=1"/>
    <hyperlink ref="C863" r:id="rId10" display="http://187.17.2.135/orse/composicao.asp?font_sg_fonte=ORSE&amp;serv_nr_codigo=10204&amp;peri_nr_ano=2014&amp;peri_nr_mes=5&amp;peri_nr_ordem=1"/>
    <hyperlink ref="C886" r:id="rId11" display="http://187.17.2.135/orse/composicao.asp?font_sg_fonte=ORSE&amp;serv_nr_codigo=4695&amp;peri_nr_ano=2014&amp;peri_nr_mes=5&amp;peri_nr_ordem=1"/>
    <hyperlink ref="C903" r:id="rId12" display="http://187.17.2.135/orse/composicao.asp?font_sg_fonte=ORSE&amp;serv_nr_codigo=8408&amp;peri_nr_ano=2014&amp;peri_nr_mes=5&amp;peri_nr_ordem=1"/>
    <hyperlink ref="C665" r:id="rId13" display="http://187.17.2.135/orse/composicao.asp?font_sg_fonte=ORSE&amp;serv_nr_codigo=1683&amp;peri_nr_ano=2014&amp;peri_nr_mes=5&amp;peri_nr_ordem=1"/>
    <hyperlink ref="C655" r:id="rId14" display="http://187.17.2.135/orse/composicao.asp?font_sg_fonte=ORSE&amp;serv_nr_codigo=4395&amp;peri_nr_ano=2014&amp;peri_nr_mes=5&amp;peri_nr_ordem=1"/>
    <hyperlink ref="C546" r:id="rId15" display="http://187.17.2.135/orse/composicao.asp?font_sg_fonte=ORSE&amp;serv_nr_codigo=9045&amp;peri_nr_ano=2014&amp;peri_nr_mes=5&amp;peri_nr_ordem=1"/>
    <hyperlink ref="C729" r:id="rId16" display="http://187.17.2.135/orse/composicao.asp?font_sg_fonte=ORSE&amp;serv_nr_codigo=1470&amp;peri_nr_ano=2014&amp;peri_nr_mes=5&amp;peri_nr_ordem=1"/>
    <hyperlink ref="C490" r:id="rId17" display="http://187.17.2.135/orse/composicao.asp?font_sg_fonte=ORSE&amp;serv_nr_codigo=3278&amp;peri_nr_ano=2014&amp;peri_nr_mes=5&amp;peri_nr_ordem=1"/>
    <hyperlink ref="C523" r:id="rId18" display="http://187.17.2.135/orse/composicao.asp?font_sg_fonte=ORSE&amp;serv_nr_codigo=3294&amp;peri_nr_ano=2014&amp;peri_nr_mes=5&amp;peri_nr_ordem=1"/>
    <hyperlink ref="C497" r:id="rId19" display="http://187.17.2.135/orse/composicao.asp?font_sg_fonte=ORSE&amp;serv_nr_codigo=3298&amp;peri_nr_ano=2014&amp;peri_nr_mes=5&amp;peri_nr_ordem=1"/>
    <hyperlink ref="C457" r:id="rId20" display="http://187.17.2.135/orse/composicao.asp?font_sg_fonte=ORSE&amp;serv_nr_codigo=3277&amp;peri_nr_ano=2014&amp;peri_nr_mes=5&amp;peri_nr_ordem=1"/>
  </hyperlinks>
  <pageMargins left="0.43307086614173229" right="0.23622047244094491" top="0.98425196850393704" bottom="0.74803149606299213" header="0.51181102362204722" footer="0.51181102362204722"/>
  <pageSetup paperSize="9" scale="75" orientation="portrait" r:id="rId21"/>
  <headerFooter alignWithMargins="0">
    <oddFooter>Página &amp;P</oddFooter>
  </headerFooter>
  <ignoredErrors>
    <ignoredError sqref="C27" numberStoredAsText="1"/>
  </ignoredErrors>
  <drawing r:id="rId22"/>
</worksheet>
</file>

<file path=xl/worksheets/sheet2.xml><?xml version="1.0" encoding="utf-8"?>
<worksheet xmlns="http://schemas.openxmlformats.org/spreadsheetml/2006/main" xmlns:r="http://schemas.openxmlformats.org/officeDocument/2006/relationships">
  <dimension ref="A1:O136"/>
  <sheetViews>
    <sheetView tabSelected="1" zoomScale="80" zoomScaleNormal="80" workbookViewId="0">
      <selection activeCell="Q13" sqref="Q13"/>
    </sheetView>
  </sheetViews>
  <sheetFormatPr defaultColWidth="11.42578125" defaultRowHeight="16.5"/>
  <cols>
    <col min="1" max="1" width="8.28515625" style="1" customWidth="1"/>
    <col min="2" max="2" width="36.28515625" style="1" customWidth="1"/>
    <col min="3" max="3" width="10.28515625" style="3" customWidth="1"/>
    <col min="4" max="4" width="14.42578125" style="1" customWidth="1"/>
    <col min="5" max="5" width="9.7109375" style="3" customWidth="1"/>
    <col min="6" max="6" width="14" style="3" customWidth="1"/>
    <col min="7" max="7" width="9.42578125" style="3" customWidth="1"/>
    <col min="8" max="8" width="14.85546875" style="3" customWidth="1"/>
    <col min="9" max="9" width="9.5703125" style="3" customWidth="1"/>
    <col min="10" max="10" width="14.85546875" style="3" customWidth="1"/>
    <col min="11" max="11" width="9.42578125" style="3" customWidth="1"/>
    <col min="12" max="12" width="15.28515625" style="3" customWidth="1"/>
    <col min="13" max="13" width="10" style="3" customWidth="1"/>
    <col min="14" max="14" width="15.5703125" style="3" customWidth="1"/>
    <col min="15" max="15" width="18.140625" style="3" customWidth="1"/>
    <col min="16" max="16384" width="11.42578125" style="1"/>
  </cols>
  <sheetData>
    <row r="1" spans="1:15" s="29" customFormat="1" ht="12.75" customHeight="1">
      <c r="A1" s="209"/>
      <c r="B1" s="195" t="s">
        <v>129</v>
      </c>
      <c r="C1" s="195"/>
      <c r="D1" s="195"/>
      <c r="E1" s="195"/>
      <c r="F1" s="195"/>
      <c r="G1" s="195"/>
      <c r="H1" s="195"/>
      <c r="I1" s="195"/>
      <c r="J1" s="195"/>
      <c r="K1" s="195"/>
      <c r="L1" s="195"/>
      <c r="M1" s="195"/>
      <c r="N1" s="195"/>
      <c r="O1" s="210"/>
    </row>
    <row r="2" spans="1:15" s="29" customFormat="1" ht="12.75" customHeight="1">
      <c r="A2" s="209"/>
      <c r="B2" s="195"/>
      <c r="C2" s="195"/>
      <c r="D2" s="195"/>
      <c r="E2" s="195"/>
      <c r="F2" s="195"/>
      <c r="G2" s="195"/>
      <c r="H2" s="195"/>
      <c r="I2" s="195"/>
      <c r="J2" s="195"/>
      <c r="K2" s="195"/>
      <c r="L2" s="195"/>
      <c r="M2" s="195"/>
      <c r="N2" s="195"/>
      <c r="O2" s="210"/>
    </row>
    <row r="3" spans="1:15" s="29" customFormat="1" ht="12.75" customHeight="1">
      <c r="A3" s="209"/>
      <c r="B3" s="195" t="s">
        <v>130</v>
      </c>
      <c r="C3" s="195"/>
      <c r="D3" s="195"/>
      <c r="E3" s="195"/>
      <c r="F3" s="195"/>
      <c r="G3" s="195"/>
      <c r="H3" s="195"/>
      <c r="I3" s="195"/>
      <c r="J3" s="195"/>
      <c r="K3" s="195"/>
      <c r="L3" s="195"/>
      <c r="M3" s="195"/>
      <c r="N3" s="195"/>
      <c r="O3" s="210"/>
    </row>
    <row r="4" spans="1:15" s="29" customFormat="1" ht="12.75" customHeight="1">
      <c r="A4" s="209"/>
      <c r="B4" s="195"/>
      <c r="C4" s="195"/>
      <c r="D4" s="195"/>
      <c r="E4" s="195"/>
      <c r="F4" s="195"/>
      <c r="G4" s="195"/>
      <c r="H4" s="195"/>
      <c r="I4" s="195"/>
      <c r="J4" s="195"/>
      <c r="K4" s="195"/>
      <c r="L4" s="195"/>
      <c r="M4" s="195"/>
      <c r="N4" s="195"/>
      <c r="O4" s="210"/>
    </row>
    <row r="5" spans="1:15" s="29" customFormat="1" ht="31.5" customHeight="1">
      <c r="A5" s="195" t="s">
        <v>179</v>
      </c>
      <c r="B5" s="195"/>
      <c r="C5" s="195"/>
      <c r="D5" s="195"/>
      <c r="E5" s="195"/>
      <c r="F5" s="195"/>
      <c r="G5" s="195"/>
      <c r="H5" s="195"/>
      <c r="I5" s="195"/>
      <c r="J5" s="195"/>
      <c r="K5" s="195"/>
      <c r="L5" s="195"/>
      <c r="M5" s="195"/>
      <c r="N5" s="195"/>
      <c r="O5" s="195"/>
    </row>
    <row r="6" spans="1:15" s="4" customFormat="1" ht="16.5" customHeight="1">
      <c r="A6" s="189" t="s">
        <v>188</v>
      </c>
      <c r="B6" s="189"/>
      <c r="C6" s="189"/>
      <c r="D6" s="189"/>
      <c r="E6" s="189"/>
      <c r="F6" s="189"/>
      <c r="G6" s="189"/>
      <c r="H6" s="189"/>
      <c r="I6" s="189"/>
      <c r="J6" s="189"/>
      <c r="K6" s="189"/>
      <c r="L6" s="189"/>
      <c r="M6" s="189"/>
      <c r="N6" s="189"/>
      <c r="O6" s="189"/>
    </row>
    <row r="7" spans="1:15" s="4" customFormat="1" ht="16.5" customHeight="1">
      <c r="A7" s="189" t="s">
        <v>384</v>
      </c>
      <c r="B7" s="189"/>
      <c r="C7" s="189"/>
      <c r="D7" s="191" t="s">
        <v>190</v>
      </c>
      <c r="E7" s="191"/>
      <c r="F7" s="191"/>
      <c r="G7" s="191"/>
      <c r="H7" s="191"/>
      <c r="I7" s="191"/>
      <c r="J7" s="191"/>
      <c r="K7" s="191"/>
      <c r="L7" s="191"/>
      <c r="M7" s="191"/>
      <c r="N7" s="191"/>
      <c r="O7" s="42" t="s">
        <v>118</v>
      </c>
    </row>
    <row r="8" spans="1:15" s="4" customFormat="1" ht="16.5" customHeight="1">
      <c r="A8" s="189" t="s">
        <v>189</v>
      </c>
      <c r="B8" s="189"/>
      <c r="C8" s="189"/>
      <c r="D8" s="190" t="s">
        <v>386</v>
      </c>
      <c r="E8" s="190"/>
      <c r="F8" s="190"/>
      <c r="G8" s="190"/>
      <c r="H8" s="190"/>
      <c r="I8" s="190"/>
      <c r="J8" s="190"/>
      <c r="K8" s="190"/>
      <c r="L8" s="190"/>
      <c r="M8" s="190"/>
      <c r="N8" s="190"/>
      <c r="O8" s="190"/>
    </row>
    <row r="9" spans="1:15" s="4" customFormat="1" ht="24" customHeight="1">
      <c r="A9" s="189" t="s">
        <v>785</v>
      </c>
      <c r="B9" s="189"/>
      <c r="C9" s="189"/>
      <c r="D9" s="211" t="s">
        <v>456</v>
      </c>
      <c r="E9" s="212"/>
      <c r="F9" s="212"/>
      <c r="G9" s="212"/>
      <c r="H9" s="212"/>
      <c r="I9" s="212"/>
      <c r="J9" s="212"/>
      <c r="K9" s="212"/>
      <c r="L9" s="212" t="s">
        <v>817</v>
      </c>
      <c r="M9" s="212"/>
      <c r="N9" s="213"/>
      <c r="O9" s="42" t="s">
        <v>812</v>
      </c>
    </row>
    <row r="10" spans="1:15" s="2" customFormat="1" ht="29.25" customHeight="1">
      <c r="A10" s="61" t="s">
        <v>62</v>
      </c>
      <c r="B10" s="61" t="s">
        <v>63</v>
      </c>
      <c r="C10" s="61" t="s">
        <v>99</v>
      </c>
      <c r="D10" s="62" t="s">
        <v>98</v>
      </c>
      <c r="E10" s="61" t="s">
        <v>100</v>
      </c>
      <c r="F10" s="61" t="s">
        <v>101</v>
      </c>
      <c r="G10" s="61" t="s">
        <v>100</v>
      </c>
      <c r="H10" s="61" t="s">
        <v>702</v>
      </c>
      <c r="I10" s="61" t="s">
        <v>100</v>
      </c>
      <c r="J10" s="61" t="s">
        <v>703</v>
      </c>
      <c r="K10" s="61" t="s">
        <v>100</v>
      </c>
      <c r="L10" s="61" t="s">
        <v>704</v>
      </c>
      <c r="M10" s="61" t="s">
        <v>100</v>
      </c>
      <c r="N10" s="61" t="s">
        <v>705</v>
      </c>
      <c r="O10" s="61" t="s">
        <v>67</v>
      </c>
    </row>
    <row r="11" spans="1:15" ht="17.100000000000001" customHeight="1">
      <c r="A11" s="23" t="s">
        <v>70</v>
      </c>
      <c r="B11" s="59" t="s">
        <v>103</v>
      </c>
      <c r="C11" s="43">
        <f t="shared" ref="C11:C27" si="0">D11/$D$28*100</f>
        <v>3.7659524664633319</v>
      </c>
      <c r="D11" s="43">
        <f>'Orç_Hemo Floriano_Rev1'!H64</f>
        <v>15121.65</v>
      </c>
      <c r="E11" s="43">
        <v>100</v>
      </c>
      <c r="F11" s="43">
        <f>E11*D11/100</f>
        <v>15121.65</v>
      </c>
      <c r="G11" s="43"/>
      <c r="H11" s="43"/>
      <c r="I11" s="43"/>
      <c r="J11" s="43"/>
      <c r="K11" s="43"/>
      <c r="L11" s="43"/>
      <c r="M11" s="43"/>
      <c r="N11" s="43"/>
      <c r="O11" s="44">
        <f>F11+H11+J11+L11+N11</f>
        <v>15121.65</v>
      </c>
    </row>
    <row r="12" spans="1:15" ht="17.100000000000001" customHeight="1">
      <c r="A12" s="23" t="s">
        <v>73</v>
      </c>
      <c r="B12" s="59" t="s">
        <v>197</v>
      </c>
      <c r="C12" s="43">
        <f t="shared" si="0"/>
        <v>0.62890769883148923</v>
      </c>
      <c r="D12" s="43">
        <f>'Orç_Hemo Floriano_Rev1'!H97</f>
        <v>2525.29</v>
      </c>
      <c r="E12" s="43">
        <v>100</v>
      </c>
      <c r="F12" s="43">
        <f t="shared" ref="F12:F23" si="1">E12*D12/100</f>
        <v>2525.29</v>
      </c>
      <c r="G12" s="43"/>
      <c r="H12" s="43"/>
      <c r="I12" s="43"/>
      <c r="J12" s="43"/>
      <c r="K12" s="43"/>
      <c r="L12" s="43"/>
      <c r="M12" s="43"/>
      <c r="N12" s="43"/>
      <c r="O12" s="44">
        <f t="shared" ref="O12:O27" si="2">F12+H12+J12+L12+N12</f>
        <v>2525.29</v>
      </c>
    </row>
    <row r="13" spans="1:15" ht="17.100000000000001" customHeight="1">
      <c r="A13" s="23" t="s">
        <v>74</v>
      </c>
      <c r="B13" s="59" t="s">
        <v>196</v>
      </c>
      <c r="C13" s="43">
        <f t="shared" si="0"/>
        <v>2.0130605019173009</v>
      </c>
      <c r="D13" s="43">
        <f>'Orç_Hemo Floriano_Rev1'!H141</f>
        <v>8083.1600000000008</v>
      </c>
      <c r="E13" s="43">
        <v>100</v>
      </c>
      <c r="F13" s="43">
        <f t="shared" si="1"/>
        <v>8083.1600000000008</v>
      </c>
      <c r="G13" s="43"/>
      <c r="H13" s="43"/>
      <c r="I13" s="43"/>
      <c r="J13" s="43"/>
      <c r="K13" s="43"/>
      <c r="L13" s="43"/>
      <c r="M13" s="43"/>
      <c r="N13" s="43"/>
      <c r="O13" s="44">
        <f t="shared" si="2"/>
        <v>8083.1600000000008</v>
      </c>
    </row>
    <row r="14" spans="1:15" ht="17.100000000000001" customHeight="1">
      <c r="A14" s="35" t="s">
        <v>75</v>
      </c>
      <c r="B14" s="58" t="s">
        <v>119</v>
      </c>
      <c r="C14" s="43">
        <f t="shared" si="0"/>
        <v>2.8900730587282277</v>
      </c>
      <c r="D14" s="43">
        <f>'Orç_Hemo Floriano_Rev1'!H160</f>
        <v>11604.68</v>
      </c>
      <c r="E14" s="43">
        <v>100</v>
      </c>
      <c r="F14" s="43">
        <f t="shared" si="1"/>
        <v>11604.68</v>
      </c>
      <c r="G14" s="43"/>
      <c r="H14" s="43"/>
      <c r="I14" s="43"/>
      <c r="J14" s="43"/>
      <c r="K14" s="43"/>
      <c r="L14" s="43"/>
      <c r="M14" s="43"/>
      <c r="N14" s="43"/>
      <c r="O14" s="44">
        <f t="shared" si="2"/>
        <v>11604.68</v>
      </c>
    </row>
    <row r="15" spans="1:15" ht="17.100000000000001" customHeight="1">
      <c r="A15" s="35" t="s">
        <v>76</v>
      </c>
      <c r="B15" s="58" t="s">
        <v>209</v>
      </c>
      <c r="C15" s="43">
        <f t="shared" si="0"/>
        <v>1.3171849379234786</v>
      </c>
      <c r="D15" s="43">
        <f>'Orç_Hemo Floriano_Rev1'!H200</f>
        <v>5288.9699999999993</v>
      </c>
      <c r="E15" s="43">
        <v>100</v>
      </c>
      <c r="F15" s="43">
        <f t="shared" si="1"/>
        <v>5288.9699999999984</v>
      </c>
      <c r="G15" s="43"/>
      <c r="H15" s="43"/>
      <c r="I15" s="43"/>
      <c r="J15" s="43"/>
      <c r="K15" s="43"/>
      <c r="L15" s="43"/>
      <c r="M15" s="43"/>
      <c r="N15" s="43"/>
      <c r="O15" s="44">
        <f t="shared" si="2"/>
        <v>5288.9699999999984</v>
      </c>
    </row>
    <row r="16" spans="1:15" ht="17.100000000000001" customHeight="1">
      <c r="A16" s="23" t="s">
        <v>77</v>
      </c>
      <c r="B16" s="59" t="s">
        <v>104</v>
      </c>
      <c r="C16" s="43">
        <f t="shared" si="0"/>
        <v>10.212818595758332</v>
      </c>
      <c r="D16" s="43">
        <f>'Orç_Hemo Floriano_Rev1'!H221</f>
        <v>41008.130000000005</v>
      </c>
      <c r="E16" s="43">
        <v>70</v>
      </c>
      <c r="F16" s="43">
        <f t="shared" si="1"/>
        <v>28705.691000000006</v>
      </c>
      <c r="G16" s="43">
        <v>30</v>
      </c>
      <c r="H16" s="43">
        <f t="shared" ref="H16:H25" si="3">G16*D16/100</f>
        <v>12302.439000000002</v>
      </c>
      <c r="I16" s="43"/>
      <c r="J16" s="43"/>
      <c r="K16" s="43"/>
      <c r="L16" s="43"/>
      <c r="M16" s="43"/>
      <c r="N16" s="43"/>
      <c r="O16" s="44">
        <f t="shared" si="2"/>
        <v>41008.130000000005</v>
      </c>
    </row>
    <row r="17" spans="1:15" s="21" customFormat="1" ht="16.5" customHeight="1">
      <c r="A17" s="35" t="s">
        <v>78</v>
      </c>
      <c r="B17" s="60" t="s">
        <v>380</v>
      </c>
      <c r="C17" s="45">
        <f t="shared" si="0"/>
        <v>10.758819629240097</v>
      </c>
      <c r="D17" s="45">
        <f>'Orç_Hemo Floriano_Rev1'!H318</f>
        <v>43200.52</v>
      </c>
      <c r="E17" s="45">
        <v>50</v>
      </c>
      <c r="F17" s="43">
        <f t="shared" si="1"/>
        <v>21600.26</v>
      </c>
      <c r="G17" s="45">
        <v>50</v>
      </c>
      <c r="H17" s="43">
        <f t="shared" si="3"/>
        <v>21600.26</v>
      </c>
      <c r="I17" s="45"/>
      <c r="J17" s="43"/>
      <c r="K17" s="45"/>
      <c r="L17" s="43"/>
      <c r="M17" s="45"/>
      <c r="N17" s="43"/>
      <c r="O17" s="44">
        <f t="shared" si="2"/>
        <v>43200.52</v>
      </c>
    </row>
    <row r="18" spans="1:15" ht="17.100000000000001" customHeight="1">
      <c r="A18" s="35" t="s">
        <v>79</v>
      </c>
      <c r="B18" s="58" t="s">
        <v>381</v>
      </c>
      <c r="C18" s="43">
        <f t="shared" si="0"/>
        <v>8.0875912779598007</v>
      </c>
      <c r="D18" s="43">
        <f>'Orç_Hemo Floriano_Rev1'!H361</f>
        <v>32474.58</v>
      </c>
      <c r="E18" s="43"/>
      <c r="F18" s="43"/>
      <c r="G18" s="43">
        <v>60</v>
      </c>
      <c r="H18" s="43">
        <f t="shared" si="3"/>
        <v>19484.748</v>
      </c>
      <c r="I18" s="43">
        <v>15</v>
      </c>
      <c r="J18" s="43">
        <f t="shared" ref="J18:J27" si="4">I18*D18/100</f>
        <v>4871.1869999999999</v>
      </c>
      <c r="K18" s="43">
        <v>15</v>
      </c>
      <c r="L18" s="43">
        <f t="shared" ref="L18:L27" si="5">K18*D18/100</f>
        <v>4871.1869999999999</v>
      </c>
      <c r="M18" s="43">
        <v>10</v>
      </c>
      <c r="N18" s="43">
        <f t="shared" ref="N18:N27" si="6">M18*D18/100</f>
        <v>3247.4580000000005</v>
      </c>
      <c r="O18" s="44">
        <f t="shared" si="2"/>
        <v>32474.579999999994</v>
      </c>
    </row>
    <row r="19" spans="1:15" ht="17.100000000000001" customHeight="1">
      <c r="A19" s="35" t="s">
        <v>90</v>
      </c>
      <c r="B19" s="58" t="s">
        <v>383</v>
      </c>
      <c r="C19" s="43">
        <f t="shared" si="0"/>
        <v>5.5907682668549645</v>
      </c>
      <c r="D19" s="43">
        <f>'Orç_Hemo Floriano_Rev1'!H439</f>
        <v>22448.940000000002</v>
      </c>
      <c r="E19" s="43"/>
      <c r="F19" s="43"/>
      <c r="G19" s="43">
        <v>50</v>
      </c>
      <c r="H19" s="43">
        <f t="shared" si="3"/>
        <v>11224.47</v>
      </c>
      <c r="I19" s="43">
        <v>30</v>
      </c>
      <c r="J19" s="43">
        <f t="shared" si="4"/>
        <v>6734.6820000000007</v>
      </c>
      <c r="K19" s="43">
        <v>20</v>
      </c>
      <c r="L19" s="43">
        <f t="shared" si="5"/>
        <v>4489.7880000000005</v>
      </c>
      <c r="M19" s="43"/>
      <c r="N19" s="43"/>
      <c r="O19" s="44">
        <f t="shared" si="2"/>
        <v>22448.940000000002</v>
      </c>
    </row>
    <row r="20" spans="1:15" ht="17.100000000000001" customHeight="1">
      <c r="A20" s="23" t="s">
        <v>97</v>
      </c>
      <c r="B20" s="59" t="s">
        <v>71</v>
      </c>
      <c r="C20" s="43">
        <f t="shared" si="0"/>
        <v>10.657702884676279</v>
      </c>
      <c r="D20" s="43">
        <f>'Orç_Hemo Floriano_Rev1'!H542</f>
        <v>42794.499999999993</v>
      </c>
      <c r="E20" s="43">
        <v>15</v>
      </c>
      <c r="F20" s="43">
        <f t="shared" si="1"/>
        <v>6419.1749999999993</v>
      </c>
      <c r="G20" s="43">
        <v>15</v>
      </c>
      <c r="H20" s="43">
        <f t="shared" si="3"/>
        <v>6419.1749999999993</v>
      </c>
      <c r="I20" s="43">
        <v>15</v>
      </c>
      <c r="J20" s="43">
        <f t="shared" si="4"/>
        <v>6419.1749999999993</v>
      </c>
      <c r="K20" s="43">
        <v>15</v>
      </c>
      <c r="L20" s="43">
        <f t="shared" si="5"/>
        <v>6419.1749999999993</v>
      </c>
      <c r="M20" s="43">
        <v>40</v>
      </c>
      <c r="N20" s="43">
        <f t="shared" si="6"/>
        <v>17117.8</v>
      </c>
      <c r="O20" s="44">
        <f t="shared" si="2"/>
        <v>42794.5</v>
      </c>
    </row>
    <row r="21" spans="1:15" ht="17.100000000000001" customHeight="1">
      <c r="A21" s="23" t="s">
        <v>95</v>
      </c>
      <c r="B21" s="59" t="s">
        <v>247</v>
      </c>
      <c r="C21" s="43">
        <f t="shared" si="0"/>
        <v>0.52165700663305614</v>
      </c>
      <c r="D21" s="43">
        <f>'Orç_Hemo Floriano_Rev1'!H548</f>
        <v>2094.64</v>
      </c>
      <c r="E21" s="43"/>
      <c r="F21" s="43"/>
      <c r="G21" s="43">
        <v>10</v>
      </c>
      <c r="H21" s="43">
        <f t="shared" si="3"/>
        <v>209.46399999999997</v>
      </c>
      <c r="I21" s="43">
        <v>10</v>
      </c>
      <c r="J21" s="43">
        <f t="shared" si="4"/>
        <v>209.46399999999997</v>
      </c>
      <c r="K21" s="43">
        <v>20</v>
      </c>
      <c r="L21" s="43">
        <f t="shared" si="5"/>
        <v>418.92799999999994</v>
      </c>
      <c r="M21" s="43">
        <v>60</v>
      </c>
      <c r="N21" s="43">
        <f t="shared" si="6"/>
        <v>1256.7839999999999</v>
      </c>
      <c r="O21" s="44">
        <f t="shared" si="2"/>
        <v>2094.64</v>
      </c>
    </row>
    <row r="22" spans="1:15" ht="17.100000000000001" customHeight="1">
      <c r="A22" s="23" t="s">
        <v>357</v>
      </c>
      <c r="B22" s="59" t="s">
        <v>373</v>
      </c>
      <c r="C22" s="43">
        <f t="shared" si="0"/>
        <v>7.9509559133533951</v>
      </c>
      <c r="D22" s="43">
        <f>'Orç_Hemo Floriano_Rev1'!H576</f>
        <v>31925.940000000002</v>
      </c>
      <c r="E22" s="43"/>
      <c r="F22" s="43"/>
      <c r="G22" s="43"/>
      <c r="H22" s="43"/>
      <c r="I22" s="43"/>
      <c r="J22" s="43"/>
      <c r="K22" s="43"/>
      <c r="L22" s="43"/>
      <c r="M22" s="43">
        <v>100</v>
      </c>
      <c r="N22" s="43">
        <f t="shared" si="6"/>
        <v>31925.94</v>
      </c>
      <c r="O22" s="44">
        <f t="shared" si="2"/>
        <v>31925.94</v>
      </c>
    </row>
    <row r="23" spans="1:15" ht="33" customHeight="1">
      <c r="A23" s="23" t="s">
        <v>361</v>
      </c>
      <c r="B23" s="64" t="s">
        <v>112</v>
      </c>
      <c r="C23" s="45">
        <f t="shared" si="0"/>
        <v>7.6354249497062376</v>
      </c>
      <c r="D23" s="45">
        <f>'Orç_Hemo Floriano_Rev1'!H829</f>
        <v>30658.970000000005</v>
      </c>
      <c r="E23" s="45">
        <v>15</v>
      </c>
      <c r="F23" s="43">
        <f t="shared" si="1"/>
        <v>4598.8455000000004</v>
      </c>
      <c r="G23" s="45">
        <v>15</v>
      </c>
      <c r="H23" s="45">
        <f t="shared" si="3"/>
        <v>4598.8455000000004</v>
      </c>
      <c r="I23" s="45">
        <v>15</v>
      </c>
      <c r="J23" s="45">
        <f t="shared" si="4"/>
        <v>4598.8455000000004</v>
      </c>
      <c r="K23" s="45">
        <v>15</v>
      </c>
      <c r="L23" s="45">
        <f t="shared" si="5"/>
        <v>4598.8455000000004</v>
      </c>
      <c r="M23" s="45">
        <v>40</v>
      </c>
      <c r="N23" s="45">
        <f t="shared" si="6"/>
        <v>12263.588000000003</v>
      </c>
      <c r="O23" s="65">
        <f t="shared" si="2"/>
        <v>30658.970000000005</v>
      </c>
    </row>
    <row r="24" spans="1:15" ht="17.100000000000001" customHeight="1">
      <c r="A24" s="23" t="s">
        <v>363</v>
      </c>
      <c r="B24" s="59" t="s">
        <v>72</v>
      </c>
      <c r="C24" s="43">
        <f t="shared" si="0"/>
        <v>9.3250946671339729</v>
      </c>
      <c r="D24" s="43">
        <f>'Orç_Hemo Floriano_Rev1'!H861</f>
        <v>37443.599999999999</v>
      </c>
      <c r="E24" s="43"/>
      <c r="F24" s="43"/>
      <c r="G24" s="43"/>
      <c r="H24" s="43"/>
      <c r="I24" s="43"/>
      <c r="J24" s="43"/>
      <c r="K24" s="43">
        <v>30</v>
      </c>
      <c r="L24" s="43">
        <f t="shared" si="5"/>
        <v>11233.08</v>
      </c>
      <c r="M24" s="43">
        <v>70</v>
      </c>
      <c r="N24" s="43">
        <f t="shared" si="6"/>
        <v>26210.52</v>
      </c>
      <c r="O24" s="44">
        <f t="shared" si="2"/>
        <v>37443.599999999999</v>
      </c>
    </row>
    <row r="25" spans="1:15" ht="17.100000000000001" customHeight="1">
      <c r="A25" s="35" t="s">
        <v>367</v>
      </c>
      <c r="B25" s="58" t="s">
        <v>120</v>
      </c>
      <c r="C25" s="43">
        <f t="shared" si="0"/>
        <v>2.937371448284309</v>
      </c>
      <c r="D25" s="43">
        <f>'Orç_Hemo Floriano_Rev1'!H914</f>
        <v>11794.6</v>
      </c>
      <c r="E25" s="43"/>
      <c r="F25" s="43"/>
      <c r="G25" s="43">
        <v>40</v>
      </c>
      <c r="H25" s="43">
        <f t="shared" si="3"/>
        <v>4717.84</v>
      </c>
      <c r="I25" s="43">
        <v>20</v>
      </c>
      <c r="J25" s="43">
        <f t="shared" si="4"/>
        <v>2358.92</v>
      </c>
      <c r="K25" s="43">
        <v>20</v>
      </c>
      <c r="L25" s="43">
        <f t="shared" si="5"/>
        <v>2358.92</v>
      </c>
      <c r="M25" s="43">
        <v>20</v>
      </c>
      <c r="N25" s="43">
        <f t="shared" si="6"/>
        <v>2358.92</v>
      </c>
      <c r="O25" s="44">
        <f t="shared" si="2"/>
        <v>11794.6</v>
      </c>
    </row>
    <row r="26" spans="1:15" ht="17.100000000000001" customHeight="1">
      <c r="A26" s="35" t="s">
        <v>371</v>
      </c>
      <c r="B26" s="58" t="s">
        <v>121</v>
      </c>
      <c r="C26" s="43">
        <f t="shared" si="0"/>
        <v>1.2829040653329424</v>
      </c>
      <c r="D26" s="43">
        <f>'Orç_Hemo Floriano_Rev1'!H924</f>
        <v>5151.3199999999988</v>
      </c>
      <c r="E26" s="43"/>
      <c r="F26" s="43"/>
      <c r="G26" s="43"/>
      <c r="H26" s="43"/>
      <c r="I26" s="43"/>
      <c r="J26" s="43">
        <f t="shared" si="4"/>
        <v>0</v>
      </c>
      <c r="K26" s="43">
        <v>30</v>
      </c>
      <c r="L26" s="43">
        <f t="shared" si="5"/>
        <v>1545.3959999999997</v>
      </c>
      <c r="M26" s="43">
        <v>70</v>
      </c>
      <c r="N26" s="43">
        <f t="shared" si="6"/>
        <v>3605.9239999999991</v>
      </c>
      <c r="O26" s="44">
        <f t="shared" si="2"/>
        <v>5151.3199999999988</v>
      </c>
    </row>
    <row r="27" spans="1:15" ht="17.100000000000001" customHeight="1">
      <c r="A27" s="23" t="s">
        <v>376</v>
      </c>
      <c r="B27" s="24" t="s">
        <v>311</v>
      </c>
      <c r="C27" s="43">
        <f t="shared" si="0"/>
        <v>14.423712631202786</v>
      </c>
      <c r="D27" s="43">
        <f>'Orç_Hemo Floriano_Rev1'!H959</f>
        <v>57916.380000000005</v>
      </c>
      <c r="E27" s="43"/>
      <c r="F27" s="43"/>
      <c r="G27" s="43"/>
      <c r="H27" s="43"/>
      <c r="I27" s="43">
        <v>80</v>
      </c>
      <c r="J27" s="43">
        <f t="shared" si="4"/>
        <v>46333.104000000007</v>
      </c>
      <c r="K27" s="43">
        <v>10</v>
      </c>
      <c r="L27" s="43">
        <f t="shared" si="5"/>
        <v>5791.6380000000008</v>
      </c>
      <c r="M27" s="43">
        <v>10</v>
      </c>
      <c r="N27" s="43">
        <f t="shared" si="6"/>
        <v>5791.6380000000008</v>
      </c>
      <c r="O27" s="44">
        <f t="shared" si="2"/>
        <v>57916.380000000005</v>
      </c>
    </row>
    <row r="28" spans="1:15">
      <c r="A28" s="208" t="s">
        <v>180</v>
      </c>
      <c r="B28" s="208"/>
      <c r="C28" s="46"/>
      <c r="D28" s="47">
        <f>SUM(D11:D27)</f>
        <v>401535.87</v>
      </c>
      <c r="E28" s="43"/>
      <c r="F28" s="46">
        <f>SUM(F11:F27)</f>
        <v>103947.7215</v>
      </c>
      <c r="G28" s="46"/>
      <c r="H28" s="46">
        <f>SUM(H11:H27)</f>
        <v>80557.241500000004</v>
      </c>
      <c r="I28" s="46"/>
      <c r="J28" s="46">
        <f>SUM(J11:J27)</f>
        <v>71525.377500000002</v>
      </c>
      <c r="K28" s="46"/>
      <c r="L28" s="46">
        <f>SUM(L11:L27)</f>
        <v>41726.957499999997</v>
      </c>
      <c r="M28" s="46"/>
      <c r="N28" s="46">
        <f>SUM(N11:N27)</f>
        <v>103778.57200000001</v>
      </c>
      <c r="O28" s="48">
        <f>SUM(O11:O27)</f>
        <v>401535.87</v>
      </c>
    </row>
    <row r="29" spans="1:15">
      <c r="A29" s="208" t="s">
        <v>117</v>
      </c>
      <c r="B29" s="208"/>
      <c r="C29" s="46">
        <f>SUM(C11:C28)</f>
        <v>99.999999999999986</v>
      </c>
      <c r="D29" s="47"/>
      <c r="E29" s="48">
        <f>F28/D28*100</f>
        <v>25.887530670672088</v>
      </c>
      <c r="F29" s="46"/>
      <c r="G29" s="46">
        <f>H28/D28*100</f>
        <v>20.062277748685318</v>
      </c>
      <c r="H29" s="46"/>
      <c r="I29" s="46">
        <f>J28/D28*100</f>
        <v>17.812948442190233</v>
      </c>
      <c r="J29" s="46"/>
      <c r="K29" s="46">
        <f>L28/D28*100</f>
        <v>10.391838094066166</v>
      </c>
      <c r="L29" s="46"/>
      <c r="M29" s="46">
        <f>N28/D28*100</f>
        <v>25.845405044386201</v>
      </c>
      <c r="N29" s="46"/>
      <c r="O29" s="48">
        <f>O28/D28*100</f>
        <v>100</v>
      </c>
    </row>
    <row r="30" spans="1:15">
      <c r="A30" s="7"/>
      <c r="D30" s="9"/>
      <c r="F30" s="1"/>
      <c r="G30" s="1"/>
      <c r="H30" s="1"/>
      <c r="I30" s="1"/>
      <c r="J30" s="1"/>
      <c r="K30" s="1"/>
      <c r="L30" s="1"/>
      <c r="M30" s="1"/>
      <c r="N30" s="1"/>
      <c r="O30" s="1"/>
    </row>
    <row r="31" spans="1:15">
      <c r="A31" s="9"/>
      <c r="D31" s="9"/>
    </row>
    <row r="32" spans="1:15">
      <c r="A32" s="9"/>
      <c r="D32" s="9"/>
    </row>
    <row r="33" spans="1:15">
      <c r="A33" s="7"/>
      <c r="B33" s="10"/>
      <c r="D33" s="9"/>
      <c r="F33" s="1"/>
      <c r="G33" s="1"/>
      <c r="H33" s="1"/>
      <c r="I33" s="1"/>
      <c r="J33" s="1"/>
      <c r="K33" s="1"/>
      <c r="L33" s="1"/>
      <c r="M33" s="1"/>
      <c r="N33" s="1"/>
      <c r="O33" s="1"/>
    </row>
    <row r="34" spans="1:15">
      <c r="A34" s="9"/>
      <c r="B34" s="11"/>
      <c r="D34" s="9"/>
    </row>
    <row r="35" spans="1:15">
      <c r="A35" s="9"/>
      <c r="B35" s="11"/>
      <c r="D35" s="9"/>
    </row>
    <row r="36" spans="1:15">
      <c r="A36" s="7"/>
      <c r="B36" s="10"/>
      <c r="F36" s="1"/>
      <c r="G36" s="1"/>
      <c r="H36" s="1"/>
      <c r="I36" s="1"/>
      <c r="J36" s="1"/>
      <c r="K36" s="1"/>
      <c r="L36" s="1"/>
      <c r="M36" s="1"/>
      <c r="N36" s="1"/>
      <c r="O36" s="1"/>
    </row>
    <row r="37" spans="1:15">
      <c r="A37" s="9"/>
      <c r="D37" s="9"/>
    </row>
    <row r="38" spans="1:15">
      <c r="A38" s="9"/>
      <c r="D38" s="9"/>
    </row>
    <row r="39" spans="1:15">
      <c r="A39" s="9"/>
      <c r="D39" s="9"/>
    </row>
    <row r="40" spans="1:15">
      <c r="A40" s="7"/>
      <c r="B40" s="10"/>
      <c r="C40" s="1"/>
      <c r="D40" s="9"/>
      <c r="F40" s="1"/>
      <c r="G40" s="1"/>
      <c r="H40" s="1"/>
      <c r="I40" s="1"/>
      <c r="J40" s="1"/>
      <c r="K40" s="1"/>
      <c r="L40" s="1"/>
      <c r="M40" s="1"/>
      <c r="N40" s="1"/>
      <c r="O40" s="1"/>
    </row>
    <row r="41" spans="1:15">
      <c r="A41" s="9"/>
      <c r="D41" s="9"/>
    </row>
    <row r="42" spans="1:15">
      <c r="A42" s="9"/>
      <c r="D42" s="9"/>
    </row>
    <row r="43" spans="1:15">
      <c r="A43" s="7"/>
      <c r="B43" s="10"/>
      <c r="D43" s="9"/>
      <c r="E43" s="1"/>
      <c r="F43" s="8"/>
      <c r="G43" s="8"/>
      <c r="H43" s="8"/>
      <c r="I43" s="8"/>
      <c r="J43" s="8"/>
      <c r="K43" s="8"/>
      <c r="L43" s="8"/>
      <c r="M43" s="8"/>
      <c r="N43" s="8"/>
      <c r="O43" s="8"/>
    </row>
    <row r="44" spans="1:15">
      <c r="A44" s="9"/>
      <c r="B44" s="10"/>
      <c r="D44" s="9"/>
      <c r="F44" s="1"/>
      <c r="G44" s="1"/>
      <c r="H44" s="1"/>
      <c r="I44" s="1"/>
      <c r="J44" s="1"/>
      <c r="K44" s="1"/>
      <c r="L44" s="1"/>
      <c r="M44" s="1"/>
      <c r="N44" s="1"/>
      <c r="O44" s="1"/>
    </row>
    <row r="45" spans="1:15">
      <c r="A45" s="9"/>
      <c r="B45" s="10"/>
      <c r="D45" s="9"/>
      <c r="F45" s="1"/>
      <c r="G45" s="1"/>
      <c r="H45" s="1"/>
      <c r="I45" s="1"/>
      <c r="J45" s="1"/>
      <c r="K45" s="1"/>
      <c r="L45" s="1"/>
      <c r="M45" s="1"/>
      <c r="N45" s="1"/>
      <c r="O45" s="1"/>
    </row>
    <row r="46" spans="1:15">
      <c r="A46" s="9"/>
      <c r="D46" s="9"/>
    </row>
    <row r="47" spans="1:15">
      <c r="A47" s="7"/>
      <c r="B47" s="10"/>
      <c r="D47" s="9"/>
      <c r="E47" s="8"/>
    </row>
    <row r="48" spans="1:15">
      <c r="A48" s="7"/>
      <c r="B48" s="10"/>
      <c r="D48" s="9"/>
    </row>
    <row r="49" spans="1:4">
      <c r="A49" s="9"/>
      <c r="D49" s="9"/>
    </row>
    <row r="50" spans="1:4">
      <c r="A50" s="9"/>
      <c r="D50" s="9"/>
    </row>
    <row r="51" spans="1:4">
      <c r="A51" s="9"/>
      <c r="D51" s="9"/>
    </row>
    <row r="52" spans="1:4">
      <c r="A52" s="9"/>
      <c r="D52" s="9"/>
    </row>
    <row r="53" spans="1:4">
      <c r="A53" s="9"/>
      <c r="D53" s="9"/>
    </row>
    <row r="54" spans="1:4">
      <c r="A54" s="9"/>
      <c r="D54" s="9"/>
    </row>
    <row r="55" spans="1:4">
      <c r="A55" s="9"/>
      <c r="D55" s="9"/>
    </row>
    <row r="56" spans="1:4">
      <c r="A56" s="9"/>
      <c r="D56" s="9"/>
    </row>
    <row r="57" spans="1:4">
      <c r="A57" s="7"/>
      <c r="B57" s="12"/>
      <c r="D57" s="9"/>
    </row>
    <row r="58" spans="1:4">
      <c r="A58" s="9"/>
      <c r="B58" s="11"/>
      <c r="D58" s="9"/>
    </row>
    <row r="59" spans="1:4">
      <c r="A59" s="9"/>
      <c r="B59" s="11"/>
      <c r="D59" s="9"/>
    </row>
    <row r="60" spans="1:4">
      <c r="A60" s="9"/>
      <c r="B60" s="11"/>
      <c r="D60" s="9"/>
    </row>
    <row r="61" spans="1:4">
      <c r="A61" s="9"/>
      <c r="B61" s="11"/>
      <c r="D61" s="9"/>
    </row>
    <row r="62" spans="1:4">
      <c r="A62" s="9"/>
      <c r="B62" s="11"/>
      <c r="D62" s="9"/>
    </row>
    <row r="63" spans="1:4">
      <c r="A63" s="9"/>
      <c r="B63" s="11"/>
      <c r="D63" s="9"/>
    </row>
    <row r="64" spans="1:4">
      <c r="A64" s="9"/>
      <c r="B64" s="11"/>
      <c r="D64" s="9"/>
    </row>
    <row r="65" spans="1:15">
      <c r="A65" s="9"/>
      <c r="B65" s="11"/>
      <c r="D65" s="9"/>
    </row>
    <row r="66" spans="1:15">
      <c r="A66" s="9"/>
      <c r="B66" s="11"/>
      <c r="D66" s="9"/>
    </row>
    <row r="67" spans="1:15">
      <c r="A67" s="9"/>
      <c r="B67" s="11"/>
      <c r="D67" s="9"/>
    </row>
    <row r="68" spans="1:15">
      <c r="A68" s="9"/>
      <c r="B68" s="11"/>
      <c r="D68" s="9"/>
    </row>
    <row r="69" spans="1:15">
      <c r="A69" s="9"/>
      <c r="B69" s="11"/>
      <c r="D69" s="9"/>
    </row>
    <row r="70" spans="1:15">
      <c r="A70" s="7"/>
      <c r="B70" s="11"/>
      <c r="D70" s="9"/>
    </row>
    <row r="71" spans="1:15">
      <c r="A71" s="7"/>
      <c r="B71" s="10"/>
      <c r="D71" s="9"/>
      <c r="F71" s="1"/>
      <c r="G71" s="1"/>
      <c r="H71" s="1"/>
      <c r="I71" s="1"/>
      <c r="J71" s="1"/>
      <c r="K71" s="1"/>
      <c r="L71" s="1"/>
      <c r="M71" s="1"/>
      <c r="N71" s="1"/>
      <c r="O71" s="1"/>
    </row>
    <row r="72" spans="1:15">
      <c r="A72" s="9"/>
      <c r="B72" s="13"/>
      <c r="D72" s="9"/>
    </row>
    <row r="73" spans="1:15">
      <c r="A73" s="9"/>
      <c r="D73" s="9"/>
    </row>
    <row r="74" spans="1:15">
      <c r="A74" s="9"/>
      <c r="B74" s="10"/>
      <c r="D74" s="9"/>
      <c r="F74" s="8"/>
      <c r="G74" s="8"/>
      <c r="H74" s="8"/>
      <c r="I74" s="8"/>
      <c r="J74" s="8"/>
      <c r="K74" s="8"/>
      <c r="L74" s="8"/>
      <c r="M74" s="8"/>
      <c r="N74" s="8"/>
      <c r="O74" s="8"/>
    </row>
    <row r="75" spans="1:15">
      <c r="A75" s="9"/>
      <c r="B75" s="10"/>
      <c r="D75" s="9"/>
      <c r="F75" s="8"/>
      <c r="G75" s="8"/>
      <c r="H75" s="8"/>
      <c r="I75" s="8"/>
      <c r="J75" s="8"/>
      <c r="K75" s="8"/>
      <c r="L75" s="8"/>
      <c r="M75" s="8"/>
      <c r="N75" s="8"/>
      <c r="O75" s="8"/>
    </row>
    <row r="76" spans="1:15">
      <c r="A76" s="7"/>
      <c r="B76" s="10"/>
      <c r="D76" s="9"/>
      <c r="F76" s="8"/>
      <c r="G76" s="8"/>
      <c r="H76" s="8"/>
      <c r="I76" s="8"/>
      <c r="J76" s="8"/>
      <c r="K76" s="8"/>
      <c r="L76" s="8"/>
      <c r="M76" s="8"/>
      <c r="N76" s="8"/>
      <c r="O76" s="8"/>
    </row>
    <row r="77" spans="1:15">
      <c r="A77" s="7"/>
      <c r="B77" s="10"/>
      <c r="D77" s="9"/>
    </row>
    <row r="78" spans="1:15">
      <c r="A78" s="9"/>
      <c r="D78" s="9"/>
    </row>
    <row r="79" spans="1:15">
      <c r="A79" s="9"/>
      <c r="D79" s="9"/>
    </row>
    <row r="80" spans="1:15">
      <c r="A80" s="9"/>
      <c r="D80" s="9"/>
    </row>
    <row r="81" spans="1:4">
      <c r="A81" s="9"/>
      <c r="D81" s="9"/>
    </row>
    <row r="82" spans="1:4">
      <c r="A82" s="9"/>
      <c r="D82" s="9"/>
    </row>
    <row r="83" spans="1:4">
      <c r="A83" s="9"/>
      <c r="D83" s="9"/>
    </row>
    <row r="84" spans="1:4">
      <c r="A84" s="7"/>
      <c r="B84" s="12"/>
      <c r="D84" s="9"/>
    </row>
    <row r="85" spans="1:4">
      <c r="A85" s="9"/>
      <c r="B85" s="11"/>
      <c r="D85" s="9"/>
    </row>
    <row r="86" spans="1:4">
      <c r="A86" s="9"/>
      <c r="B86" s="11"/>
      <c r="D86" s="9"/>
    </row>
    <row r="87" spans="1:4">
      <c r="A87" s="9"/>
      <c r="B87" s="11"/>
      <c r="D87" s="9"/>
    </row>
    <row r="88" spans="1:4">
      <c r="A88" s="9"/>
      <c r="B88" s="11"/>
      <c r="D88" s="9"/>
    </row>
    <row r="89" spans="1:4">
      <c r="A89" s="9"/>
      <c r="B89" s="11"/>
      <c r="D89" s="9"/>
    </row>
    <row r="90" spans="1:4">
      <c r="A90" s="9"/>
      <c r="B90" s="11"/>
      <c r="D90" s="9"/>
    </row>
    <row r="91" spans="1:4">
      <c r="A91" s="9"/>
      <c r="B91" s="11"/>
      <c r="D91" s="9"/>
    </row>
    <row r="92" spans="1:4">
      <c r="A92" s="7"/>
      <c r="B92" s="10"/>
      <c r="D92" s="9"/>
    </row>
    <row r="93" spans="1:4">
      <c r="A93" s="14"/>
      <c r="B93" s="15"/>
      <c r="D93" s="9"/>
    </row>
    <row r="94" spans="1:4">
      <c r="A94" s="7"/>
      <c r="B94" s="10"/>
      <c r="D94" s="9"/>
    </row>
    <row r="95" spans="1:4">
      <c r="A95" s="9"/>
      <c r="D95" s="9"/>
    </row>
    <row r="96" spans="1:4">
      <c r="A96" s="9"/>
      <c r="D96" s="9"/>
    </row>
    <row r="97" spans="1:15">
      <c r="A97" s="9"/>
      <c r="D97" s="9"/>
    </row>
    <row r="98" spans="1:15">
      <c r="A98" s="9"/>
      <c r="D98" s="9"/>
    </row>
    <row r="99" spans="1:15">
      <c r="A99" s="9"/>
      <c r="D99" s="9"/>
    </row>
    <row r="100" spans="1:15">
      <c r="A100" s="7"/>
      <c r="B100" s="10"/>
      <c r="D100" s="9"/>
    </row>
    <row r="101" spans="1:15">
      <c r="A101" s="9"/>
      <c r="D101" s="9"/>
    </row>
    <row r="102" spans="1:15">
      <c r="A102" s="9"/>
      <c r="B102" s="13"/>
      <c r="D102" s="9"/>
    </row>
    <row r="103" spans="1:15">
      <c r="A103" s="9"/>
      <c r="D103" s="9"/>
    </row>
    <row r="104" spans="1:15">
      <c r="A104" s="9"/>
      <c r="D104" s="9"/>
    </row>
    <row r="105" spans="1:15">
      <c r="A105" s="9"/>
      <c r="D105" s="9"/>
    </row>
    <row r="106" spans="1:15">
      <c r="A106" s="9"/>
      <c r="D106" s="9"/>
    </row>
    <row r="107" spans="1:15">
      <c r="A107" s="9"/>
      <c r="D107" s="9"/>
    </row>
    <row r="108" spans="1:15">
      <c r="A108" s="9"/>
      <c r="D108" s="9"/>
    </row>
    <row r="109" spans="1:15">
      <c r="A109" s="9"/>
      <c r="D109" s="9"/>
    </row>
    <row r="110" spans="1:15">
      <c r="A110" s="9"/>
      <c r="D110" s="9"/>
    </row>
    <row r="111" spans="1:15">
      <c r="A111" s="9"/>
      <c r="B111" s="9"/>
      <c r="D111" s="9"/>
      <c r="F111" s="8"/>
      <c r="G111" s="8"/>
      <c r="H111" s="8"/>
      <c r="I111" s="8"/>
      <c r="J111" s="8"/>
      <c r="K111" s="8"/>
      <c r="L111" s="8"/>
      <c r="M111" s="8"/>
      <c r="N111" s="8"/>
      <c r="O111" s="8"/>
    </row>
    <row r="112" spans="1:15">
      <c r="A112" s="9"/>
      <c r="D112" s="9"/>
    </row>
    <row r="113" spans="1:4">
      <c r="A113" s="9"/>
      <c r="D113" s="9"/>
    </row>
    <row r="114" spans="1:4">
      <c r="A114" s="9"/>
      <c r="D114" s="9"/>
    </row>
    <row r="115" spans="1:4">
      <c r="A115" s="9"/>
      <c r="D115" s="9"/>
    </row>
    <row r="116" spans="1:4">
      <c r="A116" s="9"/>
      <c r="D116" s="9"/>
    </row>
    <row r="117" spans="1:4">
      <c r="A117" s="9"/>
      <c r="D117" s="9"/>
    </row>
    <row r="118" spans="1:4">
      <c r="A118" s="9"/>
      <c r="D118" s="9"/>
    </row>
    <row r="119" spans="1:4">
      <c r="A119" s="9"/>
      <c r="D119" s="9"/>
    </row>
    <row r="120" spans="1:4">
      <c r="A120" s="9"/>
      <c r="D120" s="9"/>
    </row>
    <row r="121" spans="1:4">
      <c r="A121" s="9"/>
      <c r="D121" s="9"/>
    </row>
    <row r="122" spans="1:4">
      <c r="A122" s="9"/>
      <c r="D122" s="9"/>
    </row>
    <row r="123" spans="1:4">
      <c r="A123" s="9"/>
      <c r="D123" s="9"/>
    </row>
    <row r="124" spans="1:4">
      <c r="A124" s="9"/>
      <c r="D124" s="9"/>
    </row>
    <row r="125" spans="1:4">
      <c r="A125" s="9"/>
      <c r="D125" s="9"/>
    </row>
    <row r="126" spans="1:4">
      <c r="A126" s="9"/>
      <c r="D126" s="9"/>
    </row>
    <row r="127" spans="1:4">
      <c r="A127" s="9"/>
      <c r="D127" s="9"/>
    </row>
    <row r="128" spans="1:4">
      <c r="B128" s="10"/>
      <c r="D128" s="9"/>
    </row>
    <row r="129" spans="2:4">
      <c r="B129" s="10"/>
      <c r="D129" s="9"/>
    </row>
    <row r="130" spans="2:4">
      <c r="B130" s="10"/>
      <c r="D130" s="9"/>
    </row>
    <row r="131" spans="2:4">
      <c r="D131" s="9"/>
    </row>
    <row r="132" spans="2:4">
      <c r="D132" s="9"/>
    </row>
    <row r="133" spans="2:4">
      <c r="D133" s="9"/>
    </row>
    <row r="134" spans="2:4">
      <c r="D134" s="9"/>
    </row>
    <row r="135" spans="2:4">
      <c r="D135" s="9"/>
    </row>
    <row r="136" spans="2:4">
      <c r="D136" s="9"/>
    </row>
  </sheetData>
  <mergeCells count="15">
    <mergeCell ref="A29:B29"/>
    <mergeCell ref="A9:C9"/>
    <mergeCell ref="A8:C8"/>
    <mergeCell ref="D8:O8"/>
    <mergeCell ref="D9:K9"/>
    <mergeCell ref="L9:N9"/>
    <mergeCell ref="A7:C7"/>
    <mergeCell ref="D7:N7"/>
    <mergeCell ref="A28:B28"/>
    <mergeCell ref="A6:O6"/>
    <mergeCell ref="A1:A4"/>
    <mergeCell ref="B1:N2"/>
    <mergeCell ref="O1:O4"/>
    <mergeCell ref="B3:N4"/>
    <mergeCell ref="A5:O5"/>
  </mergeCells>
  <phoneticPr fontId="9" type="noConversion"/>
  <pageMargins left="0.46" right="0.28999999999999998" top="0.984251969" bottom="0.984251969" header="0.49212598499999999" footer="0.49212598499999999"/>
  <pageSetup scale="6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dimension ref="A1:H963"/>
  <sheetViews>
    <sheetView topLeftCell="A184" workbookViewId="0">
      <selection activeCell="J5" sqref="J5"/>
    </sheetView>
  </sheetViews>
  <sheetFormatPr defaultColWidth="11.42578125" defaultRowHeight="12.75"/>
  <cols>
    <col min="1" max="1" width="8.42578125" style="6" customWidth="1"/>
    <col min="2" max="2" width="45" style="4" customWidth="1"/>
    <col min="3" max="3" width="11.140625" style="6" customWidth="1"/>
    <col min="4" max="4" width="5" style="6" customWidth="1"/>
    <col min="5" max="5" width="8.42578125" style="20" customWidth="1"/>
    <col min="6" max="6" width="9.140625" style="20" customWidth="1"/>
    <col min="7" max="7" width="11.7109375" style="20" customWidth="1"/>
    <col min="8" max="8" width="8.42578125" style="20" customWidth="1"/>
    <col min="9" max="16384" width="11.42578125" style="4"/>
  </cols>
  <sheetData>
    <row r="1" spans="1:8" s="29" customFormat="1" ht="12.75" customHeight="1">
      <c r="A1" s="196"/>
      <c r="B1" s="199" t="s">
        <v>129</v>
      </c>
      <c r="C1" s="200"/>
      <c r="D1" s="200"/>
      <c r="E1" s="200"/>
      <c r="F1" s="200"/>
      <c r="G1" s="201"/>
      <c r="H1" s="215"/>
    </row>
    <row r="2" spans="1:8" s="29" customFormat="1" ht="12.75" customHeight="1">
      <c r="A2" s="197"/>
      <c r="B2" s="202"/>
      <c r="C2" s="203"/>
      <c r="D2" s="203"/>
      <c r="E2" s="203"/>
      <c r="F2" s="203"/>
      <c r="G2" s="204"/>
      <c r="H2" s="216"/>
    </row>
    <row r="3" spans="1:8" s="29" customFormat="1" ht="12.75" customHeight="1">
      <c r="A3" s="197"/>
      <c r="B3" s="199" t="s">
        <v>130</v>
      </c>
      <c r="C3" s="200"/>
      <c r="D3" s="200"/>
      <c r="E3" s="200"/>
      <c r="F3" s="200"/>
      <c r="G3" s="201"/>
      <c r="H3" s="216"/>
    </row>
    <row r="4" spans="1:8" s="29" customFormat="1" ht="12.75" customHeight="1">
      <c r="A4" s="198"/>
      <c r="B4" s="202"/>
      <c r="C4" s="203"/>
      <c r="D4" s="203"/>
      <c r="E4" s="203"/>
      <c r="F4" s="203"/>
      <c r="G4" s="204"/>
      <c r="H4" s="217"/>
    </row>
    <row r="5" spans="1:8" s="29" customFormat="1" ht="31.5" customHeight="1">
      <c r="A5" s="195" t="s">
        <v>106</v>
      </c>
      <c r="B5" s="195"/>
      <c r="C5" s="195"/>
      <c r="D5" s="195"/>
      <c r="E5" s="195"/>
      <c r="F5" s="195"/>
      <c r="G5" s="195"/>
      <c r="H5" s="195"/>
    </row>
    <row r="6" spans="1:8" ht="16.5" customHeight="1">
      <c r="A6" s="189" t="s">
        <v>188</v>
      </c>
      <c r="B6" s="189"/>
      <c r="C6" s="189"/>
      <c r="D6" s="189"/>
      <c r="E6" s="189"/>
      <c r="F6" s="189"/>
      <c r="G6" s="189"/>
      <c r="H6" s="189"/>
    </row>
    <row r="7" spans="1:8" ht="16.5" customHeight="1">
      <c r="A7" s="189" t="s">
        <v>439</v>
      </c>
      <c r="B7" s="189"/>
      <c r="C7" s="189"/>
      <c r="D7" s="191" t="s">
        <v>190</v>
      </c>
      <c r="E7" s="191"/>
      <c r="F7" s="191"/>
      <c r="G7" s="191" t="s">
        <v>118</v>
      </c>
      <c r="H7" s="191"/>
    </row>
    <row r="8" spans="1:8" ht="16.5" customHeight="1">
      <c r="A8" s="189" t="s">
        <v>189</v>
      </c>
      <c r="B8" s="189"/>
      <c r="C8" s="189"/>
      <c r="D8" s="190" t="s">
        <v>386</v>
      </c>
      <c r="E8" s="190"/>
      <c r="F8" s="190"/>
      <c r="G8" s="190"/>
      <c r="H8" s="190"/>
    </row>
    <row r="9" spans="1:8" ht="24" customHeight="1">
      <c r="A9" s="218" t="s">
        <v>385</v>
      </c>
      <c r="B9" s="219"/>
      <c r="C9" s="211" t="s">
        <v>762</v>
      </c>
      <c r="D9" s="213"/>
      <c r="E9" s="211" t="s">
        <v>455</v>
      </c>
      <c r="F9" s="213"/>
      <c r="G9" s="191" t="s">
        <v>131</v>
      </c>
      <c r="H9" s="191"/>
    </row>
    <row r="10" spans="1:8" ht="63" customHeight="1">
      <c r="A10" s="188" t="s">
        <v>761</v>
      </c>
      <c r="B10" s="189"/>
      <c r="C10" s="189"/>
      <c r="D10" s="189"/>
      <c r="E10" s="189"/>
      <c r="F10" s="189"/>
      <c r="G10" s="189"/>
      <c r="H10" s="189"/>
    </row>
    <row r="11" spans="1:8" s="5" customFormat="1" ht="30.75" customHeight="1">
      <c r="A11" s="23" t="s">
        <v>62</v>
      </c>
      <c r="B11" s="23" t="s">
        <v>63</v>
      </c>
      <c r="C11" s="31" t="s">
        <v>133</v>
      </c>
      <c r="D11" s="23" t="s">
        <v>107</v>
      </c>
      <c r="E11" s="22" t="s">
        <v>64</v>
      </c>
      <c r="F11" s="22" t="s">
        <v>105</v>
      </c>
      <c r="G11" s="22" t="s">
        <v>108</v>
      </c>
      <c r="H11" s="22" t="s">
        <v>100</v>
      </c>
    </row>
    <row r="12" spans="1:8" ht="15.75" customHeight="1">
      <c r="A12" s="23" t="s">
        <v>70</v>
      </c>
      <c r="B12" s="24" t="s">
        <v>103</v>
      </c>
      <c r="C12" s="23"/>
      <c r="D12" s="16"/>
      <c r="E12" s="17"/>
      <c r="F12" s="17"/>
      <c r="G12" s="17"/>
      <c r="H12" s="17"/>
    </row>
    <row r="13" spans="1:8" ht="15.75" customHeight="1">
      <c r="A13" s="16" t="s">
        <v>69</v>
      </c>
      <c r="B13" s="49" t="s">
        <v>144</v>
      </c>
      <c r="C13" s="16" t="s">
        <v>143</v>
      </c>
      <c r="D13" s="32" t="s">
        <v>109</v>
      </c>
      <c r="E13" s="17">
        <v>6.3000000000000007</v>
      </c>
      <c r="F13" s="17"/>
      <c r="G13" s="17">
        <f>E13*F13</f>
        <v>0</v>
      </c>
      <c r="H13" s="17"/>
    </row>
    <row r="14" spans="1:8" ht="15.75" customHeight="1">
      <c r="A14" s="82" t="s">
        <v>68</v>
      </c>
      <c r="B14" s="83" t="s">
        <v>192</v>
      </c>
      <c r="C14" s="82" t="s">
        <v>191</v>
      </c>
      <c r="D14" s="84" t="s">
        <v>109</v>
      </c>
      <c r="E14" s="85">
        <f>E21</f>
        <v>460.32249999999999</v>
      </c>
      <c r="F14" s="85"/>
      <c r="G14" s="85">
        <f>E14*F14</f>
        <v>0</v>
      </c>
      <c r="H14" s="85"/>
    </row>
    <row r="15" spans="1:8" ht="30.75" customHeight="1">
      <c r="A15" s="91"/>
      <c r="B15" s="132" t="s">
        <v>457</v>
      </c>
      <c r="C15" s="92"/>
      <c r="D15" s="93"/>
      <c r="E15" s="94"/>
      <c r="F15" s="94"/>
      <c r="G15" s="94"/>
      <c r="H15" s="95"/>
    </row>
    <row r="16" spans="1:8" ht="15.75" customHeight="1">
      <c r="A16" s="96"/>
      <c r="B16" s="133" t="s">
        <v>458</v>
      </c>
      <c r="C16" s="66"/>
      <c r="D16" s="67"/>
      <c r="E16" s="68">
        <f>18.65*14.65</f>
        <v>273.22249999999997</v>
      </c>
      <c r="F16" s="68"/>
      <c r="G16" s="68"/>
      <c r="H16" s="97"/>
    </row>
    <row r="17" spans="1:8" ht="31.5" customHeight="1">
      <c r="A17" s="96"/>
      <c r="B17" s="74" t="s">
        <v>459</v>
      </c>
      <c r="C17" s="66"/>
      <c r="D17" s="67"/>
      <c r="E17" s="68"/>
      <c r="F17" s="68"/>
      <c r="G17" s="68"/>
      <c r="H17" s="97"/>
    </row>
    <row r="18" spans="1:8" ht="15.75" customHeight="1">
      <c r="A18" s="96"/>
      <c r="B18" s="133" t="s">
        <v>460</v>
      </c>
      <c r="C18" s="66"/>
      <c r="D18" s="67"/>
      <c r="E18" s="68">
        <f>22.5*5</f>
        <v>112.5</v>
      </c>
      <c r="F18" s="68"/>
      <c r="G18" s="68"/>
      <c r="H18" s="97"/>
    </row>
    <row r="19" spans="1:8" ht="30.75" customHeight="1">
      <c r="A19" s="96"/>
      <c r="B19" s="74" t="s">
        <v>461</v>
      </c>
      <c r="C19" s="66"/>
      <c r="D19" s="67"/>
      <c r="E19" s="68"/>
      <c r="F19" s="68"/>
      <c r="G19" s="68"/>
      <c r="H19" s="97"/>
    </row>
    <row r="20" spans="1:8" ht="15.75" customHeight="1">
      <c r="A20" s="96"/>
      <c r="B20" s="133" t="s">
        <v>462</v>
      </c>
      <c r="C20" s="66"/>
      <c r="D20" s="67"/>
      <c r="E20" s="68">
        <f>18.65*4</f>
        <v>74.599999999999994</v>
      </c>
      <c r="F20" s="68"/>
      <c r="G20" s="68"/>
      <c r="H20" s="97"/>
    </row>
    <row r="21" spans="1:8" ht="15.75" customHeight="1">
      <c r="A21" s="98"/>
      <c r="B21" s="99" t="s">
        <v>463</v>
      </c>
      <c r="C21" s="100"/>
      <c r="D21" s="101"/>
      <c r="E21" s="102">
        <f>SUM(E16:E20)</f>
        <v>460.32249999999999</v>
      </c>
      <c r="F21" s="103"/>
      <c r="G21" s="103"/>
      <c r="H21" s="104"/>
    </row>
    <row r="22" spans="1:8" ht="45" customHeight="1">
      <c r="A22" s="86" t="s">
        <v>66</v>
      </c>
      <c r="B22" s="87" t="s">
        <v>194</v>
      </c>
      <c r="C22" s="86" t="s">
        <v>193</v>
      </c>
      <c r="D22" s="88" t="s">
        <v>109</v>
      </c>
      <c r="E22" s="89">
        <f>E25</f>
        <v>22</v>
      </c>
      <c r="F22" s="89"/>
      <c r="G22" s="89">
        <f>E22*F22</f>
        <v>0</v>
      </c>
      <c r="H22" s="89"/>
    </row>
    <row r="23" spans="1:8" ht="42" customHeight="1">
      <c r="A23" s="91"/>
      <c r="B23" s="132" t="s">
        <v>464</v>
      </c>
      <c r="C23" s="92"/>
      <c r="D23" s="93"/>
      <c r="E23" s="94"/>
      <c r="F23" s="94"/>
      <c r="G23" s="94"/>
      <c r="H23" s="95"/>
    </row>
    <row r="24" spans="1:8" ht="15.75" customHeight="1">
      <c r="A24" s="96"/>
      <c r="B24" s="133" t="s">
        <v>465</v>
      </c>
      <c r="C24" s="66"/>
      <c r="D24" s="67"/>
      <c r="E24" s="68">
        <f>4*5.5</f>
        <v>22</v>
      </c>
      <c r="F24" s="68"/>
      <c r="G24" s="68"/>
      <c r="H24" s="97"/>
    </row>
    <row r="25" spans="1:8" ht="15.75" customHeight="1">
      <c r="A25" s="98"/>
      <c r="B25" s="99" t="s">
        <v>463</v>
      </c>
      <c r="C25" s="100"/>
      <c r="D25" s="101"/>
      <c r="E25" s="102">
        <f>SUM(E24)</f>
        <v>22</v>
      </c>
      <c r="F25" s="103"/>
      <c r="G25" s="103"/>
      <c r="H25" s="104"/>
    </row>
    <row r="26" spans="1:8" ht="30" customHeight="1">
      <c r="A26" s="16" t="s">
        <v>122</v>
      </c>
      <c r="B26" s="50" t="s">
        <v>195</v>
      </c>
      <c r="C26" s="16">
        <v>41598</v>
      </c>
      <c r="D26" s="33" t="s">
        <v>65</v>
      </c>
      <c r="E26" s="17">
        <v>1</v>
      </c>
      <c r="F26" s="17"/>
      <c r="G26" s="17">
        <f>E26*F26</f>
        <v>0</v>
      </c>
      <c r="H26" s="17"/>
    </row>
    <row r="27" spans="1:8" s="52" customFormat="1" ht="14.25" customHeight="1">
      <c r="A27" s="16" t="s">
        <v>123</v>
      </c>
      <c r="B27" s="51" t="s">
        <v>314</v>
      </c>
      <c r="C27" s="33" t="s">
        <v>145</v>
      </c>
      <c r="D27" s="32" t="s">
        <v>109</v>
      </c>
      <c r="E27" s="32">
        <f>E52</f>
        <v>131.31399999999999</v>
      </c>
      <c r="F27" s="32"/>
      <c r="G27" s="17">
        <f>E27*F27</f>
        <v>0</v>
      </c>
      <c r="H27" s="17"/>
    </row>
    <row r="28" spans="1:8" s="52" customFormat="1" ht="27.75" customHeight="1">
      <c r="A28" s="91"/>
      <c r="B28" s="134" t="s">
        <v>467</v>
      </c>
      <c r="C28" s="105"/>
      <c r="D28" s="93"/>
      <c r="E28" s="93"/>
      <c r="F28" s="93"/>
      <c r="G28" s="94"/>
      <c r="H28" s="95"/>
    </row>
    <row r="29" spans="1:8" s="52" customFormat="1" ht="14.25" customHeight="1">
      <c r="A29" s="96"/>
      <c r="B29" s="133" t="s">
        <v>468</v>
      </c>
      <c r="C29" s="69"/>
      <c r="D29" s="67"/>
      <c r="E29" s="67">
        <f>2.2*3*3+0.3*2.1+0.2*1.5</f>
        <v>20.73</v>
      </c>
      <c r="F29" s="67"/>
      <c r="G29" s="68"/>
      <c r="H29" s="97"/>
    </row>
    <row r="30" spans="1:8" s="52" customFormat="1" ht="14.25" customHeight="1">
      <c r="A30" s="96"/>
      <c r="B30" s="135" t="s">
        <v>469</v>
      </c>
      <c r="C30" s="69"/>
      <c r="D30" s="67"/>
      <c r="E30" s="67"/>
      <c r="F30" s="67"/>
      <c r="G30" s="68"/>
      <c r="H30" s="97"/>
    </row>
    <row r="31" spans="1:8" s="52" customFormat="1" ht="14.25" customHeight="1">
      <c r="A31" s="96"/>
      <c r="B31" s="133" t="s">
        <v>481</v>
      </c>
      <c r="C31" s="69"/>
      <c r="D31" s="67"/>
      <c r="E31" s="67">
        <f>1.26*2.3+2*3</f>
        <v>8.8979999999999997</v>
      </c>
      <c r="F31" s="67"/>
      <c r="G31" s="68"/>
      <c r="H31" s="97"/>
    </row>
    <row r="32" spans="1:8" s="52" customFormat="1" ht="14.25" customHeight="1">
      <c r="A32" s="96"/>
      <c r="B32" s="135" t="s">
        <v>470</v>
      </c>
      <c r="C32" s="69"/>
      <c r="D32" s="67"/>
      <c r="E32" s="67"/>
      <c r="F32" s="67"/>
      <c r="G32" s="68"/>
      <c r="H32" s="97"/>
    </row>
    <row r="33" spans="1:8" s="52" customFormat="1" ht="14.25" customHeight="1">
      <c r="A33" s="96"/>
      <c r="B33" s="133" t="s">
        <v>482</v>
      </c>
      <c r="C33" s="69"/>
      <c r="D33" s="67"/>
      <c r="E33" s="67">
        <f>2.33*3+0.86*2.3</f>
        <v>8.968</v>
      </c>
      <c r="F33" s="67"/>
      <c r="G33" s="68"/>
      <c r="H33" s="97"/>
    </row>
    <row r="34" spans="1:8" s="52" customFormat="1" ht="14.25" customHeight="1">
      <c r="A34" s="96"/>
      <c r="B34" s="135" t="s">
        <v>471</v>
      </c>
      <c r="C34" s="69"/>
      <c r="D34" s="67"/>
      <c r="E34" s="67"/>
      <c r="F34" s="67"/>
      <c r="G34" s="68"/>
      <c r="H34" s="97"/>
    </row>
    <row r="35" spans="1:8" s="52" customFormat="1" ht="14.25" customHeight="1">
      <c r="A35" s="96"/>
      <c r="B35" s="133" t="s">
        <v>482</v>
      </c>
      <c r="C35" s="69"/>
      <c r="D35" s="67"/>
      <c r="E35" s="67">
        <f>2.33*3+0.86*2.3</f>
        <v>8.968</v>
      </c>
      <c r="F35" s="67"/>
      <c r="G35" s="68"/>
      <c r="H35" s="97"/>
    </row>
    <row r="36" spans="1:8" s="52" customFormat="1" ht="14.25" customHeight="1">
      <c r="A36" s="96"/>
      <c r="B36" s="135" t="s">
        <v>472</v>
      </c>
      <c r="C36" s="69"/>
      <c r="D36" s="67"/>
      <c r="E36" s="67"/>
      <c r="F36" s="67"/>
      <c r="G36" s="68"/>
      <c r="H36" s="97"/>
    </row>
    <row r="37" spans="1:8" s="52" customFormat="1" ht="14.25" customHeight="1">
      <c r="A37" s="96"/>
      <c r="B37" s="133" t="s">
        <v>483</v>
      </c>
      <c r="C37" s="69"/>
      <c r="D37" s="67"/>
      <c r="E37" s="67">
        <f>0.86*2.3</f>
        <v>1.9779999999999998</v>
      </c>
      <c r="F37" s="67"/>
      <c r="G37" s="68"/>
      <c r="H37" s="97"/>
    </row>
    <row r="38" spans="1:8" s="52" customFormat="1" ht="14.25" customHeight="1">
      <c r="A38" s="96"/>
      <c r="B38" s="135" t="s">
        <v>473</v>
      </c>
      <c r="C38" s="69"/>
      <c r="D38" s="67"/>
      <c r="E38" s="67"/>
      <c r="F38" s="67"/>
      <c r="G38" s="68"/>
      <c r="H38" s="97"/>
    </row>
    <row r="39" spans="1:8" s="52" customFormat="1" ht="14.25" customHeight="1">
      <c r="A39" s="96"/>
      <c r="B39" s="133" t="s">
        <v>484</v>
      </c>
      <c r="C39" s="69"/>
      <c r="D39" s="67"/>
      <c r="E39" s="67">
        <f>(3.55+1.3)*3+2.86*2.8</f>
        <v>22.558</v>
      </c>
      <c r="F39" s="67"/>
      <c r="G39" s="68"/>
      <c r="H39" s="97"/>
    </row>
    <row r="40" spans="1:8" s="52" customFormat="1" ht="14.25" customHeight="1">
      <c r="A40" s="96"/>
      <c r="B40" s="135" t="s">
        <v>474</v>
      </c>
      <c r="C40" s="69"/>
      <c r="D40" s="67"/>
      <c r="E40" s="67"/>
      <c r="F40" s="67"/>
      <c r="G40" s="68"/>
      <c r="H40" s="97"/>
    </row>
    <row r="41" spans="1:8" s="52" customFormat="1" ht="14.25" customHeight="1">
      <c r="A41" s="96"/>
      <c r="B41" s="133" t="s">
        <v>475</v>
      </c>
      <c r="C41" s="69"/>
      <c r="D41" s="67"/>
      <c r="E41" s="67">
        <f>2.23*3+0.3*2.3</f>
        <v>7.379999999999999</v>
      </c>
      <c r="F41" s="67"/>
      <c r="G41" s="68"/>
      <c r="H41" s="97"/>
    </row>
    <row r="42" spans="1:8" s="52" customFormat="1" ht="14.25" customHeight="1">
      <c r="A42" s="96"/>
      <c r="B42" s="135" t="s">
        <v>476</v>
      </c>
      <c r="C42" s="69"/>
      <c r="D42" s="67"/>
      <c r="E42" s="67"/>
      <c r="F42" s="67"/>
      <c r="G42" s="68"/>
      <c r="H42" s="97"/>
    </row>
    <row r="43" spans="1:8" s="52" customFormat="1" ht="14.25" customHeight="1">
      <c r="A43" s="96"/>
      <c r="B43" s="133" t="s">
        <v>477</v>
      </c>
      <c r="C43" s="69"/>
      <c r="D43" s="67"/>
      <c r="E43" s="67">
        <f>(3.6+1.25)*3</f>
        <v>14.549999999999999</v>
      </c>
      <c r="F43" s="67"/>
      <c r="G43" s="68"/>
      <c r="H43" s="97"/>
    </row>
    <row r="44" spans="1:8" s="52" customFormat="1" ht="14.25" customHeight="1">
      <c r="A44" s="96"/>
      <c r="B44" s="135" t="s">
        <v>478</v>
      </c>
      <c r="C44" s="69"/>
      <c r="D44" s="67"/>
      <c r="E44" s="67"/>
      <c r="F44" s="67"/>
      <c r="G44" s="68"/>
      <c r="H44" s="97"/>
    </row>
    <row r="45" spans="1:8" s="52" customFormat="1" ht="14.25" customHeight="1">
      <c r="A45" s="96"/>
      <c r="B45" s="133" t="s">
        <v>477</v>
      </c>
      <c r="C45" s="69"/>
      <c r="D45" s="67"/>
      <c r="E45" s="67">
        <f>(3.6+1.25)*3</f>
        <v>14.549999999999999</v>
      </c>
      <c r="F45" s="67"/>
      <c r="G45" s="68"/>
      <c r="H45" s="97"/>
    </row>
    <row r="46" spans="1:8" s="52" customFormat="1" ht="14.25" customHeight="1">
      <c r="A46" s="96"/>
      <c r="B46" s="133" t="s">
        <v>479</v>
      </c>
      <c r="C46" s="69"/>
      <c r="D46" s="67"/>
      <c r="E46" s="67"/>
      <c r="F46" s="67"/>
      <c r="G46" s="68"/>
      <c r="H46" s="97"/>
    </row>
    <row r="47" spans="1:8" s="52" customFormat="1" ht="14.25" customHeight="1">
      <c r="A47" s="96"/>
      <c r="B47" s="133" t="s">
        <v>480</v>
      </c>
      <c r="C47" s="69"/>
      <c r="D47" s="67"/>
      <c r="E47" s="67">
        <f>2.8*3+0.86*2.3</f>
        <v>10.377999999999998</v>
      </c>
      <c r="F47" s="67"/>
      <c r="G47" s="68"/>
      <c r="H47" s="97"/>
    </row>
    <row r="48" spans="1:8" s="52" customFormat="1" ht="14.25" customHeight="1">
      <c r="A48" s="96"/>
      <c r="B48" s="133" t="s">
        <v>485</v>
      </c>
      <c r="C48" s="69"/>
      <c r="D48" s="67"/>
      <c r="E48" s="67"/>
      <c r="F48" s="67"/>
      <c r="G48" s="68"/>
      <c r="H48" s="97"/>
    </row>
    <row r="49" spans="1:8" s="52" customFormat="1" ht="14.25" customHeight="1">
      <c r="A49" s="96"/>
      <c r="B49" s="133" t="s">
        <v>480</v>
      </c>
      <c r="C49" s="69"/>
      <c r="D49" s="67"/>
      <c r="E49" s="67">
        <f>2.8*3+0.86*2.3</f>
        <v>10.377999999999998</v>
      </c>
      <c r="F49" s="67"/>
      <c r="G49" s="68"/>
      <c r="H49" s="97"/>
    </row>
    <row r="50" spans="1:8" s="52" customFormat="1" ht="14.25" customHeight="1">
      <c r="A50" s="96"/>
      <c r="B50" s="133" t="s">
        <v>486</v>
      </c>
      <c r="C50" s="69"/>
      <c r="D50" s="67"/>
      <c r="E50" s="67"/>
      <c r="F50" s="67"/>
      <c r="G50" s="68"/>
      <c r="H50" s="97"/>
    </row>
    <row r="51" spans="1:8" s="52" customFormat="1" ht="14.25" customHeight="1">
      <c r="A51" s="96"/>
      <c r="B51" s="133" t="s">
        <v>483</v>
      </c>
      <c r="C51" s="69"/>
      <c r="D51" s="67"/>
      <c r="E51" s="67">
        <f>0.86*2.3</f>
        <v>1.9779999999999998</v>
      </c>
      <c r="F51" s="67"/>
      <c r="G51" s="68"/>
      <c r="H51" s="97"/>
    </row>
    <row r="52" spans="1:8" s="52" customFormat="1" ht="14.25" customHeight="1">
      <c r="A52" s="98"/>
      <c r="B52" s="99" t="s">
        <v>463</v>
      </c>
      <c r="C52" s="106"/>
      <c r="D52" s="101"/>
      <c r="E52" s="107">
        <f>SUM(E29:E51)</f>
        <v>131.31399999999999</v>
      </c>
      <c r="F52" s="101"/>
      <c r="G52" s="103"/>
      <c r="H52" s="104"/>
    </row>
    <row r="53" spans="1:8" s="52" customFormat="1" ht="14.25" customHeight="1">
      <c r="A53" s="16" t="s">
        <v>124</v>
      </c>
      <c r="B53" s="34" t="s">
        <v>147</v>
      </c>
      <c r="C53" s="33" t="s">
        <v>146</v>
      </c>
      <c r="D53" s="32" t="s">
        <v>109</v>
      </c>
      <c r="E53" s="32">
        <f>E56</f>
        <v>277.74</v>
      </c>
      <c r="F53" s="32"/>
      <c r="G53" s="17">
        <f>E53*F53</f>
        <v>0</v>
      </c>
      <c r="H53" s="17"/>
    </row>
    <row r="54" spans="1:8" s="52" customFormat="1" ht="26.25" customHeight="1">
      <c r="A54" s="91"/>
      <c r="B54" s="134" t="s">
        <v>487</v>
      </c>
      <c r="C54" s="105"/>
      <c r="D54" s="93"/>
      <c r="E54" s="93"/>
      <c r="F54" s="93"/>
      <c r="G54" s="94"/>
      <c r="H54" s="95"/>
    </row>
    <row r="55" spans="1:8" s="52" customFormat="1" ht="14.25" customHeight="1">
      <c r="A55" s="96"/>
      <c r="B55" s="133" t="s">
        <v>488</v>
      </c>
      <c r="C55" s="69"/>
      <c r="D55" s="67"/>
      <c r="E55" s="67">
        <f>(22.5+1.2)*(10+1.2)+1.23*(8.8+1.2)</f>
        <v>277.74</v>
      </c>
      <c r="F55" s="67"/>
      <c r="G55" s="68"/>
      <c r="H55" s="97"/>
    </row>
    <row r="56" spans="1:8" s="52" customFormat="1" ht="14.25" customHeight="1">
      <c r="A56" s="98"/>
      <c r="B56" s="99" t="s">
        <v>463</v>
      </c>
      <c r="C56" s="100"/>
      <c r="D56" s="101"/>
      <c r="E56" s="102">
        <f>SUM(E55)</f>
        <v>277.74</v>
      </c>
      <c r="F56" s="101"/>
      <c r="G56" s="103"/>
      <c r="H56" s="104"/>
    </row>
    <row r="57" spans="1:8" s="52" customFormat="1" ht="15" customHeight="1">
      <c r="A57" s="16" t="s">
        <v>125</v>
      </c>
      <c r="B57" s="34" t="s">
        <v>132</v>
      </c>
      <c r="C57" s="33" t="s">
        <v>148</v>
      </c>
      <c r="D57" s="32" t="s">
        <v>109</v>
      </c>
      <c r="E57" s="32">
        <f>E59</f>
        <v>277.74</v>
      </c>
      <c r="F57" s="32"/>
      <c r="G57" s="17">
        <f>E57*F57</f>
        <v>0</v>
      </c>
      <c r="H57" s="17"/>
    </row>
    <row r="58" spans="1:8" s="52" customFormat="1" ht="15" customHeight="1">
      <c r="A58" s="91"/>
      <c r="B58" s="134" t="s">
        <v>489</v>
      </c>
      <c r="C58" s="105"/>
      <c r="D58" s="93"/>
      <c r="E58" s="93"/>
      <c r="F58" s="93"/>
      <c r="G58" s="94"/>
      <c r="H58" s="95"/>
    </row>
    <row r="59" spans="1:8" s="52" customFormat="1" ht="15" customHeight="1">
      <c r="A59" s="98"/>
      <c r="B59" s="136" t="s">
        <v>490</v>
      </c>
      <c r="C59" s="106"/>
      <c r="D59" s="101"/>
      <c r="E59" s="101">
        <f>(22.5+1.2)*(10+1.2)+1.23*(8.8+1.2)</f>
        <v>277.74</v>
      </c>
      <c r="F59" s="101"/>
      <c r="G59" s="103"/>
      <c r="H59" s="104"/>
    </row>
    <row r="60" spans="1:8" s="52" customFormat="1" ht="15" customHeight="1">
      <c r="A60" s="16" t="s">
        <v>43</v>
      </c>
      <c r="B60" s="34" t="s">
        <v>552</v>
      </c>
      <c r="C60" s="33" t="s">
        <v>553</v>
      </c>
      <c r="D60" s="32" t="s">
        <v>109</v>
      </c>
      <c r="E60" s="32">
        <f>E63</f>
        <v>2.2151999999999998</v>
      </c>
      <c r="F60" s="32"/>
      <c r="G60" s="17">
        <f>E60*F60</f>
        <v>0</v>
      </c>
      <c r="H60" s="17"/>
    </row>
    <row r="61" spans="1:8" s="52" customFormat="1" ht="15" customHeight="1">
      <c r="A61" s="91"/>
      <c r="B61" s="134" t="s">
        <v>473</v>
      </c>
      <c r="C61" s="105"/>
      <c r="D61" s="93"/>
      <c r="E61" s="93"/>
      <c r="F61" s="93"/>
      <c r="G61" s="94"/>
      <c r="H61" s="95"/>
    </row>
    <row r="62" spans="1:8" s="52" customFormat="1" ht="15" customHeight="1">
      <c r="A62" s="96"/>
      <c r="B62" s="133" t="s">
        <v>554</v>
      </c>
      <c r="C62" s="69"/>
      <c r="D62" s="67"/>
      <c r="E62" s="67">
        <f>18.46*0.12</f>
        <v>2.2151999999999998</v>
      </c>
      <c r="F62" s="67"/>
      <c r="G62" s="68"/>
      <c r="H62" s="97"/>
    </row>
    <row r="63" spans="1:8" s="52" customFormat="1" ht="15" customHeight="1">
      <c r="A63" s="98"/>
      <c r="B63" s="99" t="s">
        <v>463</v>
      </c>
      <c r="C63" s="100"/>
      <c r="D63" s="101"/>
      <c r="E63" s="102">
        <f>SUM(E62)</f>
        <v>2.2151999999999998</v>
      </c>
      <c r="F63" s="101"/>
      <c r="G63" s="103"/>
      <c r="H63" s="104"/>
    </row>
    <row r="64" spans="1:8" ht="15.75" customHeight="1">
      <c r="A64" s="190" t="s">
        <v>111</v>
      </c>
      <c r="B64" s="190"/>
      <c r="C64" s="23"/>
      <c r="D64" s="23"/>
      <c r="E64" s="22"/>
      <c r="F64" s="22"/>
      <c r="G64" s="22">
        <f>SUM(G13:G60)</f>
        <v>0</v>
      </c>
      <c r="H64" s="17"/>
    </row>
    <row r="65" spans="1:8" ht="15.75" customHeight="1">
      <c r="A65" s="23" t="s">
        <v>73</v>
      </c>
      <c r="B65" s="24" t="s">
        <v>197</v>
      </c>
      <c r="C65" s="23"/>
      <c r="D65" s="23"/>
      <c r="E65" s="22"/>
      <c r="F65" s="22"/>
      <c r="G65" s="22"/>
      <c r="H65" s="17"/>
    </row>
    <row r="66" spans="1:8" ht="15.75" customHeight="1">
      <c r="A66" s="16" t="s">
        <v>82</v>
      </c>
      <c r="B66" s="49" t="s">
        <v>198</v>
      </c>
      <c r="C66" s="16">
        <v>6430</v>
      </c>
      <c r="D66" s="16" t="s">
        <v>199</v>
      </c>
      <c r="E66" s="17">
        <f>E76</f>
        <v>7.2240000000000002</v>
      </c>
      <c r="F66" s="17"/>
      <c r="G66" s="17">
        <f>E66*F66</f>
        <v>0</v>
      </c>
      <c r="H66" s="17"/>
    </row>
    <row r="67" spans="1:8" ht="30.75" customHeight="1">
      <c r="A67" s="91"/>
      <c r="B67" s="132" t="s">
        <v>495</v>
      </c>
      <c r="C67" s="92"/>
      <c r="D67" s="92"/>
      <c r="E67" s="94"/>
      <c r="F67" s="94"/>
      <c r="G67" s="94"/>
      <c r="H67" s="95"/>
    </row>
    <row r="68" spans="1:8" ht="15.75" customHeight="1">
      <c r="A68" s="96"/>
      <c r="B68" s="135" t="s">
        <v>491</v>
      </c>
      <c r="C68" s="69"/>
      <c r="D68" s="67"/>
      <c r="E68" s="67"/>
      <c r="F68" s="67"/>
      <c r="G68" s="68"/>
      <c r="H68" s="97"/>
    </row>
    <row r="69" spans="1:8" ht="15.75" customHeight="1">
      <c r="A69" s="96"/>
      <c r="B69" s="133" t="s">
        <v>496</v>
      </c>
      <c r="C69" s="69"/>
      <c r="D69" s="67"/>
      <c r="E69" s="67">
        <f>4.9*0.6*0.8</f>
        <v>2.3519999999999999</v>
      </c>
      <c r="F69" s="67"/>
      <c r="G69" s="68"/>
      <c r="H69" s="97"/>
    </row>
    <row r="70" spans="1:8" ht="15.75" customHeight="1">
      <c r="A70" s="96"/>
      <c r="B70" s="135" t="s">
        <v>492</v>
      </c>
      <c r="C70" s="69"/>
      <c r="D70" s="67"/>
      <c r="E70" s="67"/>
      <c r="F70" s="67"/>
      <c r="G70" s="68"/>
      <c r="H70" s="97"/>
    </row>
    <row r="71" spans="1:8" ht="15.75" customHeight="1">
      <c r="A71" s="96"/>
      <c r="B71" s="133" t="s">
        <v>496</v>
      </c>
      <c r="C71" s="69"/>
      <c r="D71" s="67"/>
      <c r="E71" s="67">
        <f>4.9*0.6*0.8</f>
        <v>2.3519999999999999</v>
      </c>
      <c r="F71" s="67"/>
      <c r="G71" s="68"/>
      <c r="H71" s="97"/>
    </row>
    <row r="72" spans="1:8" ht="15.75" customHeight="1">
      <c r="A72" s="96"/>
      <c r="B72" s="135" t="s">
        <v>493</v>
      </c>
      <c r="C72" s="69"/>
      <c r="D72" s="67"/>
      <c r="E72" s="67"/>
      <c r="F72" s="67"/>
      <c r="G72" s="68"/>
      <c r="H72" s="97"/>
    </row>
    <row r="73" spans="1:8" ht="15.75" customHeight="1">
      <c r="A73" s="96"/>
      <c r="B73" s="133" t="s">
        <v>497</v>
      </c>
      <c r="C73" s="69"/>
      <c r="D73" s="67"/>
      <c r="E73" s="67">
        <f>2.45*0.6*0.8</f>
        <v>1.1759999999999999</v>
      </c>
      <c r="F73" s="67"/>
      <c r="G73" s="68"/>
      <c r="H73" s="97"/>
    </row>
    <row r="74" spans="1:8" ht="30" customHeight="1">
      <c r="A74" s="96"/>
      <c r="B74" s="74" t="s">
        <v>494</v>
      </c>
      <c r="C74" s="69"/>
      <c r="D74" s="67"/>
      <c r="E74" s="67"/>
      <c r="F74" s="67"/>
      <c r="G74" s="68"/>
      <c r="H74" s="97"/>
    </row>
    <row r="75" spans="1:8" ht="15.75" customHeight="1">
      <c r="A75" s="96"/>
      <c r="B75" s="133" t="s">
        <v>498</v>
      </c>
      <c r="C75" s="69"/>
      <c r="D75" s="67"/>
      <c r="E75" s="67">
        <f>2.8*0.6*0.8</f>
        <v>1.3440000000000001</v>
      </c>
      <c r="F75" s="67"/>
      <c r="G75" s="68"/>
      <c r="H75" s="97"/>
    </row>
    <row r="76" spans="1:8" ht="15.75" customHeight="1">
      <c r="A76" s="98"/>
      <c r="B76" s="99" t="s">
        <v>463</v>
      </c>
      <c r="C76" s="106"/>
      <c r="D76" s="101"/>
      <c r="E76" s="107">
        <f>SUM(E68:E75)</f>
        <v>7.2240000000000002</v>
      </c>
      <c r="F76" s="101"/>
      <c r="G76" s="103"/>
      <c r="H76" s="104"/>
    </row>
    <row r="77" spans="1:8" ht="15.75" customHeight="1">
      <c r="A77" s="16" t="s">
        <v>202</v>
      </c>
      <c r="B77" s="49" t="s">
        <v>200</v>
      </c>
      <c r="C77" s="16">
        <v>55835</v>
      </c>
      <c r="D77" s="16" t="s">
        <v>199</v>
      </c>
      <c r="E77" s="17">
        <f>E86</f>
        <v>12.442999999999998</v>
      </c>
      <c r="F77" s="17"/>
      <c r="G77" s="17">
        <f>E77*F77</f>
        <v>0</v>
      </c>
      <c r="H77" s="17"/>
    </row>
    <row r="78" spans="1:8" ht="15.75" customHeight="1">
      <c r="A78" s="91"/>
      <c r="B78" s="134" t="s">
        <v>499</v>
      </c>
      <c r="C78" s="105"/>
      <c r="D78" s="93"/>
      <c r="E78" s="93"/>
      <c r="F78" s="93"/>
      <c r="G78" s="94"/>
      <c r="H78" s="95"/>
    </row>
    <row r="79" spans="1:8" ht="15.75" customHeight="1">
      <c r="A79" s="96"/>
      <c r="B79" s="133" t="s">
        <v>500</v>
      </c>
      <c r="C79" s="69"/>
      <c r="D79" s="67"/>
      <c r="E79" s="67">
        <f>5.45*0.3</f>
        <v>1.635</v>
      </c>
      <c r="F79" s="67"/>
      <c r="G79" s="68"/>
      <c r="H79" s="97"/>
    </row>
    <row r="80" spans="1:8" ht="15.75" customHeight="1">
      <c r="A80" s="96"/>
      <c r="B80" s="135" t="s">
        <v>501</v>
      </c>
      <c r="C80" s="69"/>
      <c r="D80" s="67"/>
      <c r="E80" s="67"/>
      <c r="F80" s="67"/>
      <c r="G80" s="68"/>
      <c r="H80" s="97"/>
    </row>
    <row r="81" spans="1:8" ht="15.75" customHeight="1">
      <c r="A81" s="96"/>
      <c r="B81" s="133" t="s">
        <v>503</v>
      </c>
      <c r="C81" s="69"/>
      <c r="D81" s="67"/>
      <c r="E81" s="67">
        <f>9.52*0.3</f>
        <v>2.8559999999999999</v>
      </c>
      <c r="F81" s="67"/>
      <c r="G81" s="68"/>
      <c r="H81" s="97"/>
    </row>
    <row r="82" spans="1:8" ht="15.75" customHeight="1">
      <c r="A82" s="96"/>
      <c r="B82" s="133" t="s">
        <v>502</v>
      </c>
      <c r="C82" s="69"/>
      <c r="D82" s="67"/>
      <c r="E82" s="67"/>
      <c r="F82" s="67"/>
      <c r="G82" s="68"/>
      <c r="H82" s="97"/>
    </row>
    <row r="83" spans="1:8" ht="15.75" customHeight="1">
      <c r="A83" s="96"/>
      <c r="B83" s="133" t="s">
        <v>504</v>
      </c>
      <c r="C83" s="69"/>
      <c r="D83" s="67"/>
      <c r="E83" s="67">
        <f>9.94*0.4</f>
        <v>3.976</v>
      </c>
      <c r="F83" s="67"/>
      <c r="G83" s="68"/>
      <c r="H83" s="97"/>
    </row>
    <row r="84" spans="1:8" ht="15.75" customHeight="1">
      <c r="A84" s="96"/>
      <c r="B84" s="133" t="s">
        <v>505</v>
      </c>
      <c r="C84" s="69"/>
      <c r="D84" s="67"/>
      <c r="E84" s="67"/>
      <c r="F84" s="67"/>
      <c r="G84" s="68"/>
      <c r="H84" s="97"/>
    </row>
    <row r="85" spans="1:8" ht="15.75" customHeight="1">
      <c r="A85" s="96"/>
      <c r="B85" s="133" t="s">
        <v>504</v>
      </c>
      <c r="C85" s="69"/>
      <c r="D85" s="67"/>
      <c r="E85" s="67">
        <f>9.94*0.4</f>
        <v>3.976</v>
      </c>
      <c r="F85" s="67"/>
      <c r="G85" s="68"/>
      <c r="H85" s="97"/>
    </row>
    <row r="86" spans="1:8" ht="15.75" customHeight="1">
      <c r="A86" s="98"/>
      <c r="B86" s="99" t="s">
        <v>463</v>
      </c>
      <c r="C86" s="106"/>
      <c r="D86" s="101"/>
      <c r="E86" s="107">
        <f>SUM(E78:E85)</f>
        <v>12.442999999999998</v>
      </c>
      <c r="F86" s="101"/>
      <c r="G86" s="103"/>
      <c r="H86" s="104"/>
    </row>
    <row r="87" spans="1:8" ht="15.75" customHeight="1">
      <c r="A87" s="16" t="s">
        <v>203</v>
      </c>
      <c r="B87" s="49" t="s">
        <v>201</v>
      </c>
      <c r="C87" s="16">
        <v>72897</v>
      </c>
      <c r="D87" s="16" t="s">
        <v>199</v>
      </c>
      <c r="E87" s="17">
        <f>E96</f>
        <v>77.808000000000007</v>
      </c>
      <c r="F87" s="17"/>
      <c r="G87" s="17">
        <f>E87*F87</f>
        <v>0</v>
      </c>
      <c r="H87" s="17"/>
    </row>
    <row r="88" spans="1:8" ht="15.75" customHeight="1">
      <c r="A88" s="91"/>
      <c r="B88" s="134" t="s">
        <v>192</v>
      </c>
      <c r="C88" s="105"/>
      <c r="D88" s="93"/>
      <c r="E88" s="93"/>
      <c r="F88" s="93"/>
      <c r="G88" s="94"/>
      <c r="H88" s="95"/>
    </row>
    <row r="89" spans="1:8" ht="15.75" customHeight="1">
      <c r="A89" s="96"/>
      <c r="B89" s="133" t="s">
        <v>509</v>
      </c>
      <c r="C89" s="69"/>
      <c r="D89" s="67"/>
      <c r="E89" s="67">
        <f>460.32*0.05</f>
        <v>23.016000000000002</v>
      </c>
      <c r="F89" s="67"/>
      <c r="G89" s="68"/>
      <c r="H89" s="97"/>
    </row>
    <row r="90" spans="1:8" ht="15.75" customHeight="1">
      <c r="A90" s="96"/>
      <c r="B90" s="135" t="s">
        <v>314</v>
      </c>
      <c r="C90" s="69"/>
      <c r="D90" s="67"/>
      <c r="E90" s="67"/>
      <c r="F90" s="67"/>
      <c r="G90" s="68"/>
      <c r="H90" s="97"/>
    </row>
    <row r="91" spans="1:8" ht="15.75" customHeight="1">
      <c r="A91" s="96"/>
      <c r="B91" s="133" t="s">
        <v>510</v>
      </c>
      <c r="C91" s="69"/>
      <c r="D91" s="67"/>
      <c r="E91" s="67">
        <f>131.31*0.1</f>
        <v>13.131</v>
      </c>
      <c r="F91" s="67"/>
      <c r="G91" s="68"/>
      <c r="H91" s="97"/>
    </row>
    <row r="92" spans="1:8" ht="15.75" customHeight="1">
      <c r="A92" s="96"/>
      <c r="B92" s="133" t="s">
        <v>147</v>
      </c>
      <c r="C92" s="69"/>
      <c r="D92" s="67"/>
      <c r="E92" s="67"/>
      <c r="F92" s="67"/>
      <c r="G92" s="68"/>
      <c r="H92" s="97"/>
    </row>
    <row r="93" spans="1:8" ht="15.75" customHeight="1">
      <c r="A93" s="96"/>
      <c r="B93" s="133" t="s">
        <v>508</v>
      </c>
      <c r="C93" s="69"/>
      <c r="D93" s="67"/>
      <c r="E93" s="67">
        <f>277.74*0.1</f>
        <v>27.774000000000001</v>
      </c>
      <c r="F93" s="67"/>
      <c r="G93" s="68"/>
      <c r="H93" s="97"/>
    </row>
    <row r="94" spans="1:8" ht="15.75" customHeight="1">
      <c r="A94" s="96"/>
      <c r="B94" s="133" t="s">
        <v>507</v>
      </c>
      <c r="C94" s="69"/>
      <c r="D94" s="67"/>
      <c r="E94" s="67"/>
      <c r="F94" s="67"/>
      <c r="G94" s="68"/>
      <c r="H94" s="97"/>
    </row>
    <row r="95" spans="1:8" ht="15.75" customHeight="1">
      <c r="A95" s="96"/>
      <c r="B95" s="133" t="s">
        <v>506</v>
      </c>
      <c r="C95" s="69"/>
      <c r="D95" s="67"/>
      <c r="E95" s="67">
        <f>277.74*0.05</f>
        <v>13.887</v>
      </c>
      <c r="F95" s="67"/>
      <c r="G95" s="68"/>
      <c r="H95" s="97"/>
    </row>
    <row r="96" spans="1:8" ht="15.75" customHeight="1">
      <c r="A96" s="98"/>
      <c r="B96" s="99" t="s">
        <v>463</v>
      </c>
      <c r="C96" s="106"/>
      <c r="D96" s="101"/>
      <c r="E96" s="107">
        <f>SUM(E88:E95)</f>
        <v>77.808000000000007</v>
      </c>
      <c r="F96" s="101"/>
      <c r="G96" s="103"/>
      <c r="H96" s="104"/>
    </row>
    <row r="97" spans="1:8" ht="15.75" customHeight="1">
      <c r="A97" s="190" t="s">
        <v>111</v>
      </c>
      <c r="B97" s="190"/>
      <c r="C97" s="23"/>
      <c r="D97" s="23"/>
      <c r="E97" s="22"/>
      <c r="F97" s="22"/>
      <c r="G97" s="22">
        <f>SUM(G66:G87)</f>
        <v>0</v>
      </c>
      <c r="H97" s="17"/>
    </row>
    <row r="98" spans="1:8" ht="15.75" customHeight="1">
      <c r="A98" s="23" t="s">
        <v>74</v>
      </c>
      <c r="B98" s="24" t="s">
        <v>196</v>
      </c>
      <c r="C98" s="23"/>
      <c r="D98" s="23"/>
      <c r="E98" s="22"/>
      <c r="F98" s="22"/>
      <c r="G98" s="17"/>
      <c r="H98" s="17"/>
    </row>
    <row r="99" spans="1:8" ht="29.25" customHeight="1">
      <c r="A99" s="16" t="s">
        <v>331</v>
      </c>
      <c r="B99" s="50" t="s">
        <v>204</v>
      </c>
      <c r="C99" s="16">
        <v>6122</v>
      </c>
      <c r="D99" s="16" t="s">
        <v>199</v>
      </c>
      <c r="E99" s="17">
        <f>E109</f>
        <v>5.2080000000000002</v>
      </c>
      <c r="F99" s="17"/>
      <c r="G99" s="17">
        <f>E99*F99</f>
        <v>0</v>
      </c>
      <c r="H99" s="17"/>
    </row>
    <row r="100" spans="1:8" ht="60.75" customHeight="1">
      <c r="A100" s="91"/>
      <c r="B100" s="132" t="s">
        <v>511</v>
      </c>
      <c r="C100" s="92"/>
      <c r="D100" s="92"/>
      <c r="E100" s="94"/>
      <c r="F100" s="94"/>
      <c r="G100" s="94"/>
      <c r="H100" s="95"/>
    </row>
    <row r="101" spans="1:8" ht="15.75" customHeight="1">
      <c r="A101" s="96"/>
      <c r="B101" s="135" t="s">
        <v>491</v>
      </c>
      <c r="C101" s="69"/>
      <c r="D101" s="67"/>
      <c r="E101" s="67"/>
      <c r="F101" s="67"/>
      <c r="G101" s="68"/>
      <c r="H101" s="97"/>
    </row>
    <row r="102" spans="1:8" ht="15.75" customHeight="1">
      <c r="A102" s="96"/>
      <c r="B102" s="133" t="s">
        <v>512</v>
      </c>
      <c r="C102" s="69"/>
      <c r="D102" s="67"/>
      <c r="E102" s="67">
        <f>(4.9-1.2)*0.6*0.8</f>
        <v>1.7760000000000002</v>
      </c>
      <c r="F102" s="67"/>
      <c r="G102" s="68"/>
      <c r="H102" s="97"/>
    </row>
    <row r="103" spans="1:8" ht="15.75" customHeight="1">
      <c r="A103" s="96"/>
      <c r="B103" s="135" t="s">
        <v>492</v>
      </c>
      <c r="C103" s="69"/>
      <c r="D103" s="67"/>
      <c r="E103" s="67"/>
      <c r="F103" s="67"/>
      <c r="G103" s="68"/>
      <c r="H103" s="97"/>
    </row>
    <row r="104" spans="1:8" ht="15.75" customHeight="1">
      <c r="A104" s="96"/>
      <c r="B104" s="133" t="s">
        <v>512</v>
      </c>
      <c r="C104" s="69"/>
      <c r="D104" s="67"/>
      <c r="E104" s="67">
        <f>(4.9-1.2)*0.6*0.8</f>
        <v>1.7760000000000002</v>
      </c>
      <c r="F104" s="67"/>
      <c r="G104" s="68"/>
      <c r="H104" s="97"/>
    </row>
    <row r="105" spans="1:8" ht="15.75" customHeight="1">
      <c r="A105" s="96"/>
      <c r="B105" s="135" t="s">
        <v>493</v>
      </c>
      <c r="C105" s="69"/>
      <c r="D105" s="67"/>
      <c r="E105" s="67"/>
      <c r="F105" s="67"/>
      <c r="G105" s="68"/>
      <c r="H105" s="97"/>
    </row>
    <row r="106" spans="1:8" ht="15.75" customHeight="1">
      <c r="A106" s="96"/>
      <c r="B106" s="133" t="s">
        <v>513</v>
      </c>
      <c r="C106" s="69"/>
      <c r="D106" s="67"/>
      <c r="E106" s="67">
        <f>(2.45-0.6)*0.6*0.8</f>
        <v>0.88800000000000012</v>
      </c>
      <c r="F106" s="67"/>
      <c r="G106" s="68"/>
      <c r="H106" s="97"/>
    </row>
    <row r="107" spans="1:8" ht="15.75" customHeight="1">
      <c r="A107" s="96"/>
      <c r="B107" s="74" t="s">
        <v>494</v>
      </c>
      <c r="C107" s="69"/>
      <c r="D107" s="67"/>
      <c r="E107" s="67"/>
      <c r="F107" s="67"/>
      <c r="G107" s="68"/>
      <c r="H107" s="97"/>
    </row>
    <row r="108" spans="1:8" ht="15.75" customHeight="1">
      <c r="A108" s="96"/>
      <c r="B108" s="133" t="s">
        <v>514</v>
      </c>
      <c r="C108" s="69"/>
      <c r="D108" s="67"/>
      <c r="E108" s="67">
        <f>(2.8-1.2)*0.6*0.8</f>
        <v>0.7679999999999999</v>
      </c>
      <c r="F108" s="67"/>
      <c r="G108" s="68"/>
      <c r="H108" s="97"/>
    </row>
    <row r="109" spans="1:8" ht="15.75" customHeight="1">
      <c r="A109" s="98"/>
      <c r="B109" s="99" t="s">
        <v>463</v>
      </c>
      <c r="C109" s="106"/>
      <c r="D109" s="101"/>
      <c r="E109" s="107">
        <f>SUM(E101:E108)</f>
        <v>5.2080000000000002</v>
      </c>
      <c r="F109" s="101"/>
      <c r="G109" s="103"/>
      <c r="H109" s="104"/>
    </row>
    <row r="110" spans="1:8" ht="15.75" customHeight="1">
      <c r="A110" s="16" t="s">
        <v>332</v>
      </c>
      <c r="B110" s="49" t="s">
        <v>515</v>
      </c>
      <c r="C110" s="33" t="s">
        <v>516</v>
      </c>
      <c r="D110" s="32" t="s">
        <v>199</v>
      </c>
      <c r="E110" s="40">
        <f>E120</f>
        <v>3.36</v>
      </c>
      <c r="F110" s="32"/>
      <c r="G110" s="17">
        <f>E110*F110</f>
        <v>0</v>
      </c>
      <c r="H110" s="17"/>
    </row>
    <row r="111" spans="1:8" ht="31.5" customHeight="1">
      <c r="A111" s="91"/>
      <c r="B111" s="132" t="s">
        <v>517</v>
      </c>
      <c r="C111" s="92"/>
      <c r="D111" s="92"/>
      <c r="E111" s="94"/>
      <c r="F111" s="94"/>
      <c r="G111" s="94"/>
      <c r="H111" s="95"/>
    </row>
    <row r="112" spans="1:8" ht="15.75" customHeight="1">
      <c r="A112" s="96"/>
      <c r="B112" s="135" t="s">
        <v>491</v>
      </c>
      <c r="C112" s="69"/>
      <c r="D112" s="67"/>
      <c r="E112" s="67"/>
      <c r="F112" s="67"/>
      <c r="G112" s="68"/>
      <c r="H112" s="97"/>
    </row>
    <row r="113" spans="1:8" ht="15.75" customHeight="1">
      <c r="A113" s="96"/>
      <c r="B113" s="133" t="s">
        <v>518</v>
      </c>
      <c r="C113" s="69"/>
      <c r="D113" s="67"/>
      <c r="E113" s="67">
        <f>2*0.6*0.8</f>
        <v>0.96</v>
      </c>
      <c r="F113" s="67"/>
      <c r="G113" s="68"/>
      <c r="H113" s="97"/>
    </row>
    <row r="114" spans="1:8" ht="15.75" customHeight="1">
      <c r="A114" s="96"/>
      <c r="B114" s="135" t="s">
        <v>492</v>
      </c>
      <c r="C114" s="69"/>
      <c r="D114" s="67"/>
      <c r="E114" s="67"/>
      <c r="F114" s="67"/>
      <c r="G114" s="68"/>
      <c r="H114" s="97"/>
    </row>
    <row r="115" spans="1:8" ht="15.75" customHeight="1">
      <c r="A115" s="96"/>
      <c r="B115" s="133" t="s">
        <v>518</v>
      </c>
      <c r="C115" s="69"/>
      <c r="D115" s="67"/>
      <c r="E115" s="67">
        <f>2*0.6*0.8</f>
        <v>0.96</v>
      </c>
      <c r="F115" s="67"/>
      <c r="G115" s="68"/>
      <c r="H115" s="97"/>
    </row>
    <row r="116" spans="1:8" ht="15.75" customHeight="1">
      <c r="A116" s="96"/>
      <c r="B116" s="135" t="s">
        <v>493</v>
      </c>
      <c r="C116" s="69"/>
      <c r="D116" s="67"/>
      <c r="E116" s="67"/>
      <c r="F116" s="67"/>
      <c r="G116" s="68"/>
      <c r="H116" s="97"/>
    </row>
    <row r="117" spans="1:8" ht="15.75" customHeight="1">
      <c r="A117" s="96"/>
      <c r="B117" s="133" t="s">
        <v>519</v>
      </c>
      <c r="C117" s="69"/>
      <c r="D117" s="67"/>
      <c r="E117" s="67">
        <f>0.6*0.8</f>
        <v>0.48</v>
      </c>
      <c r="F117" s="67"/>
      <c r="G117" s="68"/>
      <c r="H117" s="97"/>
    </row>
    <row r="118" spans="1:8" ht="30.75" customHeight="1">
      <c r="A118" s="96"/>
      <c r="B118" s="74" t="s">
        <v>494</v>
      </c>
      <c r="C118" s="69"/>
      <c r="D118" s="67"/>
      <c r="E118" s="67"/>
      <c r="F118" s="67"/>
      <c r="G118" s="68"/>
      <c r="H118" s="97"/>
    </row>
    <row r="119" spans="1:8" ht="15.75" customHeight="1">
      <c r="A119" s="96"/>
      <c r="B119" s="133" t="s">
        <v>518</v>
      </c>
      <c r="C119" s="69"/>
      <c r="D119" s="67"/>
      <c r="E119" s="67">
        <f>2*0.6*0.8</f>
        <v>0.96</v>
      </c>
      <c r="F119" s="67"/>
      <c r="G119" s="68"/>
      <c r="H119" s="97"/>
    </row>
    <row r="120" spans="1:8" ht="15.75" customHeight="1">
      <c r="A120" s="98"/>
      <c r="B120" s="99" t="s">
        <v>463</v>
      </c>
      <c r="C120" s="106"/>
      <c r="D120" s="101"/>
      <c r="E120" s="107">
        <f>SUM(E112:E119)</f>
        <v>3.36</v>
      </c>
      <c r="F120" s="101"/>
      <c r="G120" s="103"/>
      <c r="H120" s="104"/>
    </row>
    <row r="121" spans="1:8" ht="25.5">
      <c r="A121" s="16" t="s">
        <v>333</v>
      </c>
      <c r="B121" s="25" t="s">
        <v>205</v>
      </c>
      <c r="C121" s="16">
        <v>6501</v>
      </c>
      <c r="D121" s="16" t="s">
        <v>199</v>
      </c>
      <c r="E121" s="17">
        <f>E124</f>
        <v>0.48349999999999999</v>
      </c>
      <c r="F121" s="17"/>
      <c r="G121" s="17">
        <f>E121*F121</f>
        <v>0</v>
      </c>
      <c r="H121" s="17"/>
    </row>
    <row r="122" spans="1:8" ht="38.25">
      <c r="A122" s="91"/>
      <c r="B122" s="132" t="s">
        <v>549</v>
      </c>
      <c r="C122" s="92"/>
      <c r="D122" s="92"/>
      <c r="E122" s="94"/>
      <c r="F122" s="94"/>
      <c r="G122" s="94"/>
      <c r="H122" s="95"/>
    </row>
    <row r="123" spans="1:8">
      <c r="A123" s="96"/>
      <c r="B123" s="137" t="s">
        <v>548</v>
      </c>
      <c r="C123" s="66"/>
      <c r="D123" s="66"/>
      <c r="E123" s="68">
        <f>(7*0.1*0.2)+(11.45*0.1*0.3)</f>
        <v>0.48349999999999999</v>
      </c>
      <c r="F123" s="68"/>
      <c r="G123" s="68"/>
      <c r="H123" s="97"/>
    </row>
    <row r="124" spans="1:8">
      <c r="A124" s="98"/>
      <c r="B124" s="99" t="s">
        <v>463</v>
      </c>
      <c r="C124" s="106"/>
      <c r="D124" s="101"/>
      <c r="E124" s="107">
        <f>SUM(E123)</f>
        <v>0.48349999999999999</v>
      </c>
      <c r="F124" s="103"/>
      <c r="G124" s="103"/>
      <c r="H124" s="104"/>
    </row>
    <row r="125" spans="1:8" ht="25.5">
      <c r="A125" s="16" t="s">
        <v>334</v>
      </c>
      <c r="B125" s="25" t="s">
        <v>206</v>
      </c>
      <c r="C125" s="16">
        <v>6110</v>
      </c>
      <c r="D125" s="16" t="s">
        <v>199</v>
      </c>
      <c r="E125" s="17">
        <f>E128</f>
        <v>0.75569999999999993</v>
      </c>
      <c r="F125" s="17"/>
      <c r="G125" s="17">
        <f>E125*F125</f>
        <v>0</v>
      </c>
      <c r="H125" s="17"/>
    </row>
    <row r="126" spans="1:8" ht="25.5">
      <c r="A126" s="91"/>
      <c r="B126" s="132" t="s">
        <v>520</v>
      </c>
      <c r="C126" s="92"/>
      <c r="D126" s="92"/>
      <c r="E126" s="94"/>
      <c r="F126" s="94"/>
      <c r="G126" s="94"/>
      <c r="H126" s="95"/>
    </row>
    <row r="127" spans="1:8">
      <c r="A127" s="96"/>
      <c r="B127" s="137" t="s">
        <v>521</v>
      </c>
      <c r="C127" s="66"/>
      <c r="D127" s="66"/>
      <c r="E127" s="68">
        <f>11.45*0.22*0.3</f>
        <v>0.75569999999999993</v>
      </c>
      <c r="F127" s="68"/>
      <c r="G127" s="68"/>
      <c r="H127" s="97"/>
    </row>
    <row r="128" spans="1:8">
      <c r="A128" s="98"/>
      <c r="B128" s="99" t="s">
        <v>463</v>
      </c>
      <c r="C128" s="106"/>
      <c r="D128" s="101"/>
      <c r="E128" s="107">
        <f>SUM(E127)</f>
        <v>0.75569999999999993</v>
      </c>
      <c r="F128" s="103"/>
      <c r="G128" s="103"/>
      <c r="H128" s="104"/>
    </row>
    <row r="129" spans="1:8" ht="27" customHeight="1">
      <c r="A129" s="16" t="s">
        <v>44</v>
      </c>
      <c r="B129" s="50" t="s">
        <v>208</v>
      </c>
      <c r="C129" s="16" t="s">
        <v>207</v>
      </c>
      <c r="D129" s="32" t="s">
        <v>109</v>
      </c>
      <c r="E129" s="17">
        <f>E140</f>
        <v>47.059999999999995</v>
      </c>
      <c r="F129" s="17"/>
      <c r="G129" s="17">
        <f>E129*F129</f>
        <v>0</v>
      </c>
      <c r="H129" s="17"/>
    </row>
    <row r="130" spans="1:8">
      <c r="A130" s="91"/>
      <c r="B130" s="134" t="s">
        <v>476</v>
      </c>
      <c r="C130" s="105"/>
      <c r="D130" s="93"/>
      <c r="E130" s="93"/>
      <c r="F130" s="93"/>
      <c r="G130" s="94"/>
      <c r="H130" s="95"/>
    </row>
    <row r="131" spans="1:8">
      <c r="A131" s="96"/>
      <c r="B131" s="133" t="s">
        <v>522</v>
      </c>
      <c r="C131" s="69"/>
      <c r="D131" s="67"/>
      <c r="E131" s="67">
        <f>5.45</f>
        <v>5.45</v>
      </c>
      <c r="F131" s="67"/>
      <c r="G131" s="68"/>
      <c r="H131" s="97"/>
    </row>
    <row r="132" spans="1:8">
      <c r="A132" s="96"/>
      <c r="B132" s="135" t="s">
        <v>478</v>
      </c>
      <c r="C132" s="69"/>
      <c r="D132" s="67"/>
      <c r="E132" s="67"/>
      <c r="F132" s="67"/>
      <c r="G132" s="68"/>
      <c r="H132" s="97"/>
    </row>
    <row r="133" spans="1:8">
      <c r="A133" s="96"/>
      <c r="B133" s="133" t="s">
        <v>523</v>
      </c>
      <c r="C133" s="69"/>
      <c r="D133" s="67"/>
      <c r="E133" s="67">
        <f>9.52</f>
        <v>9.52</v>
      </c>
      <c r="F133" s="67"/>
      <c r="G133" s="68"/>
      <c r="H133" s="97"/>
    </row>
    <row r="134" spans="1:8">
      <c r="A134" s="96"/>
      <c r="B134" s="133" t="s">
        <v>479</v>
      </c>
      <c r="C134" s="69"/>
      <c r="D134" s="67"/>
      <c r="E134" s="67"/>
      <c r="F134" s="67"/>
      <c r="G134" s="68"/>
      <c r="H134" s="97"/>
    </row>
    <row r="135" spans="1:8">
      <c r="A135" s="96"/>
      <c r="B135" s="133" t="s">
        <v>524</v>
      </c>
      <c r="C135" s="69"/>
      <c r="D135" s="67"/>
      <c r="E135" s="67">
        <f>9.94</f>
        <v>9.94</v>
      </c>
      <c r="F135" s="67"/>
      <c r="G135" s="68"/>
      <c r="H135" s="97"/>
    </row>
    <row r="136" spans="1:8">
      <c r="A136" s="96"/>
      <c r="B136" s="133" t="s">
        <v>485</v>
      </c>
      <c r="C136" s="69"/>
      <c r="D136" s="67"/>
      <c r="E136" s="67"/>
      <c r="F136" s="67"/>
      <c r="G136" s="68"/>
      <c r="H136" s="97"/>
    </row>
    <row r="137" spans="1:8">
      <c r="A137" s="96"/>
      <c r="B137" s="133" t="s">
        <v>524</v>
      </c>
      <c r="C137" s="69"/>
      <c r="D137" s="67"/>
      <c r="E137" s="67">
        <f>9.94</f>
        <v>9.94</v>
      </c>
      <c r="F137" s="67"/>
      <c r="G137" s="68"/>
      <c r="H137" s="97"/>
    </row>
    <row r="138" spans="1:8">
      <c r="A138" s="96"/>
      <c r="B138" s="133" t="s">
        <v>466</v>
      </c>
      <c r="C138" s="69"/>
      <c r="D138" s="67"/>
      <c r="E138" s="67"/>
      <c r="F138" s="67"/>
      <c r="G138" s="68"/>
      <c r="H138" s="97"/>
    </row>
    <row r="139" spans="1:8">
      <c r="A139" s="96"/>
      <c r="B139" s="133" t="s">
        <v>525</v>
      </c>
      <c r="C139" s="69"/>
      <c r="D139" s="67"/>
      <c r="E139" s="67">
        <f xml:space="preserve"> 5.55*2.2</f>
        <v>12.21</v>
      </c>
      <c r="F139" s="67"/>
      <c r="G139" s="68"/>
      <c r="H139" s="97"/>
    </row>
    <row r="140" spans="1:8">
      <c r="A140" s="98"/>
      <c r="B140" s="99" t="s">
        <v>463</v>
      </c>
      <c r="C140" s="106"/>
      <c r="D140" s="101"/>
      <c r="E140" s="107">
        <f>SUM(E130:E139)</f>
        <v>47.059999999999995</v>
      </c>
      <c r="F140" s="101"/>
      <c r="G140" s="103"/>
      <c r="H140" s="104"/>
    </row>
    <row r="141" spans="1:8" ht="15.75" customHeight="1">
      <c r="A141" s="190" t="s">
        <v>111</v>
      </c>
      <c r="B141" s="190"/>
      <c r="C141" s="23"/>
      <c r="D141" s="23"/>
      <c r="E141" s="22"/>
      <c r="F141" s="22"/>
      <c r="G141" s="22">
        <f>SUM(G99:G140)</f>
        <v>0</v>
      </c>
      <c r="H141" s="17"/>
    </row>
    <row r="142" spans="1:8" s="52" customFormat="1">
      <c r="A142" s="35" t="s">
        <v>75</v>
      </c>
      <c r="B142" s="36" t="s">
        <v>119</v>
      </c>
      <c r="C142" s="37"/>
      <c r="D142" s="38"/>
      <c r="E142" s="39"/>
      <c r="F142" s="39"/>
      <c r="G142" s="40"/>
      <c r="H142" s="17"/>
    </row>
    <row r="143" spans="1:8" s="52" customFormat="1" ht="38.25">
      <c r="A143" s="108" t="s">
        <v>83</v>
      </c>
      <c r="B143" s="109" t="s">
        <v>151</v>
      </c>
      <c r="C143" s="105" t="s">
        <v>150</v>
      </c>
      <c r="D143" s="105" t="s">
        <v>109</v>
      </c>
      <c r="E143" s="93">
        <f>E159</f>
        <v>173.23</v>
      </c>
      <c r="F143" s="93"/>
      <c r="G143" s="93">
        <f>E143*F143</f>
        <v>0</v>
      </c>
      <c r="H143" s="95"/>
    </row>
    <row r="144" spans="1:8" s="52" customFormat="1" ht="25.5">
      <c r="A144" s="96"/>
      <c r="B144" s="74" t="s">
        <v>526</v>
      </c>
      <c r="C144" s="66"/>
      <c r="D144" s="66"/>
      <c r="E144" s="68"/>
      <c r="F144" s="68"/>
      <c r="G144" s="68"/>
      <c r="H144" s="97"/>
    </row>
    <row r="145" spans="1:8" s="52" customFormat="1">
      <c r="A145" s="96"/>
      <c r="B145" s="137" t="s">
        <v>528</v>
      </c>
      <c r="C145" s="66"/>
      <c r="D145" s="66"/>
      <c r="E145" s="68">
        <f>11.45*3</f>
        <v>34.349999999999994</v>
      </c>
      <c r="F145" s="68"/>
      <c r="G145" s="68"/>
      <c r="H145" s="97"/>
    </row>
    <row r="146" spans="1:8" s="52" customFormat="1">
      <c r="A146" s="96"/>
      <c r="B146" s="74" t="s">
        <v>527</v>
      </c>
      <c r="C146" s="66"/>
      <c r="D146" s="66"/>
      <c r="E146" s="68"/>
      <c r="F146" s="68"/>
      <c r="G146" s="68"/>
      <c r="H146" s="97"/>
    </row>
    <row r="147" spans="1:8" s="52" customFormat="1">
      <c r="A147" s="96"/>
      <c r="B147" s="74" t="s">
        <v>530</v>
      </c>
      <c r="C147" s="66"/>
      <c r="D147" s="66"/>
      <c r="E147" s="68"/>
      <c r="F147" s="68"/>
      <c r="G147" s="68"/>
      <c r="H147" s="97"/>
    </row>
    <row r="148" spans="1:8" s="52" customFormat="1">
      <c r="A148" s="96"/>
      <c r="B148" s="137" t="s">
        <v>529</v>
      </c>
      <c r="C148" s="66"/>
      <c r="D148" s="66"/>
      <c r="E148" s="68">
        <f>0.3*2.1</f>
        <v>0.63</v>
      </c>
      <c r="F148" s="68"/>
      <c r="G148" s="68"/>
      <c r="H148" s="97"/>
    </row>
    <row r="149" spans="1:8" s="52" customFormat="1">
      <c r="A149" s="96"/>
      <c r="B149" s="74" t="s">
        <v>469</v>
      </c>
      <c r="C149" s="66"/>
      <c r="D149" s="66"/>
      <c r="E149" s="68"/>
      <c r="F149" s="68"/>
      <c r="G149" s="68"/>
      <c r="H149" s="97"/>
    </row>
    <row r="150" spans="1:8" s="52" customFormat="1">
      <c r="A150" s="96"/>
      <c r="B150" s="137" t="s">
        <v>531</v>
      </c>
      <c r="C150" s="66"/>
      <c r="D150" s="66"/>
      <c r="E150" s="68">
        <f>0.8*2*2.1</f>
        <v>3.3600000000000003</v>
      </c>
      <c r="F150" s="68"/>
      <c r="G150" s="68"/>
      <c r="H150" s="97"/>
    </row>
    <row r="151" spans="1:8" s="52" customFormat="1">
      <c r="A151" s="96"/>
      <c r="B151" s="137" t="s">
        <v>532</v>
      </c>
      <c r="C151" s="66"/>
      <c r="D151" s="66"/>
      <c r="E151" s="68"/>
      <c r="F151" s="68"/>
      <c r="G151" s="68"/>
      <c r="H151" s="97"/>
    </row>
    <row r="152" spans="1:8" s="52" customFormat="1">
      <c r="A152" s="96"/>
      <c r="B152" s="137" t="s">
        <v>533</v>
      </c>
      <c r="C152" s="66"/>
      <c r="D152" s="66"/>
      <c r="E152" s="68">
        <f>0.8*2.1</f>
        <v>1.6800000000000002</v>
      </c>
      <c r="F152" s="68"/>
      <c r="G152" s="68"/>
      <c r="H152" s="97"/>
    </row>
    <row r="153" spans="1:8" s="52" customFormat="1">
      <c r="A153" s="96"/>
      <c r="B153" s="135" t="s">
        <v>478</v>
      </c>
      <c r="C153" s="69"/>
      <c r="D153" s="67"/>
      <c r="E153" s="67"/>
      <c r="F153" s="68"/>
      <c r="G153" s="68"/>
      <c r="H153" s="97"/>
    </row>
    <row r="154" spans="1:8" s="52" customFormat="1">
      <c r="A154" s="96"/>
      <c r="B154" s="133" t="s">
        <v>534</v>
      </c>
      <c r="C154" s="69"/>
      <c r="D154" s="67"/>
      <c r="E154" s="67">
        <f>1.25*3*2+0.8*2.1</f>
        <v>9.18</v>
      </c>
      <c r="F154" s="68"/>
      <c r="G154" s="68"/>
      <c r="H154" s="97"/>
    </row>
    <row r="155" spans="1:8" s="52" customFormat="1">
      <c r="A155" s="96"/>
      <c r="B155" s="135" t="s">
        <v>476</v>
      </c>
      <c r="C155" s="69"/>
      <c r="D155" s="67"/>
      <c r="E155" s="67"/>
      <c r="F155" s="68"/>
      <c r="G155" s="68"/>
      <c r="H155" s="97"/>
    </row>
    <row r="156" spans="1:8" s="52" customFormat="1">
      <c r="A156" s="96"/>
      <c r="B156" s="133" t="s">
        <v>477</v>
      </c>
      <c r="C156" s="69"/>
      <c r="D156" s="67"/>
      <c r="E156" s="67">
        <f>(3.6+1.25)*3</f>
        <v>14.549999999999999</v>
      </c>
      <c r="F156" s="68"/>
      <c r="G156" s="68"/>
      <c r="H156" s="97"/>
    </row>
    <row r="157" spans="1:8" s="52" customFormat="1">
      <c r="A157" s="96"/>
      <c r="B157" s="133" t="s">
        <v>561</v>
      </c>
      <c r="C157" s="69"/>
      <c r="D157" s="67"/>
      <c r="E157" s="67"/>
      <c r="F157" s="68"/>
      <c r="G157" s="68"/>
      <c r="H157" s="97"/>
    </row>
    <row r="158" spans="1:8" s="52" customFormat="1">
      <c r="A158" s="96"/>
      <c r="B158" s="133" t="s">
        <v>562</v>
      </c>
      <c r="C158" s="69"/>
      <c r="D158" s="67"/>
      <c r="E158" s="67">
        <f>(22.35+9.85)*2*1.7</f>
        <v>109.48</v>
      </c>
      <c r="F158" s="68"/>
      <c r="G158" s="68"/>
      <c r="H158" s="97"/>
    </row>
    <row r="159" spans="1:8" s="52" customFormat="1">
      <c r="A159" s="98"/>
      <c r="B159" s="99" t="s">
        <v>463</v>
      </c>
      <c r="C159" s="106"/>
      <c r="D159" s="101"/>
      <c r="E159" s="107">
        <f>SUM(E145:E158)</f>
        <v>173.23</v>
      </c>
      <c r="F159" s="103"/>
      <c r="G159" s="103"/>
      <c r="H159" s="104"/>
    </row>
    <row r="160" spans="1:8" s="52" customFormat="1">
      <c r="A160" s="190" t="s">
        <v>111</v>
      </c>
      <c r="B160" s="190"/>
      <c r="C160" s="23"/>
      <c r="D160" s="23"/>
      <c r="E160" s="22"/>
      <c r="F160" s="22"/>
      <c r="G160" s="22">
        <f>SUM(G143)</f>
        <v>0</v>
      </c>
      <c r="H160" s="17"/>
    </row>
    <row r="161" spans="1:8" s="52" customFormat="1">
      <c r="A161" s="35" t="s">
        <v>76</v>
      </c>
      <c r="B161" s="36" t="s">
        <v>209</v>
      </c>
      <c r="C161" s="33"/>
      <c r="D161" s="33"/>
      <c r="E161" s="32"/>
      <c r="F161" s="32"/>
      <c r="G161" s="32"/>
      <c r="H161" s="17"/>
    </row>
    <row r="162" spans="1:8" s="52" customFormat="1" ht="24.75" customHeight="1">
      <c r="A162" s="33" t="s">
        <v>80</v>
      </c>
      <c r="B162" s="25" t="s">
        <v>210</v>
      </c>
      <c r="C162" s="16">
        <v>6501</v>
      </c>
      <c r="D162" s="16" t="s">
        <v>199</v>
      </c>
      <c r="E162" s="17">
        <f>E167</f>
        <v>1.0940000000000003</v>
      </c>
      <c r="F162" s="17"/>
      <c r="G162" s="17">
        <f>E162*F162</f>
        <v>0</v>
      </c>
      <c r="H162" s="17"/>
    </row>
    <row r="163" spans="1:8" s="52" customFormat="1" ht="15.75" customHeight="1">
      <c r="A163" s="91"/>
      <c r="B163" s="132" t="s">
        <v>541</v>
      </c>
      <c r="C163" s="92"/>
      <c r="D163" s="92"/>
      <c r="E163" s="94"/>
      <c r="F163" s="94"/>
      <c r="G163" s="94"/>
      <c r="H163" s="95"/>
    </row>
    <row r="164" spans="1:8" s="52" customFormat="1" ht="15.75" customHeight="1">
      <c r="A164" s="96"/>
      <c r="B164" s="137" t="s">
        <v>542</v>
      </c>
      <c r="C164" s="66"/>
      <c r="D164" s="66"/>
      <c r="E164" s="68">
        <f>7*0.1*0.2*3.2</f>
        <v>0.44800000000000006</v>
      </c>
      <c r="F164" s="68"/>
      <c r="G164" s="68"/>
      <c r="H164" s="97"/>
    </row>
    <row r="165" spans="1:8" s="52" customFormat="1" ht="15.75" customHeight="1">
      <c r="A165" s="96"/>
      <c r="B165" s="137" t="s">
        <v>563</v>
      </c>
      <c r="C165" s="66"/>
      <c r="D165" s="66"/>
      <c r="E165" s="68"/>
      <c r="F165" s="68"/>
      <c r="G165" s="68"/>
      <c r="H165" s="97"/>
    </row>
    <row r="166" spans="1:8" s="52" customFormat="1" ht="15.75" customHeight="1">
      <c r="A166" s="96"/>
      <c r="B166" s="137" t="s">
        <v>564</v>
      </c>
      <c r="C166" s="66"/>
      <c r="D166" s="66"/>
      <c r="E166" s="68">
        <f>19*0.1*0.2*1.7</f>
        <v>0.64600000000000013</v>
      </c>
      <c r="F166" s="68"/>
      <c r="G166" s="68"/>
      <c r="H166" s="97"/>
    </row>
    <row r="167" spans="1:8" s="52" customFormat="1" ht="15.75" customHeight="1">
      <c r="A167" s="110"/>
      <c r="B167" s="99" t="s">
        <v>463</v>
      </c>
      <c r="C167" s="106"/>
      <c r="D167" s="101"/>
      <c r="E167" s="107">
        <f>SUM(E164:E166)</f>
        <v>1.0940000000000003</v>
      </c>
      <c r="F167" s="103"/>
      <c r="G167" s="103"/>
      <c r="H167" s="104"/>
    </row>
    <row r="168" spans="1:8" ht="39" customHeight="1">
      <c r="A168" s="33" t="s">
        <v>218</v>
      </c>
      <c r="B168" s="25" t="s">
        <v>211</v>
      </c>
      <c r="C168" s="16">
        <v>6501</v>
      </c>
      <c r="D168" s="16" t="s">
        <v>199</v>
      </c>
      <c r="E168" s="17">
        <f>E194</f>
        <v>1.0275000000000001</v>
      </c>
      <c r="F168" s="17"/>
      <c r="G168" s="17">
        <f>E168*F168</f>
        <v>0</v>
      </c>
      <c r="H168" s="17"/>
    </row>
    <row r="169" spans="1:8" ht="15.75" customHeight="1">
      <c r="A169" s="108"/>
      <c r="B169" s="132" t="s">
        <v>543</v>
      </c>
      <c r="C169" s="92"/>
      <c r="D169" s="92"/>
      <c r="E169" s="94"/>
      <c r="F169" s="94"/>
      <c r="G169" s="94"/>
      <c r="H169" s="95"/>
    </row>
    <row r="170" spans="1:8" s="52" customFormat="1" ht="15.75" customHeight="1">
      <c r="A170" s="96"/>
      <c r="B170" s="137" t="s">
        <v>545</v>
      </c>
      <c r="C170" s="66"/>
      <c r="D170" s="66"/>
      <c r="E170" s="68"/>
      <c r="F170" s="68"/>
      <c r="G170" s="68"/>
      <c r="H170" s="97"/>
    </row>
    <row r="171" spans="1:8" s="52" customFormat="1" ht="15.75" customHeight="1">
      <c r="A171" s="96"/>
      <c r="B171" s="74" t="s">
        <v>469</v>
      </c>
      <c r="C171" s="66"/>
      <c r="D171" s="66"/>
      <c r="E171" s="68"/>
      <c r="F171" s="68"/>
      <c r="G171" s="68"/>
      <c r="H171" s="97"/>
    </row>
    <row r="172" spans="1:8" s="52" customFormat="1" ht="15.75" customHeight="1">
      <c r="A172" s="96"/>
      <c r="B172" s="137" t="s">
        <v>535</v>
      </c>
      <c r="C172" s="66"/>
      <c r="D172" s="66"/>
      <c r="E172" s="68">
        <f>1.4*0.1*0.2</f>
        <v>2.7999999999999997E-2</v>
      </c>
      <c r="F172" s="68"/>
      <c r="G172" s="68"/>
      <c r="H172" s="97"/>
    </row>
    <row r="173" spans="1:8" s="52" customFormat="1" ht="15.75" customHeight="1">
      <c r="A173" s="96"/>
      <c r="B173" s="137" t="s">
        <v>532</v>
      </c>
      <c r="C173" s="66"/>
      <c r="D173" s="66"/>
      <c r="E173" s="68"/>
      <c r="F173" s="68"/>
      <c r="G173" s="68"/>
      <c r="H173" s="97"/>
    </row>
    <row r="174" spans="1:8" s="52" customFormat="1" ht="15.75" customHeight="1">
      <c r="A174" s="96"/>
      <c r="B174" s="137" t="s">
        <v>536</v>
      </c>
      <c r="C174" s="66"/>
      <c r="D174" s="66"/>
      <c r="E174" s="68">
        <f>1*0.1*0.2</f>
        <v>2.0000000000000004E-2</v>
      </c>
      <c r="F174" s="68"/>
      <c r="G174" s="68"/>
      <c r="H174" s="97"/>
    </row>
    <row r="175" spans="1:8" s="52" customFormat="1" ht="15.75" customHeight="1">
      <c r="A175" s="96"/>
      <c r="B175" s="137" t="s">
        <v>537</v>
      </c>
      <c r="C175" s="66"/>
      <c r="D175" s="66"/>
      <c r="E175" s="68"/>
      <c r="F175" s="68"/>
      <c r="G175" s="68"/>
      <c r="H175" s="97"/>
    </row>
    <row r="176" spans="1:8" s="52" customFormat="1" ht="15.75" customHeight="1">
      <c r="A176" s="96"/>
      <c r="B176" s="137" t="s">
        <v>536</v>
      </c>
      <c r="C176" s="66"/>
      <c r="D176" s="66"/>
      <c r="E176" s="68">
        <f>1*0.1*0.2</f>
        <v>2.0000000000000004E-2</v>
      </c>
      <c r="F176" s="68"/>
      <c r="G176" s="68"/>
      <c r="H176" s="97"/>
    </row>
    <row r="177" spans="1:8" s="52" customFormat="1" ht="15.75" customHeight="1">
      <c r="A177" s="111"/>
      <c r="B177" s="135" t="s">
        <v>478</v>
      </c>
      <c r="C177" s="69"/>
      <c r="D177" s="67"/>
      <c r="E177" s="67"/>
      <c r="F177" s="68"/>
      <c r="G177" s="68"/>
      <c r="H177" s="97"/>
    </row>
    <row r="178" spans="1:8" s="52" customFormat="1" ht="15.75" customHeight="1">
      <c r="A178" s="111"/>
      <c r="B178" s="137" t="s">
        <v>536</v>
      </c>
      <c r="C178" s="66"/>
      <c r="D178" s="66"/>
      <c r="E178" s="68">
        <f>1*0.1*0.2</f>
        <v>2.0000000000000004E-2</v>
      </c>
      <c r="F178" s="68"/>
      <c r="G178" s="68"/>
      <c r="H178" s="97"/>
    </row>
    <row r="179" spans="1:8" s="52" customFormat="1" ht="15.75" customHeight="1">
      <c r="A179" s="111"/>
      <c r="B179" s="135" t="s">
        <v>538</v>
      </c>
      <c r="C179" s="69"/>
      <c r="D179" s="67"/>
      <c r="E179" s="67"/>
      <c r="F179" s="68"/>
      <c r="G179" s="68"/>
      <c r="H179" s="97"/>
    </row>
    <row r="180" spans="1:8" s="52" customFormat="1" ht="15.75" customHeight="1">
      <c r="A180" s="111"/>
      <c r="B180" s="133" t="s">
        <v>539</v>
      </c>
      <c r="C180" s="69"/>
      <c r="D180" s="67"/>
      <c r="E180" s="67">
        <f>3*0.1*0.2</f>
        <v>6.0000000000000012E-2</v>
      </c>
      <c r="F180" s="68"/>
      <c r="G180" s="68"/>
      <c r="H180" s="97"/>
    </row>
    <row r="181" spans="1:8" s="52" customFormat="1" ht="15.75" customHeight="1">
      <c r="A181" s="111"/>
      <c r="B181" s="135" t="s">
        <v>540</v>
      </c>
      <c r="C181" s="69"/>
      <c r="D181" s="67"/>
      <c r="E181" s="67"/>
      <c r="F181" s="68"/>
      <c r="G181" s="68"/>
      <c r="H181" s="97"/>
    </row>
    <row r="182" spans="1:8" s="52" customFormat="1" ht="15.75" customHeight="1">
      <c r="A182" s="111"/>
      <c r="B182" s="133" t="s">
        <v>535</v>
      </c>
      <c r="C182" s="69"/>
      <c r="D182" s="67"/>
      <c r="E182" s="67">
        <f>1.4*0.1*0.2</f>
        <v>2.7999999999999997E-2</v>
      </c>
      <c r="F182" s="68"/>
      <c r="G182" s="68"/>
      <c r="H182" s="97"/>
    </row>
    <row r="183" spans="1:8" ht="15.75" customHeight="1">
      <c r="A183" s="111"/>
      <c r="B183" s="135" t="s">
        <v>546</v>
      </c>
      <c r="C183" s="69"/>
      <c r="D183" s="67"/>
      <c r="E183" s="67"/>
      <c r="F183" s="68"/>
      <c r="G183" s="68"/>
      <c r="H183" s="97"/>
    </row>
    <row r="184" spans="1:8" ht="15.75" customHeight="1">
      <c r="A184" s="111"/>
      <c r="B184" s="133" t="s">
        <v>544</v>
      </c>
      <c r="C184" s="69"/>
      <c r="D184" s="67"/>
      <c r="E184" s="67">
        <f>11.45*0.1*0.3</f>
        <v>0.34349999999999997</v>
      </c>
      <c r="F184" s="68"/>
      <c r="G184" s="68"/>
      <c r="H184" s="97"/>
    </row>
    <row r="185" spans="1:8" ht="15.75" customHeight="1">
      <c r="A185" s="111"/>
      <c r="B185" s="135" t="s">
        <v>547</v>
      </c>
      <c r="C185" s="69"/>
      <c r="D185" s="67"/>
      <c r="E185" s="67"/>
      <c r="F185" s="68"/>
      <c r="G185" s="68"/>
      <c r="H185" s="97"/>
    </row>
    <row r="186" spans="1:8" ht="15.75" customHeight="1">
      <c r="A186" s="111"/>
      <c r="B186" s="135" t="s">
        <v>478</v>
      </c>
      <c r="C186" s="69"/>
      <c r="D186" s="67"/>
      <c r="E186" s="67"/>
      <c r="F186" s="68"/>
      <c r="G186" s="68"/>
      <c r="H186" s="97"/>
    </row>
    <row r="187" spans="1:8" ht="15.75" customHeight="1">
      <c r="A187" s="111"/>
      <c r="B187" s="137" t="s">
        <v>550</v>
      </c>
      <c r="C187" s="66"/>
      <c r="D187" s="66"/>
      <c r="E187" s="68">
        <f>3.9*0.1*0.4</f>
        <v>0.15600000000000003</v>
      </c>
      <c r="F187" s="68"/>
      <c r="G187" s="68"/>
      <c r="H187" s="97"/>
    </row>
    <row r="188" spans="1:8" ht="15.75" customHeight="1">
      <c r="A188" s="111"/>
      <c r="B188" s="135" t="s">
        <v>476</v>
      </c>
      <c r="C188" s="69"/>
      <c r="D188" s="67"/>
      <c r="E188" s="67"/>
      <c r="F188" s="68"/>
      <c r="G188" s="68"/>
      <c r="H188" s="97"/>
    </row>
    <row r="189" spans="1:8" ht="15.75" customHeight="1">
      <c r="A189" s="111"/>
      <c r="B189" s="137" t="s">
        <v>550</v>
      </c>
      <c r="C189" s="66"/>
      <c r="D189" s="66"/>
      <c r="E189" s="68">
        <f>3.9*0.1*0.4</f>
        <v>0.15600000000000003</v>
      </c>
      <c r="F189" s="68"/>
      <c r="G189" s="68"/>
      <c r="H189" s="97"/>
    </row>
    <row r="190" spans="1:8" ht="15.75" customHeight="1">
      <c r="A190" s="111"/>
      <c r="B190" s="74" t="s">
        <v>479</v>
      </c>
      <c r="C190" s="69"/>
      <c r="D190" s="67"/>
      <c r="E190" s="67"/>
      <c r="F190" s="68"/>
      <c r="G190" s="68"/>
      <c r="H190" s="97"/>
    </row>
    <row r="191" spans="1:8" ht="15.75" customHeight="1">
      <c r="A191" s="111"/>
      <c r="B191" s="137" t="s">
        <v>551</v>
      </c>
      <c r="C191" s="66"/>
      <c r="D191" s="66"/>
      <c r="E191" s="68">
        <f>2.8*0.1*0.35</f>
        <v>9.799999999999999E-2</v>
      </c>
      <c r="F191" s="68"/>
      <c r="G191" s="68"/>
      <c r="H191" s="97"/>
    </row>
    <row r="192" spans="1:8" ht="15.75" customHeight="1">
      <c r="A192" s="111"/>
      <c r="B192" s="135" t="s">
        <v>485</v>
      </c>
      <c r="C192" s="69"/>
      <c r="D192" s="67"/>
      <c r="E192" s="67"/>
      <c r="F192" s="68"/>
      <c r="G192" s="68"/>
      <c r="H192" s="97"/>
    </row>
    <row r="193" spans="1:8" ht="15.75" customHeight="1">
      <c r="A193" s="111"/>
      <c r="B193" s="137" t="s">
        <v>551</v>
      </c>
      <c r="C193" s="66"/>
      <c r="D193" s="66"/>
      <c r="E193" s="68">
        <f>2.8*0.1*0.35</f>
        <v>9.799999999999999E-2</v>
      </c>
      <c r="F193" s="68"/>
      <c r="G193" s="68"/>
      <c r="H193" s="97"/>
    </row>
    <row r="194" spans="1:8" ht="15.75" customHeight="1">
      <c r="A194" s="110"/>
      <c r="B194" s="99" t="s">
        <v>463</v>
      </c>
      <c r="C194" s="106"/>
      <c r="D194" s="101"/>
      <c r="E194" s="107">
        <f>SUM(E172:E193)</f>
        <v>1.0275000000000001</v>
      </c>
      <c r="F194" s="103"/>
      <c r="G194" s="103"/>
      <c r="H194" s="104"/>
    </row>
    <row r="195" spans="1:8" ht="39" customHeight="1">
      <c r="A195" s="33" t="s">
        <v>219</v>
      </c>
      <c r="B195" s="25" t="s">
        <v>336</v>
      </c>
      <c r="C195" s="16" t="s">
        <v>335</v>
      </c>
      <c r="D195" s="32" t="s">
        <v>109</v>
      </c>
      <c r="E195" s="17">
        <f>E199</f>
        <v>25.44</v>
      </c>
      <c r="F195" s="17"/>
      <c r="G195" s="17">
        <f>E195*F195</f>
        <v>0</v>
      </c>
      <c r="H195" s="17"/>
    </row>
    <row r="196" spans="1:8" ht="31.5" customHeight="1">
      <c r="A196" s="108"/>
      <c r="B196" s="138" t="s">
        <v>556</v>
      </c>
      <c r="C196" s="92"/>
      <c r="D196" s="93"/>
      <c r="E196" s="94"/>
      <c r="F196" s="94"/>
      <c r="G196" s="94"/>
      <c r="H196" s="95"/>
    </row>
    <row r="197" spans="1:8" ht="15.75" customHeight="1">
      <c r="A197" s="111"/>
      <c r="B197" s="70" t="s">
        <v>555</v>
      </c>
      <c r="C197" s="66"/>
      <c r="D197" s="67"/>
      <c r="E197" s="68"/>
      <c r="F197" s="68"/>
      <c r="G197" s="68"/>
      <c r="H197" s="97"/>
    </row>
    <row r="198" spans="1:8" ht="15.75" customHeight="1">
      <c r="A198" s="111"/>
      <c r="B198" s="137" t="s">
        <v>565</v>
      </c>
      <c r="C198" s="66"/>
      <c r="D198" s="66"/>
      <c r="E198" s="68">
        <f>(1.03+1.09)*12</f>
        <v>25.44</v>
      </c>
      <c r="F198" s="68"/>
      <c r="G198" s="68"/>
      <c r="H198" s="97"/>
    </row>
    <row r="199" spans="1:8" ht="15.75" customHeight="1">
      <c r="A199" s="110"/>
      <c r="B199" s="99" t="s">
        <v>463</v>
      </c>
      <c r="C199" s="106"/>
      <c r="D199" s="101"/>
      <c r="E199" s="107">
        <f>SUM(E198)</f>
        <v>25.44</v>
      </c>
      <c r="F199" s="103"/>
      <c r="G199" s="103"/>
      <c r="H199" s="104"/>
    </row>
    <row r="200" spans="1:8">
      <c r="A200" s="190" t="s">
        <v>111</v>
      </c>
      <c r="B200" s="190"/>
      <c r="C200" s="23"/>
      <c r="D200" s="23"/>
      <c r="E200" s="22"/>
      <c r="F200" s="22"/>
      <c r="G200" s="22">
        <f>SUM(G162:G195)</f>
        <v>0</v>
      </c>
      <c r="H200" s="17"/>
    </row>
    <row r="201" spans="1:8">
      <c r="A201" s="23" t="s">
        <v>77</v>
      </c>
      <c r="B201" s="18" t="s">
        <v>104</v>
      </c>
      <c r="C201" s="23"/>
      <c r="D201" s="16"/>
      <c r="E201" s="17"/>
      <c r="F201" s="17"/>
      <c r="G201" s="17"/>
      <c r="H201" s="17"/>
    </row>
    <row r="202" spans="1:8" s="52" customFormat="1" ht="12.75" customHeight="1">
      <c r="A202" s="33" t="s">
        <v>84</v>
      </c>
      <c r="B202" s="53" t="s">
        <v>440</v>
      </c>
      <c r="C202" s="33" t="s">
        <v>441</v>
      </c>
      <c r="D202" s="33" t="s">
        <v>109</v>
      </c>
      <c r="E202" s="32">
        <f>E205</f>
        <v>285.99</v>
      </c>
      <c r="F202" s="32"/>
      <c r="G202" s="17">
        <f>E202*F202</f>
        <v>0</v>
      </c>
      <c r="H202" s="17"/>
    </row>
    <row r="203" spans="1:8" s="52" customFormat="1" ht="25.5" customHeight="1">
      <c r="A203" s="108"/>
      <c r="B203" s="139" t="s">
        <v>557</v>
      </c>
      <c r="C203" s="105"/>
      <c r="D203" s="105"/>
      <c r="E203" s="93"/>
      <c r="F203" s="93"/>
      <c r="G203" s="94"/>
      <c r="H203" s="95"/>
    </row>
    <row r="204" spans="1:8" s="52" customFormat="1" ht="12.75" customHeight="1">
      <c r="A204" s="111"/>
      <c r="B204" s="140" t="s">
        <v>558</v>
      </c>
      <c r="C204" s="69"/>
      <c r="D204" s="69"/>
      <c r="E204" s="67">
        <f>277.74+8.25</f>
        <v>285.99</v>
      </c>
      <c r="F204" s="67"/>
      <c r="G204" s="68"/>
      <c r="H204" s="97"/>
    </row>
    <row r="205" spans="1:8" s="52" customFormat="1" ht="12.75" customHeight="1">
      <c r="A205" s="110"/>
      <c r="B205" s="99" t="s">
        <v>463</v>
      </c>
      <c r="C205" s="106"/>
      <c r="D205" s="101"/>
      <c r="E205" s="107">
        <f>SUM(E204)</f>
        <v>285.99</v>
      </c>
      <c r="F205" s="101"/>
      <c r="G205" s="103"/>
      <c r="H205" s="104"/>
    </row>
    <row r="206" spans="1:8" s="52" customFormat="1" ht="24.75" customHeight="1">
      <c r="A206" s="33" t="s">
        <v>220</v>
      </c>
      <c r="B206" s="53" t="s">
        <v>442</v>
      </c>
      <c r="C206" s="33" t="s">
        <v>443</v>
      </c>
      <c r="D206" s="33" t="s">
        <v>109</v>
      </c>
      <c r="E206" s="32">
        <f>E202</f>
        <v>285.99</v>
      </c>
      <c r="F206" s="32"/>
      <c r="G206" s="17">
        <f>E206*F206</f>
        <v>0</v>
      </c>
      <c r="H206" s="17"/>
    </row>
    <row r="207" spans="1:8" s="52" customFormat="1" ht="15.75" customHeight="1">
      <c r="A207" s="108"/>
      <c r="B207" s="139" t="s">
        <v>559</v>
      </c>
      <c r="C207" s="105"/>
      <c r="D207" s="105"/>
      <c r="E207" s="93"/>
      <c r="F207" s="93"/>
      <c r="G207" s="94"/>
      <c r="H207" s="95"/>
    </row>
    <row r="208" spans="1:8" s="52" customFormat="1" ht="15.75" customHeight="1">
      <c r="A208" s="111"/>
      <c r="B208" s="140" t="s">
        <v>560</v>
      </c>
      <c r="C208" s="69"/>
      <c r="D208" s="69"/>
      <c r="E208" s="67">
        <f>277.74+8.25</f>
        <v>285.99</v>
      </c>
      <c r="F208" s="67"/>
      <c r="G208" s="68"/>
      <c r="H208" s="97"/>
    </row>
    <row r="209" spans="1:8" s="52" customFormat="1" ht="15.75" customHeight="1">
      <c r="A209" s="110"/>
      <c r="B209" s="99" t="s">
        <v>463</v>
      </c>
      <c r="C209" s="106"/>
      <c r="D209" s="101"/>
      <c r="E209" s="107">
        <f>SUM(E208)</f>
        <v>285.99</v>
      </c>
      <c r="F209" s="101"/>
      <c r="G209" s="103"/>
      <c r="H209" s="104"/>
    </row>
    <row r="210" spans="1:8" s="52" customFormat="1" ht="13.5" customHeight="1">
      <c r="A210" s="33" t="s">
        <v>221</v>
      </c>
      <c r="B210" s="53" t="s">
        <v>444</v>
      </c>
      <c r="C210" s="33" t="s">
        <v>445</v>
      </c>
      <c r="D210" s="33" t="s">
        <v>81</v>
      </c>
      <c r="E210" s="32">
        <f>E213</f>
        <v>22.35</v>
      </c>
      <c r="F210" s="32"/>
      <c r="G210" s="17">
        <f>E210*F210</f>
        <v>0</v>
      </c>
      <c r="H210" s="17"/>
    </row>
    <row r="211" spans="1:8" s="52" customFormat="1" ht="26.25" customHeight="1">
      <c r="A211" s="108"/>
      <c r="B211" s="139" t="s">
        <v>566</v>
      </c>
      <c r="C211" s="105"/>
      <c r="D211" s="105"/>
      <c r="E211" s="93"/>
      <c r="F211" s="93"/>
      <c r="G211" s="94"/>
      <c r="H211" s="95"/>
    </row>
    <row r="212" spans="1:8" s="52" customFormat="1" ht="13.5" customHeight="1">
      <c r="A212" s="111"/>
      <c r="B212" s="137" t="s">
        <v>567</v>
      </c>
      <c r="C212" s="69"/>
      <c r="D212" s="69"/>
      <c r="E212" s="67">
        <f>22.5-0.15</f>
        <v>22.35</v>
      </c>
      <c r="F212" s="67"/>
      <c r="G212" s="68"/>
      <c r="H212" s="97"/>
    </row>
    <row r="213" spans="1:8" s="52" customFormat="1" ht="13.5" customHeight="1">
      <c r="A213" s="110"/>
      <c r="B213" s="99" t="s">
        <v>463</v>
      </c>
      <c r="C213" s="106"/>
      <c r="D213" s="101"/>
      <c r="E213" s="107">
        <f>SUM(E212)</f>
        <v>22.35</v>
      </c>
      <c r="F213" s="101"/>
      <c r="G213" s="103"/>
      <c r="H213" s="104"/>
    </row>
    <row r="214" spans="1:8" s="52" customFormat="1" ht="25.5" customHeight="1">
      <c r="A214" s="33" t="s">
        <v>222</v>
      </c>
      <c r="B214" s="53" t="s">
        <v>446</v>
      </c>
      <c r="C214" s="33" t="s">
        <v>447</v>
      </c>
      <c r="D214" s="33" t="s">
        <v>81</v>
      </c>
      <c r="E214" s="32">
        <f>E215</f>
        <v>22.35</v>
      </c>
      <c r="F214" s="32"/>
      <c r="G214" s="17">
        <f>E214*F214</f>
        <v>0</v>
      </c>
      <c r="H214" s="17"/>
    </row>
    <row r="215" spans="1:8" s="52" customFormat="1" ht="25.5" customHeight="1">
      <c r="A215" s="112"/>
      <c r="B215" s="141" t="s">
        <v>605</v>
      </c>
      <c r="C215" s="113"/>
      <c r="D215" s="113"/>
      <c r="E215" s="114">
        <f>E210</f>
        <v>22.35</v>
      </c>
      <c r="F215" s="114"/>
      <c r="G215" s="115"/>
      <c r="H215" s="116"/>
    </row>
    <row r="216" spans="1:8" s="52" customFormat="1" ht="12.75" customHeight="1">
      <c r="A216" s="33" t="s">
        <v>223</v>
      </c>
      <c r="B216" s="53" t="s">
        <v>448</v>
      </c>
      <c r="C216" s="33" t="s">
        <v>449</v>
      </c>
      <c r="D216" s="33" t="s">
        <v>109</v>
      </c>
      <c r="E216" s="32">
        <f>E218</f>
        <v>5.8450000000000006</v>
      </c>
      <c r="F216" s="32"/>
      <c r="G216" s="17">
        <f>E216*F216</f>
        <v>0</v>
      </c>
      <c r="H216" s="17"/>
    </row>
    <row r="217" spans="1:8" s="52" customFormat="1" ht="15.75" customHeight="1">
      <c r="A217" s="108"/>
      <c r="B217" s="139" t="s">
        <v>606</v>
      </c>
      <c r="C217" s="105"/>
      <c r="D217" s="105"/>
      <c r="E217" s="93">
        <f>(22.35+2*9.7)*0.14</f>
        <v>5.8450000000000006</v>
      </c>
      <c r="F217" s="93"/>
      <c r="G217" s="94"/>
      <c r="H217" s="95"/>
    </row>
    <row r="218" spans="1:8" s="52" customFormat="1" ht="15.75" customHeight="1">
      <c r="A218" s="110"/>
      <c r="B218" s="99" t="s">
        <v>463</v>
      </c>
      <c r="C218" s="106"/>
      <c r="D218" s="101"/>
      <c r="E218" s="107">
        <f>SUM(E217)</f>
        <v>5.8450000000000006</v>
      </c>
      <c r="F218" s="101"/>
      <c r="G218" s="103"/>
      <c r="H218" s="104"/>
    </row>
    <row r="219" spans="1:8" s="52" customFormat="1" ht="38.25" customHeight="1">
      <c r="A219" s="33" t="s">
        <v>450</v>
      </c>
      <c r="B219" s="53" t="s">
        <v>451</v>
      </c>
      <c r="C219" s="33" t="s">
        <v>452</v>
      </c>
      <c r="D219" s="33" t="s">
        <v>81</v>
      </c>
      <c r="E219" s="32">
        <f>E220</f>
        <v>55</v>
      </c>
      <c r="F219" s="32"/>
      <c r="G219" s="17">
        <f>E219*F219</f>
        <v>0</v>
      </c>
      <c r="H219" s="17"/>
    </row>
    <row r="220" spans="1:8" s="52" customFormat="1" ht="15.75" customHeight="1">
      <c r="A220" s="112"/>
      <c r="B220" s="141" t="s">
        <v>568</v>
      </c>
      <c r="C220" s="113"/>
      <c r="D220" s="113"/>
      <c r="E220" s="114">
        <f>(22.2+9.7)*2-8.8</f>
        <v>55</v>
      </c>
      <c r="F220" s="114"/>
      <c r="G220" s="115"/>
      <c r="H220" s="116"/>
    </row>
    <row r="221" spans="1:8">
      <c r="A221" s="190" t="s">
        <v>111</v>
      </c>
      <c r="B221" s="190"/>
      <c r="C221" s="23"/>
      <c r="D221" s="23"/>
      <c r="E221" s="22"/>
      <c r="F221" s="22"/>
      <c r="G221" s="22">
        <f>SUM(G202:G219)</f>
        <v>0</v>
      </c>
      <c r="H221" s="17"/>
    </row>
    <row r="222" spans="1:8" s="52" customFormat="1">
      <c r="A222" s="35" t="s">
        <v>78</v>
      </c>
      <c r="B222" s="36" t="s">
        <v>380</v>
      </c>
      <c r="C222" s="37"/>
      <c r="D222" s="38"/>
      <c r="E222" s="39"/>
      <c r="F222" s="39"/>
      <c r="G222" s="40"/>
      <c r="H222" s="17"/>
    </row>
    <row r="223" spans="1:8" s="52" customFormat="1" ht="25.5">
      <c r="A223" s="33" t="s">
        <v>85</v>
      </c>
      <c r="B223" s="55" t="s">
        <v>136</v>
      </c>
      <c r="C223" s="54" t="s">
        <v>134</v>
      </c>
      <c r="D223" s="33" t="s">
        <v>109</v>
      </c>
      <c r="E223" s="32">
        <f>E254</f>
        <v>629.95000000000005</v>
      </c>
      <c r="F223" s="32"/>
      <c r="G223" s="32">
        <f>E223*F223</f>
        <v>0</v>
      </c>
      <c r="H223" s="17"/>
    </row>
    <row r="224" spans="1:8" s="52" customFormat="1">
      <c r="A224" s="91"/>
      <c r="B224" s="134" t="s">
        <v>466</v>
      </c>
      <c r="C224" s="105"/>
      <c r="D224" s="93"/>
      <c r="E224" s="93"/>
      <c r="F224" s="93"/>
      <c r="G224" s="94"/>
      <c r="H224" s="95"/>
    </row>
    <row r="225" spans="1:8" s="52" customFormat="1">
      <c r="A225" s="96"/>
      <c r="B225" s="133" t="s">
        <v>572</v>
      </c>
      <c r="C225" s="69"/>
      <c r="D225" s="67"/>
      <c r="E225" s="67">
        <f>(5.55*2+2.2)*3</f>
        <v>39.900000000000006</v>
      </c>
      <c r="F225" s="67"/>
      <c r="G225" s="68"/>
      <c r="H225" s="97"/>
    </row>
    <row r="226" spans="1:8" s="52" customFormat="1">
      <c r="A226" s="96"/>
      <c r="B226" s="135" t="s">
        <v>469</v>
      </c>
      <c r="C226" s="69"/>
      <c r="D226" s="67"/>
      <c r="E226" s="67"/>
      <c r="F226" s="67"/>
      <c r="G226" s="68"/>
      <c r="H226" s="97"/>
    </row>
    <row r="227" spans="1:8" s="52" customFormat="1">
      <c r="A227" s="96"/>
      <c r="B227" s="133" t="s">
        <v>573</v>
      </c>
      <c r="C227" s="69"/>
      <c r="D227" s="67"/>
      <c r="E227" s="67">
        <f>(4.9*4+2.9*2+3.22*2)-(2*3)*3</f>
        <v>13.840000000000003</v>
      </c>
      <c r="F227" s="67"/>
      <c r="G227" s="68"/>
      <c r="H227" s="97"/>
    </row>
    <row r="228" spans="1:8" s="52" customFormat="1">
      <c r="A228" s="96"/>
      <c r="B228" s="135" t="s">
        <v>470</v>
      </c>
      <c r="C228" s="69"/>
      <c r="D228" s="67"/>
      <c r="E228" s="67"/>
      <c r="F228" s="67"/>
      <c r="G228" s="68"/>
      <c r="H228" s="97"/>
    </row>
    <row r="229" spans="1:8" s="52" customFormat="1">
      <c r="A229" s="96"/>
      <c r="B229" s="133" t="s">
        <v>574</v>
      </c>
      <c r="C229" s="69"/>
      <c r="D229" s="67"/>
      <c r="E229" s="67">
        <f>(2.9+4.9)*2*3</f>
        <v>46.800000000000004</v>
      </c>
      <c r="F229" s="67"/>
      <c r="G229" s="68"/>
      <c r="H229" s="97"/>
    </row>
    <row r="230" spans="1:8" s="52" customFormat="1">
      <c r="A230" s="96"/>
      <c r="B230" s="135" t="s">
        <v>530</v>
      </c>
      <c r="C230" s="69"/>
      <c r="D230" s="67"/>
      <c r="E230" s="67"/>
      <c r="F230" s="67"/>
      <c r="G230" s="68"/>
      <c r="H230" s="97"/>
    </row>
    <row r="231" spans="1:8" s="52" customFormat="1">
      <c r="A231" s="96"/>
      <c r="B231" s="133" t="s">
        <v>575</v>
      </c>
      <c r="C231" s="69"/>
      <c r="D231" s="67"/>
      <c r="E231" s="67">
        <f>(2.33+4.9)*2*3</f>
        <v>43.38</v>
      </c>
      <c r="F231" s="67"/>
      <c r="G231" s="68"/>
      <c r="H231" s="97"/>
    </row>
    <row r="232" spans="1:8" s="52" customFormat="1">
      <c r="A232" s="96"/>
      <c r="B232" s="135" t="s">
        <v>471</v>
      </c>
      <c r="C232" s="69"/>
      <c r="D232" s="67"/>
      <c r="E232" s="67"/>
      <c r="F232" s="67"/>
      <c r="G232" s="68"/>
      <c r="H232" s="97"/>
    </row>
    <row r="233" spans="1:8" s="52" customFormat="1">
      <c r="A233" s="96"/>
      <c r="B233" s="133" t="s">
        <v>575</v>
      </c>
      <c r="C233" s="69"/>
      <c r="D233" s="67"/>
      <c r="E233" s="67">
        <f>(2.33+4.9)*2*3</f>
        <v>43.38</v>
      </c>
      <c r="F233" s="67"/>
      <c r="G233" s="68"/>
      <c r="H233" s="97"/>
    </row>
    <row r="234" spans="1:8" s="52" customFormat="1">
      <c r="A234" s="96"/>
      <c r="B234" s="135" t="s">
        <v>472</v>
      </c>
      <c r="C234" s="69"/>
      <c r="D234" s="67"/>
      <c r="E234" s="67"/>
      <c r="F234" s="67"/>
      <c r="G234" s="68"/>
      <c r="H234" s="97"/>
    </row>
    <row r="235" spans="1:8" s="52" customFormat="1">
      <c r="A235" s="96"/>
      <c r="B235" s="133" t="s">
        <v>576</v>
      </c>
      <c r="C235" s="69"/>
      <c r="D235" s="67"/>
      <c r="E235" s="67">
        <f>(3.75+2.9)*2*3</f>
        <v>39.900000000000006</v>
      </c>
      <c r="F235" s="67"/>
      <c r="G235" s="68"/>
      <c r="H235" s="97"/>
    </row>
    <row r="236" spans="1:8" s="52" customFormat="1">
      <c r="A236" s="96"/>
      <c r="B236" s="135" t="s">
        <v>597</v>
      </c>
      <c r="C236" s="69"/>
      <c r="D236" s="67"/>
      <c r="E236" s="67"/>
      <c r="F236" s="67"/>
      <c r="G236" s="68"/>
      <c r="H236" s="97"/>
    </row>
    <row r="237" spans="1:8" s="52" customFormat="1">
      <c r="A237" s="96"/>
      <c r="B237" s="133" t="s">
        <v>598</v>
      </c>
      <c r="C237" s="69"/>
      <c r="D237" s="67"/>
      <c r="E237" s="67">
        <f>(1.2+2.3)*2*3</f>
        <v>21</v>
      </c>
      <c r="F237" s="67"/>
      <c r="G237" s="68"/>
      <c r="H237" s="97"/>
    </row>
    <row r="238" spans="1:8" s="52" customFormat="1">
      <c r="A238" s="96"/>
      <c r="B238" s="135" t="s">
        <v>473</v>
      </c>
      <c r="C238" s="69"/>
      <c r="D238" s="67"/>
      <c r="E238" s="67"/>
      <c r="F238" s="67"/>
      <c r="G238" s="68"/>
      <c r="H238" s="97"/>
    </row>
    <row r="239" spans="1:8" s="52" customFormat="1">
      <c r="A239" s="96"/>
      <c r="B239" s="133" t="s">
        <v>577</v>
      </c>
      <c r="C239" s="69"/>
      <c r="D239" s="67"/>
      <c r="E239" s="67">
        <f>(3.55+5.2)*2*3</f>
        <v>52.5</v>
      </c>
      <c r="F239" s="67"/>
      <c r="G239" s="68"/>
      <c r="H239" s="97"/>
    </row>
    <row r="240" spans="1:8" s="52" customFormat="1">
      <c r="A240" s="96"/>
      <c r="B240" s="135" t="s">
        <v>474</v>
      </c>
      <c r="C240" s="69"/>
      <c r="D240" s="67"/>
      <c r="E240" s="67"/>
      <c r="F240" s="67"/>
      <c r="G240" s="68"/>
      <c r="H240" s="97"/>
    </row>
    <row r="241" spans="1:8" s="52" customFormat="1">
      <c r="A241" s="96"/>
      <c r="B241" s="133" t="s">
        <v>578</v>
      </c>
      <c r="C241" s="69"/>
      <c r="D241" s="67"/>
      <c r="E241" s="67">
        <f>(2.23+2.45)*2*3</f>
        <v>28.08</v>
      </c>
      <c r="F241" s="67"/>
      <c r="G241" s="68"/>
      <c r="H241" s="97"/>
    </row>
    <row r="242" spans="1:8" s="52" customFormat="1">
      <c r="A242" s="96"/>
      <c r="B242" s="135" t="s">
        <v>476</v>
      </c>
      <c r="C242" s="69"/>
      <c r="D242" s="67"/>
      <c r="E242" s="67"/>
      <c r="F242" s="67"/>
      <c r="G242" s="68"/>
      <c r="H242" s="97"/>
    </row>
    <row r="243" spans="1:8" s="52" customFormat="1">
      <c r="A243" s="96"/>
      <c r="B243" s="133" t="s">
        <v>579</v>
      </c>
      <c r="C243" s="69"/>
      <c r="D243" s="67"/>
      <c r="E243" s="67">
        <f>(3.6+3.35)*2*3</f>
        <v>41.7</v>
      </c>
      <c r="F243" s="67"/>
      <c r="G243" s="68"/>
      <c r="H243" s="97"/>
    </row>
    <row r="244" spans="1:8" s="52" customFormat="1">
      <c r="A244" s="96"/>
      <c r="B244" s="135" t="s">
        <v>478</v>
      </c>
      <c r="C244" s="69"/>
      <c r="D244" s="67"/>
      <c r="E244" s="67"/>
      <c r="F244" s="67"/>
      <c r="G244" s="68"/>
      <c r="H244" s="97"/>
    </row>
    <row r="245" spans="1:8" s="52" customFormat="1">
      <c r="A245" s="96"/>
      <c r="B245" s="133" t="s">
        <v>580</v>
      </c>
      <c r="C245" s="69"/>
      <c r="D245" s="67"/>
      <c r="E245" s="67">
        <f>(2.65+3.6)*2*3</f>
        <v>37.5</v>
      </c>
      <c r="F245" s="67"/>
      <c r="G245" s="68"/>
      <c r="H245" s="97"/>
    </row>
    <row r="246" spans="1:8" s="52" customFormat="1">
      <c r="A246" s="96"/>
      <c r="B246" s="133" t="s">
        <v>479</v>
      </c>
      <c r="C246" s="69"/>
      <c r="D246" s="67"/>
      <c r="E246" s="67"/>
      <c r="F246" s="67"/>
      <c r="G246" s="68"/>
      <c r="H246" s="97"/>
    </row>
    <row r="247" spans="1:8" s="52" customFormat="1">
      <c r="A247" s="96"/>
      <c r="B247" s="133" t="s">
        <v>581</v>
      </c>
      <c r="C247" s="69"/>
      <c r="D247" s="67"/>
      <c r="E247" s="67">
        <f>(3.55+2.8)*2*3</f>
        <v>38.099999999999994</v>
      </c>
      <c r="F247" s="67"/>
      <c r="G247" s="68"/>
      <c r="H247" s="97"/>
    </row>
    <row r="248" spans="1:8" s="52" customFormat="1">
      <c r="A248" s="96"/>
      <c r="B248" s="133" t="s">
        <v>485</v>
      </c>
      <c r="C248" s="69"/>
      <c r="D248" s="67"/>
      <c r="E248" s="67"/>
      <c r="F248" s="67"/>
      <c r="G248" s="68"/>
      <c r="H248" s="97"/>
    </row>
    <row r="249" spans="1:8" s="52" customFormat="1">
      <c r="A249" s="96"/>
      <c r="B249" s="133" t="s">
        <v>581</v>
      </c>
      <c r="C249" s="69"/>
      <c r="D249" s="67"/>
      <c r="E249" s="67">
        <f>(3.55+2.8)*2*3</f>
        <v>38.099999999999994</v>
      </c>
      <c r="F249" s="67"/>
      <c r="G249" s="68"/>
      <c r="H249" s="97"/>
    </row>
    <row r="250" spans="1:8" s="52" customFormat="1">
      <c r="A250" s="96"/>
      <c r="B250" s="133" t="s">
        <v>486</v>
      </c>
      <c r="C250" s="69"/>
      <c r="D250" s="67"/>
      <c r="E250" s="67"/>
      <c r="F250" s="67"/>
      <c r="G250" s="68"/>
      <c r="H250" s="97"/>
    </row>
    <row r="251" spans="1:8" s="52" customFormat="1">
      <c r="A251" s="96"/>
      <c r="B251" s="133" t="s">
        <v>582</v>
      </c>
      <c r="C251" s="69"/>
      <c r="D251" s="67"/>
      <c r="E251" s="67">
        <f>(1.7+2.15)*2*3</f>
        <v>23.099999999999998</v>
      </c>
      <c r="F251" s="67"/>
      <c r="G251" s="68"/>
      <c r="H251" s="97"/>
    </row>
    <row r="252" spans="1:8" s="52" customFormat="1">
      <c r="A252" s="96"/>
      <c r="B252" s="133" t="s">
        <v>584</v>
      </c>
      <c r="C252" s="69"/>
      <c r="D252" s="67"/>
      <c r="E252" s="67"/>
      <c r="F252" s="67"/>
      <c r="G252" s="68"/>
      <c r="H252" s="97"/>
    </row>
    <row r="253" spans="1:8" s="52" customFormat="1">
      <c r="A253" s="96"/>
      <c r="B253" s="133" t="s">
        <v>583</v>
      </c>
      <c r="C253" s="69"/>
      <c r="D253" s="67"/>
      <c r="E253" s="67">
        <f>40.89*3</f>
        <v>122.67</v>
      </c>
      <c r="F253" s="67"/>
      <c r="G253" s="68"/>
      <c r="H253" s="97"/>
    </row>
    <row r="254" spans="1:8" s="52" customFormat="1">
      <c r="A254" s="98"/>
      <c r="B254" s="99" t="s">
        <v>463</v>
      </c>
      <c r="C254" s="106"/>
      <c r="D254" s="101"/>
      <c r="E254" s="107">
        <f>SUM(E225:E253)</f>
        <v>629.95000000000005</v>
      </c>
      <c r="F254" s="101"/>
      <c r="G254" s="103"/>
      <c r="H254" s="104"/>
    </row>
    <row r="255" spans="1:8" s="52" customFormat="1" ht="38.25">
      <c r="A255" s="33" t="s">
        <v>86</v>
      </c>
      <c r="B255" s="55" t="s">
        <v>213</v>
      </c>
      <c r="C255" s="54" t="s">
        <v>212</v>
      </c>
      <c r="D255" s="33" t="s">
        <v>109</v>
      </c>
      <c r="E255" s="32">
        <f>E260</f>
        <v>450.69920000000002</v>
      </c>
      <c r="F255" s="32"/>
      <c r="G255" s="32">
        <f>E255*F255</f>
        <v>0</v>
      </c>
      <c r="H255" s="17"/>
    </row>
    <row r="256" spans="1:8" s="52" customFormat="1" ht="25.5">
      <c r="A256" s="108"/>
      <c r="B256" s="142" t="s">
        <v>569</v>
      </c>
      <c r="C256" s="117"/>
      <c r="D256" s="105"/>
      <c r="E256" s="93"/>
      <c r="F256" s="93"/>
      <c r="G256" s="93"/>
      <c r="H256" s="95"/>
    </row>
    <row r="257" spans="1:8" s="52" customFormat="1">
      <c r="A257" s="111"/>
      <c r="B257" s="133" t="s">
        <v>570</v>
      </c>
      <c r="C257" s="71"/>
      <c r="D257" s="69"/>
      <c r="E257" s="67">
        <f>(22.5+10+1.38)*2*3.42</f>
        <v>231.73920000000001</v>
      </c>
      <c r="F257" s="67"/>
      <c r="G257" s="67"/>
      <c r="H257" s="97"/>
    </row>
    <row r="258" spans="1:8" s="52" customFormat="1">
      <c r="A258" s="96"/>
      <c r="B258" s="133" t="s">
        <v>561</v>
      </c>
      <c r="C258" s="69"/>
      <c r="D258" s="67"/>
      <c r="E258" s="67"/>
      <c r="F258" s="68"/>
      <c r="G258" s="68"/>
      <c r="H258" s="97"/>
    </row>
    <row r="259" spans="1:8" s="52" customFormat="1">
      <c r="A259" s="96"/>
      <c r="B259" s="133" t="s">
        <v>571</v>
      </c>
      <c r="C259" s="69"/>
      <c r="D259" s="67"/>
      <c r="E259" s="67">
        <f>(22.35+9.85)*2*1.7*2</f>
        <v>218.96</v>
      </c>
      <c r="F259" s="68"/>
      <c r="G259" s="68"/>
      <c r="H259" s="97"/>
    </row>
    <row r="260" spans="1:8" s="52" customFormat="1">
      <c r="A260" s="98"/>
      <c r="B260" s="99" t="s">
        <v>463</v>
      </c>
      <c r="C260" s="106"/>
      <c r="D260" s="101"/>
      <c r="E260" s="107">
        <f>SUM(E257:E259)</f>
        <v>450.69920000000002</v>
      </c>
      <c r="F260" s="103"/>
      <c r="G260" s="103"/>
      <c r="H260" s="104"/>
    </row>
    <row r="261" spans="1:8" s="52" customFormat="1" ht="25.5">
      <c r="A261" s="33" t="s">
        <v>126</v>
      </c>
      <c r="B261" s="53" t="s">
        <v>135</v>
      </c>
      <c r="C261" s="54">
        <v>5975</v>
      </c>
      <c r="D261" s="33" t="s">
        <v>109</v>
      </c>
      <c r="E261" s="32">
        <f>E292</f>
        <v>200.65</v>
      </c>
      <c r="F261" s="32"/>
      <c r="G261" s="32">
        <f>E261*F261</f>
        <v>0</v>
      </c>
      <c r="H261" s="17"/>
    </row>
    <row r="262" spans="1:8" s="52" customFormat="1">
      <c r="A262" s="91"/>
      <c r="B262" s="134" t="s">
        <v>466</v>
      </c>
      <c r="C262" s="105"/>
      <c r="D262" s="93"/>
      <c r="E262" s="93"/>
      <c r="F262" s="93"/>
      <c r="G262" s="94"/>
      <c r="H262" s="95"/>
    </row>
    <row r="263" spans="1:8" s="52" customFormat="1">
      <c r="A263" s="96"/>
      <c r="B263" s="133" t="s">
        <v>585</v>
      </c>
      <c r="C263" s="69"/>
      <c r="D263" s="67"/>
      <c r="E263" s="67">
        <f>5.55*2.2</f>
        <v>12.21</v>
      </c>
      <c r="F263" s="67"/>
      <c r="G263" s="68"/>
      <c r="H263" s="97"/>
    </row>
    <row r="264" spans="1:8" s="52" customFormat="1">
      <c r="A264" s="96"/>
      <c r="B264" s="135" t="s">
        <v>469</v>
      </c>
      <c r="C264" s="69"/>
      <c r="D264" s="67"/>
      <c r="E264" s="67"/>
      <c r="F264" s="67"/>
      <c r="G264" s="68"/>
      <c r="H264" s="97"/>
    </row>
    <row r="265" spans="1:8" s="52" customFormat="1">
      <c r="A265" s="96"/>
      <c r="B265" s="133" t="s">
        <v>586</v>
      </c>
      <c r="C265" s="69"/>
      <c r="D265" s="67"/>
      <c r="E265" s="67">
        <v>34.26</v>
      </c>
      <c r="F265" s="67"/>
      <c r="G265" s="68"/>
      <c r="H265" s="97"/>
    </row>
    <row r="266" spans="1:8" s="52" customFormat="1">
      <c r="A266" s="96"/>
      <c r="B266" s="135" t="s">
        <v>470</v>
      </c>
      <c r="C266" s="69"/>
      <c r="D266" s="67"/>
      <c r="E266" s="67"/>
      <c r="F266" s="67"/>
      <c r="G266" s="68"/>
      <c r="H266" s="97"/>
    </row>
    <row r="267" spans="1:8" s="52" customFormat="1">
      <c r="A267" s="96"/>
      <c r="B267" s="133" t="s">
        <v>587</v>
      </c>
      <c r="C267" s="69"/>
      <c r="D267" s="67"/>
      <c r="E267" s="67">
        <v>15.51</v>
      </c>
      <c r="F267" s="67"/>
      <c r="G267" s="68"/>
      <c r="H267" s="97"/>
    </row>
    <row r="268" spans="1:8" s="52" customFormat="1">
      <c r="A268" s="96"/>
      <c r="B268" s="135" t="s">
        <v>530</v>
      </c>
      <c r="C268" s="69"/>
      <c r="D268" s="67"/>
      <c r="E268" s="67"/>
      <c r="F268" s="67"/>
      <c r="G268" s="68"/>
      <c r="H268" s="97"/>
    </row>
    <row r="269" spans="1:8" s="52" customFormat="1">
      <c r="A269" s="96"/>
      <c r="B269" s="133" t="s">
        <v>588</v>
      </c>
      <c r="C269" s="69"/>
      <c r="D269" s="67"/>
      <c r="E269" s="67">
        <v>12.43</v>
      </c>
      <c r="F269" s="67"/>
      <c r="G269" s="68"/>
      <c r="H269" s="97"/>
    </row>
    <row r="270" spans="1:8" s="52" customFormat="1">
      <c r="A270" s="96"/>
      <c r="B270" s="135" t="s">
        <v>471</v>
      </c>
      <c r="C270" s="69"/>
      <c r="D270" s="67"/>
      <c r="E270" s="67"/>
      <c r="F270" s="67"/>
      <c r="G270" s="68"/>
      <c r="H270" s="97"/>
    </row>
    <row r="271" spans="1:8" s="52" customFormat="1">
      <c r="A271" s="96"/>
      <c r="B271" s="133" t="s">
        <v>588</v>
      </c>
      <c r="C271" s="69"/>
      <c r="D271" s="67"/>
      <c r="E271" s="67">
        <v>12.43</v>
      </c>
      <c r="F271" s="67"/>
      <c r="G271" s="68"/>
      <c r="H271" s="97"/>
    </row>
    <row r="272" spans="1:8" s="52" customFormat="1">
      <c r="A272" s="96"/>
      <c r="B272" s="135" t="s">
        <v>472</v>
      </c>
      <c r="C272" s="69"/>
      <c r="D272" s="67"/>
      <c r="E272" s="67"/>
      <c r="F272" s="67"/>
      <c r="G272" s="68"/>
      <c r="H272" s="97"/>
    </row>
    <row r="273" spans="1:8" s="52" customFormat="1">
      <c r="A273" s="96"/>
      <c r="B273" s="133" t="s">
        <v>589</v>
      </c>
      <c r="C273" s="69"/>
      <c r="D273" s="67"/>
      <c r="E273" s="67">
        <v>10.87</v>
      </c>
      <c r="F273" s="67"/>
      <c r="G273" s="68"/>
      <c r="H273" s="97"/>
    </row>
    <row r="274" spans="1:8" s="52" customFormat="1">
      <c r="A274" s="96"/>
      <c r="B274" s="135" t="s">
        <v>597</v>
      </c>
      <c r="C274" s="69"/>
      <c r="D274" s="67"/>
      <c r="E274" s="67"/>
      <c r="F274" s="67"/>
      <c r="G274" s="68"/>
      <c r="H274" s="97"/>
    </row>
    <row r="275" spans="1:8" s="52" customFormat="1">
      <c r="A275" s="96"/>
      <c r="B275" s="133" t="s">
        <v>607</v>
      </c>
      <c r="C275" s="69"/>
      <c r="D275" s="67"/>
      <c r="E275" s="67">
        <v>2.76</v>
      </c>
      <c r="F275" s="67"/>
      <c r="G275" s="68"/>
      <c r="H275" s="97"/>
    </row>
    <row r="276" spans="1:8" s="52" customFormat="1">
      <c r="A276" s="96"/>
      <c r="B276" s="135" t="s">
        <v>473</v>
      </c>
      <c r="C276" s="69"/>
      <c r="D276" s="67"/>
      <c r="E276" s="67"/>
      <c r="F276" s="67"/>
      <c r="G276" s="68"/>
      <c r="H276" s="97"/>
    </row>
    <row r="277" spans="1:8" s="52" customFormat="1">
      <c r="A277" s="96"/>
      <c r="B277" s="133" t="s">
        <v>590</v>
      </c>
      <c r="C277" s="69"/>
      <c r="D277" s="67"/>
      <c r="E277" s="67">
        <v>18.46</v>
      </c>
      <c r="F277" s="67"/>
      <c r="G277" s="68"/>
      <c r="H277" s="97"/>
    </row>
    <row r="278" spans="1:8" s="52" customFormat="1">
      <c r="A278" s="96"/>
      <c r="B278" s="135" t="s">
        <v>474</v>
      </c>
      <c r="C278" s="69"/>
      <c r="D278" s="67"/>
      <c r="E278" s="67"/>
      <c r="F278" s="67"/>
      <c r="G278" s="68"/>
      <c r="H278" s="97"/>
    </row>
    <row r="279" spans="1:8" s="52" customFormat="1">
      <c r="A279" s="96"/>
      <c r="B279" s="133" t="s">
        <v>591</v>
      </c>
      <c r="C279" s="69"/>
      <c r="D279" s="67"/>
      <c r="E279" s="67">
        <v>5.45</v>
      </c>
      <c r="F279" s="67"/>
      <c r="G279" s="68"/>
      <c r="H279" s="97"/>
    </row>
    <row r="280" spans="1:8" s="52" customFormat="1">
      <c r="A280" s="96"/>
      <c r="B280" s="135" t="s">
        <v>476</v>
      </c>
      <c r="C280" s="69"/>
      <c r="D280" s="67"/>
      <c r="E280" s="67"/>
      <c r="F280" s="67"/>
      <c r="G280" s="68"/>
      <c r="H280" s="97"/>
    </row>
    <row r="281" spans="1:8" s="52" customFormat="1">
      <c r="A281" s="96"/>
      <c r="B281" s="133" t="s">
        <v>592</v>
      </c>
      <c r="C281" s="69"/>
      <c r="D281" s="67"/>
      <c r="E281" s="67">
        <v>12.06</v>
      </c>
      <c r="F281" s="67"/>
      <c r="G281" s="68"/>
      <c r="H281" s="97"/>
    </row>
    <row r="282" spans="1:8" s="52" customFormat="1">
      <c r="A282" s="96"/>
      <c r="B282" s="135" t="s">
        <v>478</v>
      </c>
      <c r="C282" s="69"/>
      <c r="D282" s="67"/>
      <c r="E282" s="67"/>
      <c r="F282" s="67"/>
      <c r="G282" s="68"/>
      <c r="H282" s="97"/>
    </row>
    <row r="283" spans="1:8" s="52" customFormat="1">
      <c r="A283" s="96"/>
      <c r="B283" s="133" t="s">
        <v>593</v>
      </c>
      <c r="C283" s="69"/>
      <c r="D283" s="67"/>
      <c r="E283" s="67">
        <v>9.52</v>
      </c>
      <c r="F283" s="67"/>
      <c r="G283" s="68"/>
      <c r="H283" s="97"/>
    </row>
    <row r="284" spans="1:8" s="52" customFormat="1">
      <c r="A284" s="96"/>
      <c r="B284" s="133" t="s">
        <v>479</v>
      </c>
      <c r="C284" s="69"/>
      <c r="D284" s="67"/>
      <c r="E284" s="67"/>
      <c r="F284" s="67"/>
      <c r="G284" s="68"/>
      <c r="H284" s="97"/>
    </row>
    <row r="285" spans="1:8" s="52" customFormat="1">
      <c r="A285" s="96"/>
      <c r="B285" s="133" t="s">
        <v>594</v>
      </c>
      <c r="C285" s="69"/>
      <c r="D285" s="67"/>
      <c r="E285" s="67">
        <v>9.94</v>
      </c>
      <c r="F285" s="67"/>
      <c r="G285" s="68"/>
      <c r="H285" s="97"/>
    </row>
    <row r="286" spans="1:8" s="52" customFormat="1">
      <c r="A286" s="96"/>
      <c r="B286" s="133" t="s">
        <v>485</v>
      </c>
      <c r="C286" s="69"/>
      <c r="D286" s="67"/>
      <c r="E286" s="67"/>
      <c r="F286" s="67"/>
      <c r="G286" s="68"/>
      <c r="H286" s="97"/>
    </row>
    <row r="287" spans="1:8" s="52" customFormat="1">
      <c r="A287" s="96"/>
      <c r="B287" s="133" t="s">
        <v>594</v>
      </c>
      <c r="C287" s="69"/>
      <c r="D287" s="67"/>
      <c r="E287" s="67">
        <v>9.94</v>
      </c>
      <c r="F287" s="67"/>
      <c r="G287" s="68"/>
      <c r="H287" s="97"/>
    </row>
    <row r="288" spans="1:8" s="52" customFormat="1">
      <c r="A288" s="96"/>
      <c r="B288" s="133" t="s">
        <v>486</v>
      </c>
      <c r="C288" s="69"/>
      <c r="D288" s="67"/>
      <c r="E288" s="67"/>
      <c r="F288" s="67"/>
      <c r="G288" s="68"/>
      <c r="H288" s="97"/>
    </row>
    <row r="289" spans="1:8" s="52" customFormat="1">
      <c r="A289" s="96"/>
      <c r="B289" s="133" t="s">
        <v>595</v>
      </c>
      <c r="C289" s="69"/>
      <c r="D289" s="67"/>
      <c r="E289" s="67">
        <v>3.65</v>
      </c>
      <c r="F289" s="67"/>
      <c r="G289" s="68"/>
      <c r="H289" s="97"/>
    </row>
    <row r="290" spans="1:8" s="52" customFormat="1">
      <c r="A290" s="96"/>
      <c r="B290" s="133" t="s">
        <v>584</v>
      </c>
      <c r="C290" s="69"/>
      <c r="D290" s="67"/>
      <c r="E290" s="67"/>
      <c r="F290" s="67"/>
      <c r="G290" s="68"/>
      <c r="H290" s="97"/>
    </row>
    <row r="291" spans="1:8" s="52" customFormat="1">
      <c r="A291" s="96"/>
      <c r="B291" s="133" t="s">
        <v>596</v>
      </c>
      <c r="C291" s="69"/>
      <c r="D291" s="67"/>
      <c r="E291" s="67">
        <v>31.16</v>
      </c>
      <c r="F291" s="67"/>
      <c r="G291" s="68"/>
      <c r="H291" s="97"/>
    </row>
    <row r="292" spans="1:8" s="52" customFormat="1">
      <c r="A292" s="98"/>
      <c r="B292" s="99" t="s">
        <v>463</v>
      </c>
      <c r="C292" s="106"/>
      <c r="D292" s="101"/>
      <c r="E292" s="107">
        <f>SUM(E263:E291)</f>
        <v>200.65</v>
      </c>
      <c r="F292" s="101"/>
      <c r="G292" s="103"/>
      <c r="H292" s="104"/>
    </row>
    <row r="293" spans="1:8" s="52" customFormat="1" ht="27" customHeight="1">
      <c r="A293" s="33" t="s">
        <v>127</v>
      </c>
      <c r="B293" s="53" t="s">
        <v>139</v>
      </c>
      <c r="C293" s="54">
        <v>5983</v>
      </c>
      <c r="D293" s="33" t="s">
        <v>109</v>
      </c>
      <c r="E293" s="32">
        <f>E306</f>
        <v>204.6</v>
      </c>
      <c r="F293" s="32"/>
      <c r="G293" s="32">
        <f>E293*F293</f>
        <v>0</v>
      </c>
      <c r="H293" s="17"/>
    </row>
    <row r="294" spans="1:8" s="52" customFormat="1" ht="15.75" customHeight="1">
      <c r="A294" s="108"/>
      <c r="B294" s="134" t="s">
        <v>597</v>
      </c>
      <c r="C294" s="105"/>
      <c r="D294" s="93"/>
      <c r="E294" s="93"/>
      <c r="F294" s="93"/>
      <c r="G294" s="93"/>
      <c r="H294" s="95"/>
    </row>
    <row r="295" spans="1:8" s="52" customFormat="1" ht="15.75" customHeight="1">
      <c r="A295" s="111"/>
      <c r="B295" s="133" t="s">
        <v>598</v>
      </c>
      <c r="C295" s="69"/>
      <c r="D295" s="67"/>
      <c r="E295" s="67">
        <f>(1.2+2.3)*2*3</f>
        <v>21</v>
      </c>
      <c r="F295" s="67"/>
      <c r="G295" s="67"/>
      <c r="H295" s="97"/>
    </row>
    <row r="296" spans="1:8" s="52" customFormat="1" ht="15.75" customHeight="1">
      <c r="A296" s="111"/>
      <c r="B296" s="135" t="s">
        <v>470</v>
      </c>
      <c r="C296" s="69"/>
      <c r="D296" s="67"/>
      <c r="E296" s="67"/>
      <c r="F296" s="67"/>
      <c r="G296" s="67"/>
      <c r="H296" s="97"/>
    </row>
    <row r="297" spans="1:8" s="52" customFormat="1" ht="15.75" customHeight="1">
      <c r="A297" s="111"/>
      <c r="B297" s="133" t="s">
        <v>574</v>
      </c>
      <c r="C297" s="69"/>
      <c r="D297" s="67"/>
      <c r="E297" s="67">
        <f>(2.9+4.9)*2*3</f>
        <v>46.800000000000004</v>
      </c>
      <c r="F297" s="67"/>
      <c r="G297" s="67"/>
      <c r="H297" s="97"/>
    </row>
    <row r="298" spans="1:8" s="52" customFormat="1" ht="15.75" customHeight="1">
      <c r="A298" s="111"/>
      <c r="B298" s="133" t="s">
        <v>479</v>
      </c>
      <c r="C298" s="69"/>
      <c r="D298" s="67"/>
      <c r="E298" s="67"/>
      <c r="F298" s="67"/>
      <c r="G298" s="67"/>
      <c r="H298" s="97"/>
    </row>
    <row r="299" spans="1:8" s="52" customFormat="1" ht="15.75" customHeight="1">
      <c r="A299" s="111"/>
      <c r="B299" s="133" t="s">
        <v>581</v>
      </c>
      <c r="C299" s="69"/>
      <c r="D299" s="67"/>
      <c r="E299" s="67">
        <f>(3.55+2.8)*2*3</f>
        <v>38.099999999999994</v>
      </c>
      <c r="F299" s="67"/>
      <c r="G299" s="67"/>
      <c r="H299" s="97"/>
    </row>
    <row r="300" spans="1:8" s="52" customFormat="1" ht="15.75" customHeight="1">
      <c r="A300" s="111"/>
      <c r="B300" s="133" t="s">
        <v>485</v>
      </c>
      <c r="C300" s="69"/>
      <c r="D300" s="67"/>
      <c r="E300" s="67"/>
      <c r="F300" s="67"/>
      <c r="G300" s="67"/>
      <c r="H300" s="97"/>
    </row>
    <row r="301" spans="1:8" s="52" customFormat="1" ht="15.75" customHeight="1">
      <c r="A301" s="111"/>
      <c r="B301" s="133" t="s">
        <v>581</v>
      </c>
      <c r="C301" s="69"/>
      <c r="D301" s="67"/>
      <c r="E301" s="67">
        <f>(3.55+2.8)*2*3</f>
        <v>38.099999999999994</v>
      </c>
      <c r="F301" s="67"/>
      <c r="G301" s="67"/>
      <c r="H301" s="97"/>
    </row>
    <row r="302" spans="1:8" s="52" customFormat="1" ht="15.75" customHeight="1">
      <c r="A302" s="111"/>
      <c r="B302" s="133" t="s">
        <v>486</v>
      </c>
      <c r="C302" s="69"/>
      <c r="D302" s="67"/>
      <c r="E302" s="67"/>
      <c r="F302" s="67"/>
      <c r="G302" s="67"/>
      <c r="H302" s="97"/>
    </row>
    <row r="303" spans="1:8" s="52" customFormat="1" ht="15.75" customHeight="1">
      <c r="A303" s="111"/>
      <c r="B303" s="133" t="s">
        <v>582</v>
      </c>
      <c r="C303" s="69"/>
      <c r="D303" s="67"/>
      <c r="E303" s="67">
        <f>(1.7+2.15)*2*3</f>
        <v>23.099999999999998</v>
      </c>
      <c r="F303" s="67"/>
      <c r="G303" s="67"/>
      <c r="H303" s="97"/>
    </row>
    <row r="304" spans="1:8" s="52" customFormat="1" ht="15.75" customHeight="1">
      <c r="A304" s="111"/>
      <c r="B304" s="135" t="s">
        <v>478</v>
      </c>
      <c r="C304" s="69"/>
      <c r="D304" s="67"/>
      <c r="E304" s="67"/>
      <c r="F304" s="67"/>
      <c r="G304" s="67"/>
      <c r="H304" s="97"/>
    </row>
    <row r="305" spans="1:8" s="52" customFormat="1" ht="15.75" customHeight="1">
      <c r="A305" s="111"/>
      <c r="B305" s="133" t="s">
        <v>580</v>
      </c>
      <c r="C305" s="69"/>
      <c r="D305" s="67"/>
      <c r="E305" s="67">
        <f>(2.65+3.6)*2*3</f>
        <v>37.5</v>
      </c>
      <c r="F305" s="67"/>
      <c r="G305" s="67"/>
      <c r="H305" s="97"/>
    </row>
    <row r="306" spans="1:8" s="52" customFormat="1" ht="15.75" customHeight="1">
      <c r="A306" s="110"/>
      <c r="B306" s="99" t="s">
        <v>463</v>
      </c>
      <c r="C306" s="106"/>
      <c r="D306" s="101"/>
      <c r="E306" s="107">
        <f>SUM(E295:E305)</f>
        <v>204.6</v>
      </c>
      <c r="F306" s="101"/>
      <c r="G306" s="101"/>
      <c r="H306" s="104"/>
    </row>
    <row r="307" spans="1:8" s="52" customFormat="1" ht="12.75" customHeight="1">
      <c r="A307" s="33" t="s">
        <v>128</v>
      </c>
      <c r="B307" s="55" t="s">
        <v>138</v>
      </c>
      <c r="C307" s="33" t="s">
        <v>137</v>
      </c>
      <c r="D307" s="33" t="s">
        <v>109</v>
      </c>
      <c r="E307" s="32">
        <f>E310</f>
        <v>472.15000000000003</v>
      </c>
      <c r="F307" s="32"/>
      <c r="G307" s="32">
        <f>E307*F307</f>
        <v>0</v>
      </c>
      <c r="H307" s="17"/>
    </row>
    <row r="308" spans="1:8" s="52" customFormat="1" ht="12.75" customHeight="1">
      <c r="A308" s="108"/>
      <c r="B308" s="142" t="s">
        <v>599</v>
      </c>
      <c r="C308" s="105"/>
      <c r="D308" s="105"/>
      <c r="E308" s="93"/>
      <c r="F308" s="93"/>
      <c r="G308" s="93"/>
      <c r="H308" s="95"/>
    </row>
    <row r="309" spans="1:8" s="52" customFormat="1" ht="12.75" customHeight="1">
      <c r="A309" s="111"/>
      <c r="B309" s="133" t="s">
        <v>600</v>
      </c>
      <c r="C309" s="69"/>
      <c r="D309" s="69"/>
      <c r="E309" s="67">
        <f>629.95-157.8</f>
        <v>472.15000000000003</v>
      </c>
      <c r="F309" s="67"/>
      <c r="G309" s="67"/>
      <c r="H309" s="97"/>
    </row>
    <row r="310" spans="1:8" s="52" customFormat="1" ht="12.75" customHeight="1">
      <c r="A310" s="110"/>
      <c r="B310" s="99" t="s">
        <v>463</v>
      </c>
      <c r="C310" s="106"/>
      <c r="D310" s="101"/>
      <c r="E310" s="107">
        <f>SUM(E309)</f>
        <v>472.15000000000003</v>
      </c>
      <c r="F310" s="101"/>
      <c r="G310" s="101"/>
      <c r="H310" s="104"/>
    </row>
    <row r="311" spans="1:8" s="52" customFormat="1" ht="12.75" customHeight="1">
      <c r="A311" s="33" t="s">
        <v>153</v>
      </c>
      <c r="B311" s="55" t="s">
        <v>214</v>
      </c>
      <c r="C311" s="33" t="s">
        <v>137</v>
      </c>
      <c r="D311" s="33" t="s">
        <v>109</v>
      </c>
      <c r="E311" s="32">
        <f>E312</f>
        <v>450.69920000000002</v>
      </c>
      <c r="F311" s="32"/>
      <c r="G311" s="32">
        <f>E311*F311</f>
        <v>0</v>
      </c>
      <c r="H311" s="17"/>
    </row>
    <row r="312" spans="1:8" s="52" customFormat="1" ht="12.75" customHeight="1">
      <c r="A312" s="112"/>
      <c r="B312" s="143" t="s">
        <v>601</v>
      </c>
      <c r="C312" s="113"/>
      <c r="D312" s="113"/>
      <c r="E312" s="114">
        <f>E255</f>
        <v>450.69920000000002</v>
      </c>
      <c r="F312" s="114"/>
      <c r="G312" s="114"/>
      <c r="H312" s="116"/>
    </row>
    <row r="313" spans="1:8" s="52" customFormat="1" ht="26.25" customHeight="1">
      <c r="A313" s="33" t="s">
        <v>156</v>
      </c>
      <c r="B313" s="55" t="s">
        <v>141</v>
      </c>
      <c r="C313" s="33" t="s">
        <v>140</v>
      </c>
      <c r="D313" s="33" t="s">
        <v>109</v>
      </c>
      <c r="E313" s="32">
        <f>E314</f>
        <v>200.65</v>
      </c>
      <c r="F313" s="32"/>
      <c r="G313" s="32">
        <f>E313*F313</f>
        <v>0</v>
      </c>
      <c r="H313" s="17"/>
    </row>
    <row r="314" spans="1:8">
      <c r="A314" s="118"/>
      <c r="B314" s="143" t="s">
        <v>603</v>
      </c>
      <c r="C314" s="119"/>
      <c r="D314" s="119"/>
      <c r="E314" s="115">
        <f>E261</f>
        <v>200.65</v>
      </c>
      <c r="F314" s="115"/>
      <c r="G314" s="115"/>
      <c r="H314" s="116"/>
    </row>
    <row r="315" spans="1:8" s="29" customFormat="1" ht="39" customHeight="1">
      <c r="A315" s="33" t="s">
        <v>157</v>
      </c>
      <c r="B315" s="53" t="s">
        <v>172</v>
      </c>
      <c r="C315" s="33" t="s">
        <v>142</v>
      </c>
      <c r="D315" s="33" t="s">
        <v>109</v>
      </c>
      <c r="E315" s="32">
        <f>E316</f>
        <v>204.6</v>
      </c>
      <c r="F315" s="32"/>
      <c r="G315" s="32">
        <f>E315*F315</f>
        <v>0</v>
      </c>
      <c r="H315" s="17"/>
    </row>
    <row r="316" spans="1:8">
      <c r="A316" s="118"/>
      <c r="B316" s="144" t="s">
        <v>602</v>
      </c>
      <c r="C316" s="119"/>
      <c r="D316" s="119"/>
      <c r="E316" s="115">
        <f>E293</f>
        <v>204.6</v>
      </c>
      <c r="F316" s="115"/>
      <c r="G316" s="115"/>
      <c r="H316" s="116"/>
    </row>
    <row r="317" spans="1:8" s="29" customFormat="1" ht="25.5" customHeight="1">
      <c r="A317" s="33" t="s">
        <v>158</v>
      </c>
      <c r="B317" s="53" t="s">
        <v>173</v>
      </c>
      <c r="C317" s="33" t="s">
        <v>609</v>
      </c>
      <c r="D317" s="33" t="s">
        <v>109</v>
      </c>
      <c r="E317" s="32">
        <f>E318</f>
        <v>204.6</v>
      </c>
      <c r="F317" s="32"/>
      <c r="G317" s="32">
        <f>E317*F317</f>
        <v>0</v>
      </c>
      <c r="H317" s="17"/>
    </row>
    <row r="318" spans="1:8" s="29" customFormat="1" ht="15.75" customHeight="1">
      <c r="A318" s="112"/>
      <c r="B318" s="144" t="s">
        <v>604</v>
      </c>
      <c r="C318" s="113"/>
      <c r="D318" s="113"/>
      <c r="E318" s="114">
        <f>E315</f>
        <v>204.6</v>
      </c>
      <c r="F318" s="114"/>
      <c r="G318" s="114"/>
      <c r="H318" s="116"/>
    </row>
    <row r="319" spans="1:8">
      <c r="A319" s="190" t="s">
        <v>111</v>
      </c>
      <c r="B319" s="190"/>
      <c r="C319" s="23"/>
      <c r="D319" s="23"/>
      <c r="E319" s="22"/>
      <c r="F319" s="22"/>
      <c r="G319" s="22">
        <f>SUM(G223:G317)</f>
        <v>0</v>
      </c>
      <c r="H319" s="17"/>
    </row>
    <row r="320" spans="1:8" s="29" customFormat="1">
      <c r="A320" s="35" t="s">
        <v>79</v>
      </c>
      <c r="B320" s="36" t="s">
        <v>381</v>
      </c>
      <c r="C320" s="37"/>
      <c r="D320" s="38"/>
      <c r="E320" s="39"/>
      <c r="F320" s="39"/>
      <c r="G320" s="40"/>
      <c r="H320" s="17"/>
    </row>
    <row r="321" spans="1:8" s="29" customFormat="1" ht="63.75">
      <c r="A321" s="33" t="s">
        <v>87</v>
      </c>
      <c r="B321" s="41" t="s">
        <v>182</v>
      </c>
      <c r="C321" s="33" t="s">
        <v>149</v>
      </c>
      <c r="D321" s="33" t="s">
        <v>109</v>
      </c>
      <c r="E321" s="32">
        <f>E342</f>
        <v>164.84</v>
      </c>
      <c r="F321" s="32"/>
      <c r="G321" s="32">
        <f>E321*F321</f>
        <v>0</v>
      </c>
      <c r="H321" s="17"/>
    </row>
    <row r="322" spans="1:8" s="29" customFormat="1">
      <c r="A322" s="91"/>
      <c r="B322" s="134" t="s">
        <v>466</v>
      </c>
      <c r="C322" s="105"/>
      <c r="D322" s="93"/>
      <c r="E322" s="93"/>
      <c r="F322" s="93"/>
      <c r="G322" s="94"/>
      <c r="H322" s="95"/>
    </row>
    <row r="323" spans="1:8" s="29" customFormat="1">
      <c r="A323" s="96"/>
      <c r="B323" s="133" t="s">
        <v>585</v>
      </c>
      <c r="C323" s="69"/>
      <c r="D323" s="67"/>
      <c r="E323" s="67">
        <f>5.55*2.2</f>
        <v>12.21</v>
      </c>
      <c r="F323" s="67"/>
      <c r="G323" s="68"/>
      <c r="H323" s="97"/>
    </row>
    <row r="324" spans="1:8" s="29" customFormat="1">
      <c r="A324" s="96"/>
      <c r="B324" s="135" t="s">
        <v>469</v>
      </c>
      <c r="C324" s="69"/>
      <c r="D324" s="67"/>
      <c r="E324" s="67"/>
      <c r="F324" s="67"/>
      <c r="G324" s="68"/>
      <c r="H324" s="97"/>
    </row>
    <row r="325" spans="1:8" s="29" customFormat="1">
      <c r="A325" s="96"/>
      <c r="B325" s="133" t="s">
        <v>586</v>
      </c>
      <c r="C325" s="69"/>
      <c r="D325" s="67"/>
      <c r="E325" s="67">
        <v>34.26</v>
      </c>
      <c r="F325" s="67"/>
      <c r="G325" s="68"/>
      <c r="H325" s="97"/>
    </row>
    <row r="326" spans="1:8" s="29" customFormat="1">
      <c r="A326" s="96"/>
      <c r="B326" s="135" t="s">
        <v>470</v>
      </c>
      <c r="C326" s="69"/>
      <c r="D326" s="67"/>
      <c r="E326" s="67"/>
      <c r="F326" s="67"/>
      <c r="G326" s="68"/>
      <c r="H326" s="97"/>
    </row>
    <row r="327" spans="1:8" s="29" customFormat="1">
      <c r="A327" s="96"/>
      <c r="B327" s="133" t="s">
        <v>587</v>
      </c>
      <c r="C327" s="69"/>
      <c r="D327" s="67"/>
      <c r="E327" s="67">
        <v>15.51</v>
      </c>
      <c r="F327" s="67"/>
      <c r="G327" s="68"/>
      <c r="H327" s="97"/>
    </row>
    <row r="328" spans="1:8" s="29" customFormat="1">
      <c r="A328" s="96"/>
      <c r="B328" s="135" t="s">
        <v>530</v>
      </c>
      <c r="C328" s="69"/>
      <c r="D328" s="67"/>
      <c r="E328" s="67"/>
      <c r="F328" s="67"/>
      <c r="G328" s="68"/>
      <c r="H328" s="97"/>
    </row>
    <row r="329" spans="1:8" s="29" customFormat="1">
      <c r="A329" s="96"/>
      <c r="B329" s="133" t="s">
        <v>588</v>
      </c>
      <c r="C329" s="69"/>
      <c r="D329" s="67"/>
      <c r="E329" s="67">
        <v>12.43</v>
      </c>
      <c r="F329" s="67"/>
      <c r="G329" s="68"/>
      <c r="H329" s="97"/>
    </row>
    <row r="330" spans="1:8" s="29" customFormat="1">
      <c r="A330" s="96"/>
      <c r="B330" s="135" t="s">
        <v>471</v>
      </c>
      <c r="C330" s="69"/>
      <c r="D330" s="67"/>
      <c r="E330" s="67"/>
      <c r="F330" s="67"/>
      <c r="G330" s="68"/>
      <c r="H330" s="97"/>
    </row>
    <row r="331" spans="1:8" s="29" customFormat="1">
      <c r="A331" s="96"/>
      <c r="B331" s="133" t="s">
        <v>588</v>
      </c>
      <c r="C331" s="69"/>
      <c r="D331" s="67"/>
      <c r="E331" s="67">
        <v>12.43</v>
      </c>
      <c r="F331" s="67"/>
      <c r="G331" s="68"/>
      <c r="H331" s="97"/>
    </row>
    <row r="332" spans="1:8" s="29" customFormat="1">
      <c r="A332" s="96"/>
      <c r="B332" s="135" t="s">
        <v>472</v>
      </c>
      <c r="C332" s="69"/>
      <c r="D332" s="67"/>
      <c r="E332" s="67"/>
      <c r="F332" s="67"/>
      <c r="G332" s="68"/>
      <c r="H332" s="97"/>
    </row>
    <row r="333" spans="1:8" s="29" customFormat="1">
      <c r="A333" s="96"/>
      <c r="B333" s="133" t="s">
        <v>589</v>
      </c>
      <c r="C333" s="69"/>
      <c r="D333" s="67"/>
      <c r="E333" s="67">
        <v>10.87</v>
      </c>
      <c r="F333" s="67"/>
      <c r="G333" s="68"/>
      <c r="H333" s="97"/>
    </row>
    <row r="334" spans="1:8" s="29" customFormat="1">
      <c r="A334" s="96"/>
      <c r="B334" s="135" t="s">
        <v>473</v>
      </c>
      <c r="C334" s="69"/>
      <c r="D334" s="67"/>
      <c r="E334" s="67"/>
      <c r="F334" s="67"/>
      <c r="G334" s="68"/>
      <c r="H334" s="97"/>
    </row>
    <row r="335" spans="1:8" s="29" customFormat="1">
      <c r="A335" s="96"/>
      <c r="B335" s="133" t="s">
        <v>590</v>
      </c>
      <c r="C335" s="69"/>
      <c r="D335" s="67"/>
      <c r="E335" s="67">
        <v>18.46</v>
      </c>
      <c r="F335" s="67"/>
      <c r="G335" s="68"/>
      <c r="H335" s="97"/>
    </row>
    <row r="336" spans="1:8" s="29" customFormat="1">
      <c r="A336" s="96"/>
      <c r="B336" s="135" t="s">
        <v>474</v>
      </c>
      <c r="C336" s="69"/>
      <c r="D336" s="67"/>
      <c r="E336" s="67"/>
      <c r="F336" s="67"/>
      <c r="G336" s="68"/>
      <c r="H336" s="97"/>
    </row>
    <row r="337" spans="1:8" s="29" customFormat="1">
      <c r="A337" s="96"/>
      <c r="B337" s="133" t="s">
        <v>591</v>
      </c>
      <c r="C337" s="69"/>
      <c r="D337" s="67"/>
      <c r="E337" s="67">
        <v>5.45</v>
      </c>
      <c r="F337" s="67"/>
      <c r="G337" s="68"/>
      <c r="H337" s="97"/>
    </row>
    <row r="338" spans="1:8" s="29" customFormat="1">
      <c r="A338" s="96"/>
      <c r="B338" s="135" t="s">
        <v>476</v>
      </c>
      <c r="C338" s="69"/>
      <c r="D338" s="67"/>
      <c r="E338" s="67"/>
      <c r="F338" s="67"/>
      <c r="G338" s="68"/>
      <c r="H338" s="97"/>
    </row>
    <row r="339" spans="1:8" s="29" customFormat="1">
      <c r="A339" s="96"/>
      <c r="B339" s="133" t="s">
        <v>592</v>
      </c>
      <c r="C339" s="69"/>
      <c r="D339" s="67"/>
      <c r="E339" s="67">
        <v>12.06</v>
      </c>
      <c r="F339" s="67"/>
      <c r="G339" s="68"/>
      <c r="H339" s="97"/>
    </row>
    <row r="340" spans="1:8" s="29" customFormat="1">
      <c r="A340" s="96"/>
      <c r="B340" s="133" t="s">
        <v>584</v>
      </c>
      <c r="C340" s="69"/>
      <c r="D340" s="67"/>
      <c r="E340" s="67"/>
      <c r="F340" s="67"/>
      <c r="G340" s="68"/>
      <c r="H340" s="97"/>
    </row>
    <row r="341" spans="1:8" s="29" customFormat="1">
      <c r="A341" s="96"/>
      <c r="B341" s="133" t="s">
        <v>596</v>
      </c>
      <c r="C341" s="69"/>
      <c r="D341" s="67"/>
      <c r="E341" s="67">
        <v>31.16</v>
      </c>
      <c r="F341" s="67"/>
      <c r="G341" s="68"/>
      <c r="H341" s="97"/>
    </row>
    <row r="342" spans="1:8" s="29" customFormat="1">
      <c r="A342" s="98"/>
      <c r="B342" s="99" t="s">
        <v>463</v>
      </c>
      <c r="C342" s="106"/>
      <c r="D342" s="101"/>
      <c r="E342" s="107">
        <f>SUM(E323:E341)</f>
        <v>164.84</v>
      </c>
      <c r="F342" s="101"/>
      <c r="G342" s="103"/>
      <c r="H342" s="104"/>
    </row>
    <row r="343" spans="1:8" s="29" customFormat="1" ht="39" customHeight="1">
      <c r="A343" s="33" t="s">
        <v>88</v>
      </c>
      <c r="B343" s="41" t="s">
        <v>454</v>
      </c>
      <c r="C343" s="33" t="s">
        <v>453</v>
      </c>
      <c r="D343" s="33" t="s">
        <v>109</v>
      </c>
      <c r="E343" s="32">
        <f>E346</f>
        <v>12.21</v>
      </c>
      <c r="F343" s="32"/>
      <c r="G343" s="32">
        <f>E343*F343</f>
        <v>0</v>
      </c>
      <c r="H343" s="17"/>
    </row>
    <row r="344" spans="1:8" s="29" customFormat="1" ht="15.75" customHeight="1">
      <c r="A344" s="91"/>
      <c r="B344" s="134" t="s">
        <v>466</v>
      </c>
      <c r="C344" s="105"/>
      <c r="D344" s="93"/>
      <c r="E344" s="93"/>
      <c r="F344" s="93"/>
      <c r="G344" s="94"/>
      <c r="H344" s="95"/>
    </row>
    <row r="345" spans="1:8" s="29" customFormat="1" ht="15.75" customHeight="1">
      <c r="A345" s="96"/>
      <c r="B345" s="133" t="s">
        <v>585</v>
      </c>
      <c r="C345" s="69"/>
      <c r="D345" s="67"/>
      <c r="E345" s="67">
        <f>5.55*2.2</f>
        <v>12.21</v>
      </c>
      <c r="F345" s="67"/>
      <c r="G345" s="68"/>
      <c r="H345" s="97"/>
    </row>
    <row r="346" spans="1:8" s="29" customFormat="1" ht="15.75" customHeight="1">
      <c r="A346" s="98"/>
      <c r="B346" s="99" t="s">
        <v>463</v>
      </c>
      <c r="C346" s="106"/>
      <c r="D346" s="101"/>
      <c r="E346" s="107">
        <f>SUM(E345)</f>
        <v>12.21</v>
      </c>
      <c r="F346" s="101"/>
      <c r="G346" s="103"/>
      <c r="H346" s="104"/>
    </row>
    <row r="347" spans="1:8" s="29" customFormat="1" ht="25.5">
      <c r="A347" s="33" t="s">
        <v>89</v>
      </c>
      <c r="B347" s="41" t="s">
        <v>216</v>
      </c>
      <c r="C347" s="33" t="s">
        <v>215</v>
      </c>
      <c r="D347" s="33" t="s">
        <v>109</v>
      </c>
      <c r="E347" s="32">
        <f>E360</f>
        <v>204.6</v>
      </c>
      <c r="F347" s="32"/>
      <c r="G347" s="32">
        <f>E347*F347</f>
        <v>0</v>
      </c>
      <c r="H347" s="17"/>
    </row>
    <row r="348" spans="1:8" s="29" customFormat="1">
      <c r="A348" s="108"/>
      <c r="B348" s="134" t="s">
        <v>597</v>
      </c>
      <c r="C348" s="105"/>
      <c r="D348" s="93"/>
      <c r="E348" s="93"/>
      <c r="F348" s="93"/>
      <c r="G348" s="93"/>
      <c r="H348" s="95"/>
    </row>
    <row r="349" spans="1:8" s="29" customFormat="1">
      <c r="A349" s="111"/>
      <c r="B349" s="133" t="s">
        <v>607</v>
      </c>
      <c r="C349" s="69"/>
      <c r="D349" s="67"/>
      <c r="E349" s="67">
        <f>(1.2+2.3)*2*3</f>
        <v>21</v>
      </c>
      <c r="F349" s="67"/>
      <c r="G349" s="67"/>
      <c r="H349" s="97"/>
    </row>
    <row r="350" spans="1:8" s="29" customFormat="1">
      <c r="A350" s="111"/>
      <c r="B350" s="135" t="s">
        <v>470</v>
      </c>
      <c r="C350" s="69"/>
      <c r="D350" s="67"/>
      <c r="E350" s="67"/>
      <c r="F350" s="67"/>
      <c r="G350" s="67"/>
      <c r="H350" s="97"/>
    </row>
    <row r="351" spans="1:8" s="29" customFormat="1">
      <c r="A351" s="111"/>
      <c r="B351" s="133" t="s">
        <v>587</v>
      </c>
      <c r="C351" s="69"/>
      <c r="D351" s="67"/>
      <c r="E351" s="67">
        <f>(2.9+4.9)*2*3</f>
        <v>46.800000000000004</v>
      </c>
      <c r="F351" s="67"/>
      <c r="G351" s="67"/>
      <c r="H351" s="97"/>
    </row>
    <row r="352" spans="1:8" s="29" customFormat="1">
      <c r="A352" s="111"/>
      <c r="B352" s="133" t="s">
        <v>479</v>
      </c>
      <c r="C352" s="69"/>
      <c r="D352" s="67"/>
      <c r="E352" s="67"/>
      <c r="F352" s="67"/>
      <c r="G352" s="67"/>
      <c r="H352" s="97"/>
    </row>
    <row r="353" spans="1:8" s="29" customFormat="1">
      <c r="A353" s="111"/>
      <c r="B353" s="133" t="s">
        <v>594</v>
      </c>
      <c r="C353" s="69"/>
      <c r="D353" s="67"/>
      <c r="E353" s="67">
        <f>(3.55+2.8)*2*3</f>
        <v>38.099999999999994</v>
      </c>
      <c r="F353" s="67"/>
      <c r="G353" s="67"/>
      <c r="H353" s="97"/>
    </row>
    <row r="354" spans="1:8" s="29" customFormat="1">
      <c r="A354" s="111"/>
      <c r="B354" s="133" t="s">
        <v>485</v>
      </c>
      <c r="C354" s="69"/>
      <c r="D354" s="67"/>
      <c r="E354" s="67"/>
      <c r="F354" s="67"/>
      <c r="G354" s="67"/>
      <c r="H354" s="97"/>
    </row>
    <row r="355" spans="1:8" s="29" customFormat="1">
      <c r="A355" s="111"/>
      <c r="B355" s="133" t="s">
        <v>594</v>
      </c>
      <c r="C355" s="69"/>
      <c r="D355" s="67"/>
      <c r="E355" s="67">
        <f>(3.55+2.8)*2*3</f>
        <v>38.099999999999994</v>
      </c>
      <c r="F355" s="67"/>
      <c r="G355" s="67"/>
      <c r="H355" s="97"/>
    </row>
    <row r="356" spans="1:8" s="29" customFormat="1">
      <c r="A356" s="111"/>
      <c r="B356" s="133" t="s">
        <v>486</v>
      </c>
      <c r="C356" s="69"/>
      <c r="D356" s="67"/>
      <c r="E356" s="67"/>
      <c r="F356" s="67"/>
      <c r="G356" s="67"/>
      <c r="H356" s="97"/>
    </row>
    <row r="357" spans="1:8" s="29" customFormat="1">
      <c r="A357" s="111"/>
      <c r="B357" s="133" t="s">
        <v>595</v>
      </c>
      <c r="C357" s="69"/>
      <c r="D357" s="67"/>
      <c r="E357" s="67">
        <f>(1.7+2.15)*2*3</f>
        <v>23.099999999999998</v>
      </c>
      <c r="F357" s="67"/>
      <c r="G357" s="67"/>
      <c r="H357" s="97"/>
    </row>
    <row r="358" spans="1:8" s="29" customFormat="1">
      <c r="A358" s="111"/>
      <c r="B358" s="135" t="s">
        <v>478</v>
      </c>
      <c r="C358" s="69"/>
      <c r="D358" s="67"/>
      <c r="E358" s="67"/>
      <c r="F358" s="67"/>
      <c r="G358" s="67"/>
      <c r="H358" s="97"/>
    </row>
    <row r="359" spans="1:8" s="29" customFormat="1">
      <c r="A359" s="111"/>
      <c r="B359" s="133" t="s">
        <v>593</v>
      </c>
      <c r="C359" s="69"/>
      <c r="D359" s="67"/>
      <c r="E359" s="67">
        <f>(2.65+3.6)*2*3</f>
        <v>37.5</v>
      </c>
      <c r="F359" s="67"/>
      <c r="G359" s="67"/>
      <c r="H359" s="97"/>
    </row>
    <row r="360" spans="1:8" s="29" customFormat="1">
      <c r="A360" s="110"/>
      <c r="B360" s="99" t="s">
        <v>463</v>
      </c>
      <c r="C360" s="106"/>
      <c r="D360" s="101"/>
      <c r="E360" s="107">
        <f>SUM(E349:E359)</f>
        <v>204.6</v>
      </c>
      <c r="F360" s="101"/>
      <c r="G360" s="101"/>
      <c r="H360" s="104"/>
    </row>
    <row r="361" spans="1:8" s="29" customFormat="1">
      <c r="A361" s="33" t="s">
        <v>45</v>
      </c>
      <c r="B361" s="53" t="s">
        <v>217</v>
      </c>
      <c r="C361" s="33" t="s">
        <v>609</v>
      </c>
      <c r="D361" s="33" t="s">
        <v>109</v>
      </c>
      <c r="E361" s="32">
        <f>E362</f>
        <v>204.6</v>
      </c>
      <c r="F361" s="32"/>
      <c r="G361" s="32">
        <f>E361*F361</f>
        <v>0</v>
      </c>
      <c r="H361" s="17"/>
    </row>
    <row r="362" spans="1:8" s="29" customFormat="1">
      <c r="A362" s="112"/>
      <c r="B362" s="145" t="s">
        <v>608</v>
      </c>
      <c r="C362" s="113"/>
      <c r="D362" s="113"/>
      <c r="E362" s="114">
        <f>E347</f>
        <v>204.6</v>
      </c>
      <c r="F362" s="114"/>
      <c r="G362" s="114"/>
      <c r="H362" s="116"/>
    </row>
    <row r="363" spans="1:8">
      <c r="A363" s="190" t="s">
        <v>111</v>
      </c>
      <c r="B363" s="190"/>
      <c r="C363" s="23"/>
      <c r="D363" s="23"/>
      <c r="E363" s="22"/>
      <c r="F363" s="22"/>
      <c r="G363" s="22">
        <f>SUM(G321:G361)</f>
        <v>0</v>
      </c>
      <c r="H363" s="17"/>
    </row>
    <row r="364" spans="1:8" s="29" customFormat="1">
      <c r="A364" s="35" t="s">
        <v>90</v>
      </c>
      <c r="B364" s="36" t="s">
        <v>382</v>
      </c>
      <c r="C364" s="37"/>
      <c r="D364" s="38"/>
      <c r="E364" s="39"/>
      <c r="F364" s="39"/>
      <c r="G364" s="40"/>
      <c r="H364" s="17"/>
    </row>
    <row r="365" spans="1:8" s="29" customFormat="1" ht="38.25">
      <c r="A365" s="33" t="s">
        <v>91</v>
      </c>
      <c r="B365" s="34" t="s">
        <v>224</v>
      </c>
      <c r="C365" s="33" t="s">
        <v>230</v>
      </c>
      <c r="D365" s="33" t="s">
        <v>65</v>
      </c>
      <c r="E365" s="39">
        <f>E370</f>
        <v>4</v>
      </c>
      <c r="F365" s="39"/>
      <c r="G365" s="32">
        <f>E365*F365</f>
        <v>0</v>
      </c>
      <c r="H365" s="17"/>
    </row>
    <row r="366" spans="1:8" s="52" customFormat="1" ht="15.75" customHeight="1">
      <c r="A366" s="108"/>
      <c r="B366" s="146" t="s">
        <v>479</v>
      </c>
      <c r="C366" s="105"/>
      <c r="D366" s="93"/>
      <c r="E366" s="93"/>
      <c r="F366" s="93"/>
      <c r="G366" s="93"/>
      <c r="H366" s="95"/>
    </row>
    <row r="367" spans="1:8" s="52" customFormat="1" ht="15.75" customHeight="1">
      <c r="A367" s="111"/>
      <c r="B367" s="133" t="s">
        <v>610</v>
      </c>
      <c r="C367" s="69"/>
      <c r="D367" s="67"/>
      <c r="E367" s="67">
        <v>2</v>
      </c>
      <c r="F367" s="67"/>
      <c r="G367" s="67"/>
      <c r="H367" s="97"/>
    </row>
    <row r="368" spans="1:8" s="52" customFormat="1" ht="15.75" customHeight="1">
      <c r="A368" s="111"/>
      <c r="B368" s="133" t="s">
        <v>485</v>
      </c>
      <c r="C368" s="69"/>
      <c r="D368" s="67"/>
      <c r="E368" s="67"/>
      <c r="F368" s="67"/>
      <c r="G368" s="67"/>
      <c r="H368" s="97"/>
    </row>
    <row r="369" spans="1:8" s="52" customFormat="1" ht="15.75" customHeight="1">
      <c r="A369" s="111"/>
      <c r="B369" s="133" t="s">
        <v>610</v>
      </c>
      <c r="C369" s="69"/>
      <c r="D369" s="67"/>
      <c r="E369" s="67">
        <v>2</v>
      </c>
      <c r="F369" s="67"/>
      <c r="G369" s="67"/>
      <c r="H369" s="97"/>
    </row>
    <row r="370" spans="1:8" s="52" customFormat="1" ht="15.75" customHeight="1">
      <c r="A370" s="110"/>
      <c r="B370" s="99" t="s">
        <v>463</v>
      </c>
      <c r="C370" s="106"/>
      <c r="D370" s="101"/>
      <c r="E370" s="107">
        <f>SUM(E367:E369)</f>
        <v>4</v>
      </c>
      <c r="F370" s="101"/>
      <c r="G370" s="101"/>
      <c r="H370" s="104"/>
    </row>
    <row r="371" spans="1:8" s="29" customFormat="1" ht="38.25">
      <c r="A371" s="33" t="s">
        <v>92</v>
      </c>
      <c r="B371" s="34" t="s">
        <v>225</v>
      </c>
      <c r="C371" s="33" t="s">
        <v>231</v>
      </c>
      <c r="D371" s="33" t="s">
        <v>65</v>
      </c>
      <c r="E371" s="39">
        <f>E390</f>
        <v>9</v>
      </c>
      <c r="F371" s="39"/>
      <c r="G371" s="32">
        <f>E371*F371</f>
        <v>0</v>
      </c>
      <c r="H371" s="17"/>
    </row>
    <row r="372" spans="1:8" s="29" customFormat="1">
      <c r="A372" s="91"/>
      <c r="B372" s="134" t="s">
        <v>470</v>
      </c>
      <c r="C372" s="105"/>
      <c r="D372" s="93"/>
      <c r="E372" s="93"/>
      <c r="F372" s="93"/>
      <c r="G372" s="94"/>
      <c r="H372" s="95"/>
    </row>
    <row r="373" spans="1:8" s="29" customFormat="1">
      <c r="A373" s="96"/>
      <c r="B373" s="133" t="s">
        <v>611</v>
      </c>
      <c r="C373" s="69"/>
      <c r="D373" s="67"/>
      <c r="E373" s="67">
        <v>1</v>
      </c>
      <c r="F373" s="67"/>
      <c r="G373" s="68"/>
      <c r="H373" s="97"/>
    </row>
    <row r="374" spans="1:8" s="29" customFormat="1">
      <c r="A374" s="96"/>
      <c r="B374" s="135" t="s">
        <v>530</v>
      </c>
      <c r="C374" s="69"/>
      <c r="D374" s="67"/>
      <c r="E374" s="67"/>
      <c r="F374" s="67"/>
      <c r="G374" s="68"/>
      <c r="H374" s="97"/>
    </row>
    <row r="375" spans="1:8" s="29" customFormat="1">
      <c r="A375" s="96"/>
      <c r="B375" s="133" t="s">
        <v>611</v>
      </c>
      <c r="C375" s="69"/>
      <c r="D375" s="67"/>
      <c r="E375" s="67">
        <v>1</v>
      </c>
      <c r="F375" s="67"/>
      <c r="G375" s="68"/>
      <c r="H375" s="97"/>
    </row>
    <row r="376" spans="1:8" s="29" customFormat="1">
      <c r="A376" s="96"/>
      <c r="B376" s="135" t="s">
        <v>471</v>
      </c>
      <c r="C376" s="69"/>
      <c r="D376" s="67"/>
      <c r="E376" s="67"/>
      <c r="F376" s="67"/>
      <c r="G376" s="68"/>
      <c r="H376" s="97"/>
    </row>
    <row r="377" spans="1:8" s="29" customFormat="1">
      <c r="A377" s="96"/>
      <c r="B377" s="133" t="s">
        <v>611</v>
      </c>
      <c r="C377" s="69"/>
      <c r="D377" s="67"/>
      <c r="E377" s="67">
        <v>1</v>
      </c>
      <c r="F377" s="67"/>
      <c r="G377" s="68"/>
      <c r="H377" s="97"/>
    </row>
    <row r="378" spans="1:8" s="29" customFormat="1">
      <c r="A378" s="96"/>
      <c r="B378" s="135" t="s">
        <v>612</v>
      </c>
      <c r="C378" s="69"/>
      <c r="D378" s="67"/>
      <c r="E378" s="67"/>
      <c r="F378" s="67"/>
      <c r="G378" s="68"/>
      <c r="H378" s="97"/>
    </row>
    <row r="379" spans="1:8" s="29" customFormat="1">
      <c r="A379" s="96"/>
      <c r="B379" s="133" t="s">
        <v>611</v>
      </c>
      <c r="C379" s="69"/>
      <c r="D379" s="67"/>
      <c r="E379" s="67">
        <v>1</v>
      </c>
      <c r="F379" s="67"/>
      <c r="G379" s="68"/>
      <c r="H379" s="97"/>
    </row>
    <row r="380" spans="1:8" s="29" customFormat="1">
      <c r="A380" s="96"/>
      <c r="B380" s="135" t="s">
        <v>597</v>
      </c>
      <c r="C380" s="69"/>
      <c r="D380" s="67"/>
      <c r="E380" s="67"/>
      <c r="F380" s="67"/>
      <c r="G380" s="68"/>
      <c r="H380" s="97"/>
    </row>
    <row r="381" spans="1:8" s="29" customFormat="1">
      <c r="A381" s="96"/>
      <c r="B381" s="133" t="s">
        <v>611</v>
      </c>
      <c r="C381" s="69"/>
      <c r="D381" s="67"/>
      <c r="E381" s="67">
        <v>1</v>
      </c>
      <c r="F381" s="67"/>
      <c r="G381" s="68"/>
      <c r="H381" s="97"/>
    </row>
    <row r="382" spans="1:8" s="29" customFormat="1">
      <c r="A382" s="96"/>
      <c r="B382" s="135" t="s">
        <v>478</v>
      </c>
      <c r="C382" s="69"/>
      <c r="D382" s="67"/>
      <c r="E382" s="67"/>
      <c r="F382" s="67"/>
      <c r="G382" s="68"/>
      <c r="H382" s="97"/>
    </row>
    <row r="383" spans="1:8">
      <c r="A383" s="96"/>
      <c r="B383" s="133" t="s">
        <v>611</v>
      </c>
      <c r="C383" s="69"/>
      <c r="D383" s="67"/>
      <c r="E383" s="67">
        <v>1</v>
      </c>
      <c r="F383" s="67"/>
      <c r="G383" s="68"/>
      <c r="H383" s="97"/>
    </row>
    <row r="384" spans="1:8" s="29" customFormat="1">
      <c r="A384" s="96"/>
      <c r="B384" s="133" t="s">
        <v>479</v>
      </c>
      <c r="C384" s="69"/>
      <c r="D384" s="67"/>
      <c r="E384" s="67"/>
      <c r="F384" s="67"/>
      <c r="G384" s="68"/>
      <c r="H384" s="97"/>
    </row>
    <row r="385" spans="1:8" s="29" customFormat="1">
      <c r="A385" s="96"/>
      <c r="B385" s="133" t="s">
        <v>611</v>
      </c>
      <c r="C385" s="69"/>
      <c r="D385" s="67"/>
      <c r="E385" s="67">
        <v>1</v>
      </c>
      <c r="F385" s="67"/>
      <c r="G385" s="68"/>
      <c r="H385" s="97"/>
    </row>
    <row r="386" spans="1:8" s="29" customFormat="1">
      <c r="A386" s="96"/>
      <c r="B386" s="133" t="s">
        <v>485</v>
      </c>
      <c r="C386" s="69"/>
      <c r="D386" s="67"/>
      <c r="E386" s="67"/>
      <c r="F386" s="67"/>
      <c r="G386" s="68"/>
      <c r="H386" s="97"/>
    </row>
    <row r="387" spans="1:8" s="29" customFormat="1">
      <c r="A387" s="96"/>
      <c r="B387" s="133" t="s">
        <v>611</v>
      </c>
      <c r="C387" s="69"/>
      <c r="D387" s="67"/>
      <c r="E387" s="67">
        <v>1</v>
      </c>
      <c r="F387" s="67"/>
      <c r="G387" s="68"/>
      <c r="H387" s="97"/>
    </row>
    <row r="388" spans="1:8" s="29" customFormat="1">
      <c r="A388" s="96"/>
      <c r="B388" s="133" t="s">
        <v>486</v>
      </c>
      <c r="C388" s="69"/>
      <c r="D388" s="67"/>
      <c r="E388" s="67"/>
      <c r="F388" s="67"/>
      <c r="G388" s="68"/>
      <c r="H388" s="97"/>
    </row>
    <row r="389" spans="1:8" s="29" customFormat="1">
      <c r="A389" s="96"/>
      <c r="B389" s="133" t="s">
        <v>611</v>
      </c>
      <c r="C389" s="69"/>
      <c r="D389" s="67"/>
      <c r="E389" s="67">
        <v>1</v>
      </c>
      <c r="F389" s="67"/>
      <c r="G389" s="68"/>
      <c r="H389" s="97"/>
    </row>
    <row r="390" spans="1:8" s="29" customFormat="1">
      <c r="A390" s="96"/>
      <c r="B390" s="90" t="s">
        <v>463</v>
      </c>
      <c r="C390" s="69"/>
      <c r="D390" s="67"/>
      <c r="E390" s="120">
        <f>SUM(E372:E389)</f>
        <v>9</v>
      </c>
      <c r="F390" s="67"/>
      <c r="G390" s="68"/>
      <c r="H390" s="97"/>
    </row>
    <row r="391" spans="1:8" s="29" customFormat="1" ht="38.25">
      <c r="A391" s="111" t="s">
        <v>93</v>
      </c>
      <c r="B391" s="121" t="s">
        <v>613</v>
      </c>
      <c r="C391" s="69" t="s">
        <v>615</v>
      </c>
      <c r="D391" s="69" t="s">
        <v>65</v>
      </c>
      <c r="E391" s="122">
        <f>E396</f>
        <v>2</v>
      </c>
      <c r="F391" s="122"/>
      <c r="G391" s="67">
        <f>E391*F391</f>
        <v>0</v>
      </c>
      <c r="H391" s="97"/>
    </row>
    <row r="392" spans="1:8" s="29" customFormat="1">
      <c r="A392" s="96"/>
      <c r="B392" s="135" t="s">
        <v>469</v>
      </c>
      <c r="C392" s="69"/>
      <c r="D392" s="67"/>
      <c r="E392" s="67"/>
      <c r="F392" s="67"/>
      <c r="G392" s="68"/>
      <c r="H392" s="97"/>
    </row>
    <row r="393" spans="1:8" s="29" customFormat="1">
      <c r="A393" s="96"/>
      <c r="B393" s="133" t="s">
        <v>611</v>
      </c>
      <c r="C393" s="69"/>
      <c r="D393" s="67"/>
      <c r="E393" s="67">
        <v>1</v>
      </c>
      <c r="F393" s="67"/>
      <c r="G393" s="68"/>
      <c r="H393" s="97"/>
    </row>
    <row r="394" spans="1:8" s="29" customFormat="1">
      <c r="A394" s="96"/>
      <c r="B394" s="133" t="s">
        <v>584</v>
      </c>
      <c r="C394" s="69"/>
      <c r="D394" s="67"/>
      <c r="E394" s="67"/>
      <c r="F394" s="67"/>
      <c r="G394" s="68"/>
      <c r="H394" s="97"/>
    </row>
    <row r="395" spans="1:8" s="29" customFormat="1">
      <c r="A395" s="96"/>
      <c r="B395" s="133" t="s">
        <v>611</v>
      </c>
      <c r="C395" s="69"/>
      <c r="D395" s="67"/>
      <c r="E395" s="67">
        <v>1</v>
      </c>
      <c r="F395" s="67"/>
      <c r="G395" s="68"/>
      <c r="H395" s="97"/>
    </row>
    <row r="396" spans="1:8" s="29" customFormat="1">
      <c r="A396" s="96"/>
      <c r="B396" s="90" t="s">
        <v>463</v>
      </c>
      <c r="C396" s="69"/>
      <c r="D396" s="67"/>
      <c r="E396" s="120">
        <f>SUM(E392:E395)</f>
        <v>2</v>
      </c>
      <c r="F396" s="67"/>
      <c r="G396" s="68"/>
      <c r="H396" s="97"/>
    </row>
    <row r="397" spans="1:8" s="29" customFormat="1" ht="38.25">
      <c r="A397" s="111" t="s">
        <v>181</v>
      </c>
      <c r="B397" s="121" t="s">
        <v>614</v>
      </c>
      <c r="C397" s="69" t="s">
        <v>231</v>
      </c>
      <c r="D397" s="69" t="s">
        <v>65</v>
      </c>
      <c r="E397" s="122">
        <f>E399</f>
        <v>2</v>
      </c>
      <c r="F397" s="122"/>
      <c r="G397" s="67">
        <f>E397*F397</f>
        <v>0</v>
      </c>
      <c r="H397" s="97"/>
    </row>
    <row r="398" spans="1:8" s="29" customFormat="1">
      <c r="A398" s="96"/>
      <c r="B398" s="135" t="s">
        <v>473</v>
      </c>
      <c r="C398" s="69"/>
      <c r="D398" s="67"/>
      <c r="E398" s="67"/>
      <c r="F398" s="67"/>
      <c r="G398" s="68"/>
      <c r="H398" s="97"/>
    </row>
    <row r="399" spans="1:8" s="29" customFormat="1">
      <c r="A399" s="96"/>
      <c r="B399" s="133" t="s">
        <v>610</v>
      </c>
      <c r="C399" s="69"/>
      <c r="D399" s="67"/>
      <c r="E399" s="67">
        <v>2</v>
      </c>
      <c r="F399" s="67"/>
      <c r="G399" s="68"/>
      <c r="H399" s="97"/>
    </row>
    <row r="400" spans="1:8" s="29" customFormat="1" ht="38.25">
      <c r="A400" s="111" t="s">
        <v>337</v>
      </c>
      <c r="B400" s="121" t="s">
        <v>616</v>
      </c>
      <c r="C400" s="69" t="s">
        <v>232</v>
      </c>
      <c r="D400" s="69" t="s">
        <v>65</v>
      </c>
      <c r="E400" s="122">
        <f>E402</f>
        <v>1</v>
      </c>
      <c r="F400" s="122"/>
      <c r="G400" s="67">
        <f>E400*F400</f>
        <v>0</v>
      </c>
      <c r="H400" s="97"/>
    </row>
    <row r="401" spans="1:8" s="29" customFormat="1">
      <c r="A401" s="96"/>
      <c r="B401" s="135" t="s">
        <v>473</v>
      </c>
      <c r="C401" s="69"/>
      <c r="D401" s="67"/>
      <c r="E401" s="67"/>
      <c r="F401" s="67"/>
      <c r="G401" s="68"/>
      <c r="H401" s="97"/>
    </row>
    <row r="402" spans="1:8" s="29" customFormat="1">
      <c r="A402" s="96"/>
      <c r="B402" s="133" t="s">
        <v>611</v>
      </c>
      <c r="C402" s="69"/>
      <c r="D402" s="67"/>
      <c r="E402" s="67">
        <v>1</v>
      </c>
      <c r="F402" s="67"/>
      <c r="G402" s="68"/>
      <c r="H402" s="97"/>
    </row>
    <row r="403" spans="1:8" s="29" customFormat="1" ht="38.25">
      <c r="A403" s="111" t="s">
        <v>338</v>
      </c>
      <c r="B403" s="121" t="s">
        <v>226</v>
      </c>
      <c r="C403" s="69" t="s">
        <v>233</v>
      </c>
      <c r="D403" s="69" t="s">
        <v>109</v>
      </c>
      <c r="E403" s="122">
        <f>E410</f>
        <v>2.16</v>
      </c>
      <c r="F403" s="122"/>
      <c r="G403" s="67">
        <f>E403*F403</f>
        <v>0</v>
      </c>
      <c r="H403" s="97"/>
    </row>
    <row r="404" spans="1:8" s="29" customFormat="1">
      <c r="A404" s="96"/>
      <c r="B404" s="135" t="s">
        <v>486</v>
      </c>
      <c r="C404" s="69"/>
      <c r="D404" s="67"/>
      <c r="E404" s="67"/>
      <c r="F404" s="67"/>
      <c r="G404" s="68"/>
      <c r="H404" s="97"/>
    </row>
    <row r="405" spans="1:8" s="29" customFormat="1">
      <c r="A405" s="96"/>
      <c r="B405" s="133" t="s">
        <v>617</v>
      </c>
      <c r="C405" s="69"/>
      <c r="D405" s="67"/>
      <c r="E405" s="67">
        <f>1.2*0.6</f>
        <v>0.72</v>
      </c>
      <c r="F405" s="67"/>
      <c r="G405" s="68"/>
      <c r="H405" s="97"/>
    </row>
    <row r="406" spans="1:8" s="29" customFormat="1">
      <c r="A406" s="96"/>
      <c r="B406" s="135" t="s">
        <v>474</v>
      </c>
      <c r="C406" s="69"/>
      <c r="D406" s="67"/>
      <c r="E406" s="67"/>
      <c r="F406" s="67"/>
      <c r="G406" s="68"/>
      <c r="H406" s="97"/>
    </row>
    <row r="407" spans="1:8" s="29" customFormat="1">
      <c r="A407" s="96"/>
      <c r="B407" s="133" t="s">
        <v>617</v>
      </c>
      <c r="C407" s="69"/>
      <c r="D407" s="67"/>
      <c r="E407" s="67">
        <f>1.2*0.6</f>
        <v>0.72</v>
      </c>
      <c r="F407" s="67"/>
      <c r="G407" s="68"/>
      <c r="H407" s="97"/>
    </row>
    <row r="408" spans="1:8" s="29" customFormat="1">
      <c r="A408" s="96"/>
      <c r="B408" s="135" t="s">
        <v>476</v>
      </c>
      <c r="C408" s="69"/>
      <c r="D408" s="67"/>
      <c r="E408" s="67"/>
      <c r="F408" s="67"/>
      <c r="G408" s="68"/>
      <c r="H408" s="97"/>
    </row>
    <row r="409" spans="1:8" s="29" customFormat="1">
      <c r="A409" s="96"/>
      <c r="B409" s="133" t="s">
        <v>617</v>
      </c>
      <c r="C409" s="69"/>
      <c r="D409" s="67"/>
      <c r="E409" s="67">
        <f>1.2*0.6</f>
        <v>0.72</v>
      </c>
      <c r="F409" s="67"/>
      <c r="G409" s="68"/>
      <c r="H409" s="97"/>
    </row>
    <row r="410" spans="1:8" s="29" customFormat="1">
      <c r="A410" s="98"/>
      <c r="B410" s="99" t="s">
        <v>463</v>
      </c>
      <c r="C410" s="106"/>
      <c r="D410" s="101"/>
      <c r="E410" s="107">
        <f>SUM(E405:E409)</f>
        <v>2.16</v>
      </c>
      <c r="F410" s="101"/>
      <c r="G410" s="103"/>
      <c r="H410" s="104"/>
    </row>
    <row r="411" spans="1:8" s="29" customFormat="1" ht="38.25">
      <c r="A411" s="33" t="s">
        <v>339</v>
      </c>
      <c r="B411" s="34" t="s">
        <v>618</v>
      </c>
      <c r="C411" s="33" t="s">
        <v>233</v>
      </c>
      <c r="D411" s="33" t="s">
        <v>109</v>
      </c>
      <c r="E411" s="39">
        <f>E422</f>
        <v>14.04</v>
      </c>
      <c r="F411" s="39"/>
      <c r="G411" s="32">
        <f>E411*F411</f>
        <v>0</v>
      </c>
      <c r="H411" s="17"/>
    </row>
    <row r="412" spans="1:8" s="29" customFormat="1">
      <c r="A412" s="91"/>
      <c r="B412" s="134" t="s">
        <v>530</v>
      </c>
      <c r="C412" s="105"/>
      <c r="D412" s="93"/>
      <c r="E412" s="93"/>
      <c r="F412" s="93"/>
      <c r="G412" s="94"/>
      <c r="H412" s="95"/>
    </row>
    <row r="413" spans="1:8" s="29" customFormat="1">
      <c r="A413" s="96"/>
      <c r="B413" s="133" t="s">
        <v>619</v>
      </c>
      <c r="C413" s="69"/>
      <c r="D413" s="67"/>
      <c r="E413" s="67">
        <f>1.2*1.3</f>
        <v>1.56</v>
      </c>
      <c r="F413" s="67"/>
      <c r="G413" s="68"/>
      <c r="H413" s="97"/>
    </row>
    <row r="414" spans="1:8" s="29" customFormat="1">
      <c r="A414" s="96"/>
      <c r="B414" s="135" t="s">
        <v>471</v>
      </c>
      <c r="C414" s="69"/>
      <c r="D414" s="67"/>
      <c r="E414" s="67"/>
      <c r="F414" s="67"/>
      <c r="G414" s="68"/>
      <c r="H414" s="97"/>
    </row>
    <row r="415" spans="1:8" s="29" customFormat="1">
      <c r="A415" s="96"/>
      <c r="B415" s="133" t="s">
        <v>619</v>
      </c>
      <c r="C415" s="69"/>
      <c r="D415" s="67"/>
      <c r="E415" s="67">
        <f>1.2*1.3</f>
        <v>1.56</v>
      </c>
      <c r="F415" s="67"/>
      <c r="G415" s="68"/>
      <c r="H415" s="97"/>
    </row>
    <row r="416" spans="1:8" s="29" customFormat="1">
      <c r="A416" s="96"/>
      <c r="B416" s="135" t="s">
        <v>612</v>
      </c>
      <c r="C416" s="69"/>
      <c r="D416" s="67"/>
      <c r="E416" s="67"/>
      <c r="F416" s="67"/>
      <c r="G416" s="68"/>
      <c r="H416" s="97"/>
    </row>
    <row r="417" spans="1:8" s="29" customFormat="1">
      <c r="A417" s="96"/>
      <c r="B417" s="133" t="s">
        <v>620</v>
      </c>
      <c r="C417" s="69"/>
      <c r="D417" s="67"/>
      <c r="E417" s="67">
        <f>2*1.2*1.3</f>
        <v>3.12</v>
      </c>
      <c r="F417" s="67"/>
      <c r="G417" s="68"/>
      <c r="H417" s="97"/>
    </row>
    <row r="418" spans="1:8" s="29" customFormat="1">
      <c r="A418" s="96"/>
      <c r="B418" s="135" t="s">
        <v>621</v>
      </c>
      <c r="C418" s="69"/>
      <c r="D418" s="67"/>
      <c r="E418" s="67"/>
      <c r="F418" s="67"/>
      <c r="G418" s="68"/>
      <c r="H418" s="97"/>
    </row>
    <row r="419" spans="1:8" s="29" customFormat="1">
      <c r="A419" s="96"/>
      <c r="B419" s="133" t="s">
        <v>620</v>
      </c>
      <c r="C419" s="69"/>
      <c r="D419" s="67"/>
      <c r="E419" s="67">
        <f>2*1.2*1.3</f>
        <v>3.12</v>
      </c>
      <c r="F419" s="67"/>
      <c r="G419" s="68"/>
      <c r="H419" s="97"/>
    </row>
    <row r="420" spans="1:8" s="29" customFormat="1">
      <c r="A420" s="96"/>
      <c r="B420" s="135" t="s">
        <v>473</v>
      </c>
      <c r="C420" s="69"/>
      <c r="D420" s="67"/>
      <c r="E420" s="67"/>
      <c r="F420" s="67"/>
      <c r="G420" s="68"/>
      <c r="H420" s="97"/>
    </row>
    <row r="421" spans="1:8" s="29" customFormat="1">
      <c r="A421" s="96"/>
      <c r="B421" s="133" t="s">
        <v>625</v>
      </c>
      <c r="C421" s="69"/>
      <c r="D421" s="67"/>
      <c r="E421" s="67">
        <f>3*1.2*1.3</f>
        <v>4.68</v>
      </c>
      <c r="F421" s="67"/>
      <c r="G421" s="68"/>
      <c r="H421" s="97"/>
    </row>
    <row r="422" spans="1:8" s="29" customFormat="1">
      <c r="A422" s="98"/>
      <c r="B422" s="99" t="s">
        <v>463</v>
      </c>
      <c r="C422" s="106"/>
      <c r="D422" s="101"/>
      <c r="E422" s="107">
        <f>SUM(E412:E421)</f>
        <v>14.04</v>
      </c>
      <c r="F422" s="101"/>
      <c r="G422" s="103"/>
      <c r="H422" s="104"/>
    </row>
    <row r="423" spans="1:8" s="29" customFormat="1" ht="38.25">
      <c r="A423" s="33" t="s">
        <v>340</v>
      </c>
      <c r="B423" s="34" t="s">
        <v>228</v>
      </c>
      <c r="C423" s="33" t="s">
        <v>233</v>
      </c>
      <c r="D423" s="33" t="s">
        <v>109</v>
      </c>
      <c r="E423" s="39">
        <f>E432</f>
        <v>5.4</v>
      </c>
      <c r="F423" s="39"/>
      <c r="G423" s="32">
        <f>E423*F423</f>
        <v>0</v>
      </c>
      <c r="H423" s="17"/>
    </row>
    <row r="424" spans="1:8" s="29" customFormat="1">
      <c r="A424" s="91"/>
      <c r="B424" s="134" t="s">
        <v>470</v>
      </c>
      <c r="C424" s="105"/>
      <c r="D424" s="93"/>
      <c r="E424" s="93"/>
      <c r="F424" s="93"/>
      <c r="G424" s="94"/>
      <c r="H424" s="95"/>
    </row>
    <row r="425" spans="1:8" s="29" customFormat="1">
      <c r="A425" s="96"/>
      <c r="B425" s="133" t="s">
        <v>622</v>
      </c>
      <c r="C425" s="69"/>
      <c r="D425" s="67"/>
      <c r="E425" s="67">
        <f>1.8*0.6</f>
        <v>1.08</v>
      </c>
      <c r="F425" s="67"/>
      <c r="G425" s="68"/>
      <c r="H425" s="97"/>
    </row>
    <row r="426" spans="1:8" s="29" customFormat="1">
      <c r="A426" s="96"/>
      <c r="B426" s="135" t="s">
        <v>469</v>
      </c>
      <c r="C426" s="69"/>
      <c r="D426" s="67"/>
      <c r="E426" s="67"/>
      <c r="F426" s="67"/>
      <c r="G426" s="68"/>
      <c r="H426" s="97"/>
    </row>
    <row r="427" spans="1:8" s="29" customFormat="1">
      <c r="A427" s="96"/>
      <c r="B427" s="133" t="s">
        <v>623</v>
      </c>
      <c r="C427" s="69"/>
      <c r="D427" s="67"/>
      <c r="E427" s="67">
        <f>2*1.8*0.6</f>
        <v>2.16</v>
      </c>
      <c r="F427" s="67"/>
      <c r="G427" s="68"/>
      <c r="H427" s="97"/>
    </row>
    <row r="428" spans="1:8" s="29" customFormat="1">
      <c r="A428" s="96"/>
      <c r="B428" s="133" t="s">
        <v>479</v>
      </c>
      <c r="C428" s="69"/>
      <c r="D428" s="67"/>
      <c r="E428" s="67"/>
      <c r="F428" s="67"/>
      <c r="G428" s="68"/>
      <c r="H428" s="97"/>
    </row>
    <row r="429" spans="1:8" s="29" customFormat="1">
      <c r="A429" s="96"/>
      <c r="B429" s="133" t="s">
        <v>622</v>
      </c>
      <c r="C429" s="69"/>
      <c r="D429" s="67"/>
      <c r="E429" s="67">
        <f>1.8*0.6</f>
        <v>1.08</v>
      </c>
      <c r="F429" s="67"/>
      <c r="G429" s="68"/>
      <c r="H429" s="97"/>
    </row>
    <row r="430" spans="1:8" s="29" customFormat="1">
      <c r="A430" s="96"/>
      <c r="B430" s="135" t="s">
        <v>466</v>
      </c>
      <c r="C430" s="69"/>
      <c r="D430" s="67"/>
      <c r="E430" s="67"/>
      <c r="F430" s="67"/>
      <c r="G430" s="68"/>
      <c r="H430" s="97"/>
    </row>
    <row r="431" spans="1:8" s="29" customFormat="1">
      <c r="A431" s="96"/>
      <c r="B431" s="133" t="s">
        <v>622</v>
      </c>
      <c r="C431" s="69"/>
      <c r="D431" s="67"/>
      <c r="E431" s="67">
        <f>1.8*0.6</f>
        <v>1.08</v>
      </c>
      <c r="F431" s="67"/>
      <c r="G431" s="68"/>
      <c r="H431" s="97"/>
    </row>
    <row r="432" spans="1:8" s="29" customFormat="1">
      <c r="A432" s="98"/>
      <c r="B432" s="99" t="s">
        <v>463</v>
      </c>
      <c r="C432" s="106"/>
      <c r="D432" s="101"/>
      <c r="E432" s="107">
        <f>SUM(E425:E431)</f>
        <v>5.4</v>
      </c>
      <c r="F432" s="101"/>
      <c r="G432" s="103"/>
      <c r="H432" s="104"/>
    </row>
    <row r="433" spans="1:8" s="29" customFormat="1" ht="38.25">
      <c r="A433" s="33" t="s">
        <v>341</v>
      </c>
      <c r="B433" s="34" t="s">
        <v>229</v>
      </c>
      <c r="C433" s="33" t="s">
        <v>233</v>
      </c>
      <c r="D433" s="33" t="s">
        <v>109</v>
      </c>
      <c r="E433" s="39">
        <f>E436</f>
        <v>0.48</v>
      </c>
      <c r="F433" s="39"/>
      <c r="G433" s="32">
        <f>E433*F433</f>
        <v>0</v>
      </c>
      <c r="H433" s="17"/>
    </row>
    <row r="434" spans="1:8" s="29" customFormat="1">
      <c r="A434" s="91"/>
      <c r="B434" s="134" t="s">
        <v>597</v>
      </c>
      <c r="C434" s="105"/>
      <c r="D434" s="93"/>
      <c r="E434" s="93"/>
      <c r="F434" s="93"/>
      <c r="G434" s="94"/>
      <c r="H434" s="95"/>
    </row>
    <row r="435" spans="1:8" s="29" customFormat="1">
      <c r="A435" s="96"/>
      <c r="B435" s="133" t="s">
        <v>624</v>
      </c>
      <c r="C435" s="69"/>
      <c r="D435" s="67"/>
      <c r="E435" s="67">
        <f>1.2*0.4</f>
        <v>0.48</v>
      </c>
      <c r="F435" s="67"/>
      <c r="G435" s="68"/>
      <c r="H435" s="97"/>
    </row>
    <row r="436" spans="1:8" s="29" customFormat="1">
      <c r="A436" s="98"/>
      <c r="B436" s="99" t="s">
        <v>463</v>
      </c>
      <c r="C436" s="106"/>
      <c r="D436" s="101"/>
      <c r="E436" s="107">
        <f>SUM(E435:E435)</f>
        <v>0.48</v>
      </c>
      <c r="F436" s="101"/>
      <c r="G436" s="103"/>
      <c r="H436" s="104"/>
    </row>
    <row r="437" spans="1:8" s="29" customFormat="1" ht="38.25">
      <c r="A437" s="33" t="s">
        <v>342</v>
      </c>
      <c r="B437" s="34" t="s">
        <v>227</v>
      </c>
      <c r="C437" s="33" t="s">
        <v>233</v>
      </c>
      <c r="D437" s="33" t="s">
        <v>109</v>
      </c>
      <c r="E437" s="39">
        <f>E440</f>
        <v>0.8</v>
      </c>
      <c r="F437" s="39"/>
      <c r="G437" s="32">
        <f>E437*F437</f>
        <v>0</v>
      </c>
      <c r="H437" s="17"/>
    </row>
    <row r="438" spans="1:8" s="29" customFormat="1">
      <c r="A438" s="91"/>
      <c r="B438" s="134" t="s">
        <v>478</v>
      </c>
      <c r="C438" s="105"/>
      <c r="D438" s="93"/>
      <c r="E438" s="93"/>
      <c r="F438" s="93"/>
      <c r="G438" s="94"/>
      <c r="H438" s="95"/>
    </row>
    <row r="439" spans="1:8" s="29" customFormat="1">
      <c r="A439" s="96"/>
      <c r="B439" s="133" t="s">
        <v>626</v>
      </c>
      <c r="C439" s="69"/>
      <c r="D439" s="67"/>
      <c r="E439" s="67">
        <f>2*0.4</f>
        <v>0.8</v>
      </c>
      <c r="F439" s="67"/>
      <c r="G439" s="68"/>
      <c r="H439" s="97"/>
    </row>
    <row r="440" spans="1:8" s="29" customFormat="1">
      <c r="A440" s="98"/>
      <c r="B440" s="99" t="s">
        <v>463</v>
      </c>
      <c r="C440" s="106"/>
      <c r="D440" s="101"/>
      <c r="E440" s="107">
        <f>SUM(E439:E439)</f>
        <v>0.8</v>
      </c>
      <c r="F440" s="101"/>
      <c r="G440" s="103"/>
      <c r="H440" s="104"/>
    </row>
    <row r="441" spans="1:8">
      <c r="A441" s="190" t="s">
        <v>111</v>
      </c>
      <c r="B441" s="190"/>
      <c r="C441" s="23"/>
      <c r="D441" s="23"/>
      <c r="E441" s="22"/>
      <c r="F441" s="22"/>
      <c r="G441" s="22">
        <f>SUM(G365:G440)</f>
        <v>0</v>
      </c>
      <c r="H441" s="17"/>
    </row>
    <row r="442" spans="1:8">
      <c r="A442" s="23" t="s">
        <v>97</v>
      </c>
      <c r="B442" s="18" t="s">
        <v>71</v>
      </c>
      <c r="C442" s="23"/>
      <c r="D442" s="16"/>
      <c r="E442" s="17"/>
      <c r="F442" s="17"/>
      <c r="G442" s="17"/>
      <c r="H442" s="17"/>
    </row>
    <row r="443" spans="1:8" ht="25.5">
      <c r="A443" s="16" t="s">
        <v>94</v>
      </c>
      <c r="B443" s="26" t="s">
        <v>236</v>
      </c>
      <c r="C443" s="16">
        <v>55866</v>
      </c>
      <c r="D443" s="16" t="s">
        <v>81</v>
      </c>
      <c r="E443" s="17">
        <f>E444</f>
        <v>77.55</v>
      </c>
      <c r="F443" s="17"/>
      <c r="G443" s="17">
        <f t="shared" ref="G443:G459" si="0">E443*F443</f>
        <v>0</v>
      </c>
      <c r="H443" s="17"/>
    </row>
    <row r="444" spans="1:8">
      <c r="A444" s="118"/>
      <c r="B444" s="147" t="s">
        <v>627</v>
      </c>
      <c r="C444" s="119"/>
      <c r="D444" s="119"/>
      <c r="E444" s="115">
        <f>12.2+8.7+24.35+6+5.4+14.9+6</f>
        <v>77.55</v>
      </c>
      <c r="F444" s="115"/>
      <c r="G444" s="115"/>
      <c r="H444" s="116"/>
    </row>
    <row r="445" spans="1:8" ht="25.5">
      <c r="A445" s="16" t="s">
        <v>102</v>
      </c>
      <c r="B445" s="26" t="s">
        <v>628</v>
      </c>
      <c r="C445" s="16">
        <v>40802</v>
      </c>
      <c r="D445" s="16" t="s">
        <v>81</v>
      </c>
      <c r="E445" s="17">
        <f>E446</f>
        <v>428.1</v>
      </c>
      <c r="F445" s="17"/>
      <c r="G445" s="17">
        <f>E445*F445</f>
        <v>0</v>
      </c>
      <c r="H445" s="17"/>
    </row>
    <row r="446" spans="1:8">
      <c r="A446" s="118"/>
      <c r="B446" s="147" t="s">
        <v>630</v>
      </c>
      <c r="C446" s="119"/>
      <c r="D446" s="119"/>
      <c r="E446" s="123">
        <f>(21+10+21+17+10+8.7+18.7+20+16.3)*3</f>
        <v>428.1</v>
      </c>
      <c r="F446" s="115"/>
      <c r="G446" s="115"/>
      <c r="H446" s="116"/>
    </row>
    <row r="447" spans="1:8" ht="25.5">
      <c r="A447" s="16" t="s">
        <v>185</v>
      </c>
      <c r="B447" s="26" t="s">
        <v>238</v>
      </c>
      <c r="C447" s="16" t="s">
        <v>237</v>
      </c>
      <c r="D447" s="16" t="s">
        <v>81</v>
      </c>
      <c r="E447" s="17">
        <f>E448</f>
        <v>1483.8199999999997</v>
      </c>
      <c r="F447" s="17"/>
      <c r="G447" s="17">
        <f t="shared" si="0"/>
        <v>0</v>
      </c>
      <c r="H447" s="17"/>
    </row>
    <row r="448" spans="1:8" ht="63.75">
      <c r="A448" s="118"/>
      <c r="B448" s="147" t="s">
        <v>629</v>
      </c>
      <c r="C448" s="119"/>
      <c r="D448" s="119"/>
      <c r="E448" s="124">
        <f>(1.2*19+4.36*7+3.16*3+3.15*2+1.26*3+2.15*3+3.78*17+1.79*2+1.85*2+3.12*4+1.8*2+3.75*13+4+2+3.2*11+1.8*3+1.2*2+1.75*2+5.1*2+2.5*8+3.16*7+1.7*3+2.2*7+4*2+21+12+2*5.3*7+2.4*2*2+3.3*13*21+2.6*5+1.7*4+2.3*9+6*2.6+1.5*2+12+3+2.5*4+10+3+6+6+8)</f>
        <v>1483.8199999999997</v>
      </c>
      <c r="F448" s="115"/>
      <c r="G448" s="115"/>
      <c r="H448" s="116"/>
    </row>
    <row r="449" spans="1:8" ht="25.5">
      <c r="A449" s="16" t="s">
        <v>186</v>
      </c>
      <c r="B449" s="26" t="s">
        <v>240</v>
      </c>
      <c r="C449" s="16" t="s">
        <v>239</v>
      </c>
      <c r="D449" s="16" t="s">
        <v>81</v>
      </c>
      <c r="E449" s="17">
        <f>E451</f>
        <v>200</v>
      </c>
      <c r="F449" s="17"/>
      <c r="G449" s="17">
        <f t="shared" si="0"/>
        <v>0</v>
      </c>
      <c r="H449" s="17"/>
    </row>
    <row r="450" spans="1:8" ht="25.5">
      <c r="A450" s="91"/>
      <c r="B450" s="148" t="s">
        <v>632</v>
      </c>
      <c r="C450" s="92"/>
      <c r="D450" s="92"/>
      <c r="E450" s="94"/>
      <c r="F450" s="94"/>
      <c r="G450" s="94"/>
      <c r="H450" s="95"/>
    </row>
    <row r="451" spans="1:8">
      <c r="A451" s="98"/>
      <c r="B451" s="149" t="s">
        <v>631</v>
      </c>
      <c r="C451" s="100"/>
      <c r="D451" s="100"/>
      <c r="E451" s="103">
        <f>25*4*2</f>
        <v>200</v>
      </c>
      <c r="F451" s="103"/>
      <c r="G451" s="103"/>
      <c r="H451" s="104"/>
    </row>
    <row r="452" spans="1:8" ht="25.5">
      <c r="A452" s="16" t="s">
        <v>343</v>
      </c>
      <c r="B452" s="26" t="s">
        <v>242</v>
      </c>
      <c r="C452" s="16" t="s">
        <v>241</v>
      </c>
      <c r="D452" s="16" t="s">
        <v>65</v>
      </c>
      <c r="E452" s="17">
        <f>E453</f>
        <v>1</v>
      </c>
      <c r="F452" s="17"/>
      <c r="G452" s="17">
        <f t="shared" si="0"/>
        <v>0</v>
      </c>
      <c r="H452" s="17"/>
    </row>
    <row r="453" spans="1:8">
      <c r="A453" s="118"/>
      <c r="B453" s="147" t="s">
        <v>633</v>
      </c>
      <c r="C453" s="119"/>
      <c r="D453" s="119"/>
      <c r="E453" s="115">
        <v>1</v>
      </c>
      <c r="F453" s="115"/>
      <c r="G453" s="115"/>
      <c r="H453" s="116"/>
    </row>
    <row r="454" spans="1:8" ht="25.5">
      <c r="A454" s="16" t="s">
        <v>344</v>
      </c>
      <c r="B454" s="26" t="s">
        <v>244</v>
      </c>
      <c r="C454" s="16" t="s">
        <v>243</v>
      </c>
      <c r="D454" s="16" t="s">
        <v>65</v>
      </c>
      <c r="E454" s="17">
        <v>12</v>
      </c>
      <c r="F454" s="17"/>
      <c r="G454" s="17">
        <f t="shared" si="0"/>
        <v>0</v>
      </c>
      <c r="H454" s="17"/>
    </row>
    <row r="455" spans="1:8" ht="55.5" customHeight="1">
      <c r="A455" s="16" t="s">
        <v>345</v>
      </c>
      <c r="B455" s="26" t="s">
        <v>235</v>
      </c>
      <c r="C455" s="16" t="s">
        <v>234</v>
      </c>
      <c r="D455" s="16" t="s">
        <v>65</v>
      </c>
      <c r="E455" s="17">
        <v>1</v>
      </c>
      <c r="F455" s="17"/>
      <c r="G455" s="17">
        <f t="shared" si="0"/>
        <v>0</v>
      </c>
      <c r="H455" s="17"/>
    </row>
    <row r="456" spans="1:8" ht="27.75" customHeight="1">
      <c r="A456" s="16" t="s">
        <v>346</v>
      </c>
      <c r="B456" s="26" t="s">
        <v>246</v>
      </c>
      <c r="C456" s="16" t="s">
        <v>245</v>
      </c>
      <c r="D456" s="16" t="s">
        <v>110</v>
      </c>
      <c r="E456" s="17">
        <v>33</v>
      </c>
      <c r="F456" s="17"/>
      <c r="G456" s="17">
        <f t="shared" si="0"/>
        <v>0</v>
      </c>
      <c r="H456" s="17"/>
    </row>
    <row r="457" spans="1:8" ht="27.75" customHeight="1">
      <c r="A457" s="16" t="s">
        <v>347</v>
      </c>
      <c r="B457" s="26" t="s">
        <v>651</v>
      </c>
      <c r="C457" s="16" t="s">
        <v>650</v>
      </c>
      <c r="D457" s="16" t="s">
        <v>65</v>
      </c>
      <c r="E457" s="17">
        <v>30</v>
      </c>
      <c r="F457" s="17"/>
      <c r="G457" s="17">
        <f t="shared" si="0"/>
        <v>0</v>
      </c>
      <c r="H457" s="17"/>
    </row>
    <row r="458" spans="1:8" ht="27.75" customHeight="1">
      <c r="A458" s="16" t="s">
        <v>348</v>
      </c>
      <c r="B458" s="26" t="s">
        <v>653</v>
      </c>
      <c r="C458" s="16" t="s">
        <v>652</v>
      </c>
      <c r="D458" s="16" t="s">
        <v>65</v>
      </c>
      <c r="E458" s="17">
        <v>3</v>
      </c>
      <c r="F458" s="17"/>
      <c r="G458" s="17">
        <f t="shared" si="0"/>
        <v>0</v>
      </c>
      <c r="H458" s="17"/>
    </row>
    <row r="459" spans="1:8" ht="25.5">
      <c r="A459" s="16" t="s">
        <v>349</v>
      </c>
      <c r="B459" s="26" t="s">
        <v>155</v>
      </c>
      <c r="C459" s="16" t="s">
        <v>154</v>
      </c>
      <c r="D459" s="16" t="s">
        <v>110</v>
      </c>
      <c r="E459" s="17">
        <f>E490</f>
        <v>16</v>
      </c>
      <c r="F459" s="17"/>
      <c r="G459" s="17">
        <f t="shared" si="0"/>
        <v>0</v>
      </c>
      <c r="H459" s="17"/>
    </row>
    <row r="460" spans="1:8">
      <c r="A460" s="91"/>
      <c r="B460" s="134" t="s">
        <v>634</v>
      </c>
      <c r="C460" s="105"/>
      <c r="D460" s="93"/>
      <c r="E460" s="93"/>
      <c r="F460" s="93"/>
      <c r="G460" s="94"/>
      <c r="H460" s="95"/>
    </row>
    <row r="461" spans="1:8">
      <c r="A461" s="96"/>
      <c r="B461" s="133" t="s">
        <v>635</v>
      </c>
      <c r="C461" s="69"/>
      <c r="D461" s="67"/>
      <c r="E461" s="67">
        <v>1</v>
      </c>
      <c r="F461" s="67"/>
      <c r="G461" s="68"/>
      <c r="H461" s="97"/>
    </row>
    <row r="462" spans="1:8">
      <c r="A462" s="96"/>
      <c r="B462" s="135" t="s">
        <v>636</v>
      </c>
      <c r="C462" s="69"/>
      <c r="D462" s="67"/>
      <c r="E462" s="67"/>
      <c r="F462" s="67"/>
      <c r="G462" s="68"/>
      <c r="H462" s="97"/>
    </row>
    <row r="463" spans="1:8">
      <c r="A463" s="96"/>
      <c r="B463" s="133" t="s">
        <v>635</v>
      </c>
      <c r="C463" s="69"/>
      <c r="D463" s="67"/>
      <c r="E463" s="67">
        <v>1</v>
      </c>
      <c r="F463" s="67"/>
      <c r="G463" s="68"/>
      <c r="H463" s="97"/>
    </row>
    <row r="464" spans="1:8">
      <c r="A464" s="96"/>
      <c r="B464" s="135" t="s">
        <v>478</v>
      </c>
      <c r="C464" s="69"/>
      <c r="D464" s="67"/>
      <c r="E464" s="67"/>
      <c r="F464" s="67"/>
      <c r="G464" s="68"/>
      <c r="H464" s="97"/>
    </row>
    <row r="465" spans="1:8">
      <c r="A465" s="96"/>
      <c r="B465" s="133" t="s">
        <v>635</v>
      </c>
      <c r="C465" s="69"/>
      <c r="D465" s="67"/>
      <c r="E465" s="67">
        <v>1</v>
      </c>
      <c r="F465" s="67"/>
      <c r="G465" s="68"/>
      <c r="H465" s="97"/>
    </row>
    <row r="466" spans="1:8">
      <c r="A466" s="96"/>
      <c r="B466" s="133" t="s">
        <v>479</v>
      </c>
      <c r="C466" s="69"/>
      <c r="D466" s="67"/>
      <c r="E466" s="67"/>
      <c r="F466" s="67"/>
      <c r="G466" s="68"/>
      <c r="H466" s="97"/>
    </row>
    <row r="467" spans="1:8">
      <c r="A467" s="96"/>
      <c r="B467" s="133" t="s">
        <v>635</v>
      </c>
      <c r="C467" s="69"/>
      <c r="D467" s="67"/>
      <c r="E467" s="67">
        <v>1</v>
      </c>
      <c r="F467" s="67"/>
      <c r="G467" s="68"/>
      <c r="H467" s="97"/>
    </row>
    <row r="468" spans="1:8">
      <c r="A468" s="96"/>
      <c r="B468" s="133" t="s">
        <v>485</v>
      </c>
      <c r="C468" s="69"/>
      <c r="D468" s="67"/>
      <c r="E468" s="67"/>
      <c r="F468" s="67"/>
      <c r="G468" s="68"/>
      <c r="H468" s="97"/>
    </row>
    <row r="469" spans="1:8">
      <c r="A469" s="96"/>
      <c r="B469" s="133" t="s">
        <v>635</v>
      </c>
      <c r="C469" s="69"/>
      <c r="D469" s="67"/>
      <c r="E469" s="67">
        <v>1</v>
      </c>
      <c r="F469" s="67"/>
      <c r="G469" s="68"/>
      <c r="H469" s="97"/>
    </row>
    <row r="470" spans="1:8">
      <c r="A470" s="96"/>
      <c r="B470" s="133" t="s">
        <v>486</v>
      </c>
      <c r="C470" s="69"/>
      <c r="D470" s="67"/>
      <c r="E470" s="67"/>
      <c r="F470" s="67"/>
      <c r="G470" s="68"/>
      <c r="H470" s="97"/>
    </row>
    <row r="471" spans="1:8">
      <c r="A471" s="96"/>
      <c r="B471" s="133" t="s">
        <v>635</v>
      </c>
      <c r="C471" s="69"/>
      <c r="D471" s="67"/>
      <c r="E471" s="67">
        <v>1</v>
      </c>
      <c r="F471" s="67"/>
      <c r="G471" s="68"/>
      <c r="H471" s="97"/>
    </row>
    <row r="472" spans="1:8">
      <c r="A472" s="96"/>
      <c r="B472" s="135" t="s">
        <v>469</v>
      </c>
      <c r="C472" s="69"/>
      <c r="D472" s="67"/>
      <c r="E472" s="67"/>
      <c r="F472" s="67"/>
      <c r="G472" s="68"/>
      <c r="H472" s="97"/>
    </row>
    <row r="473" spans="1:8">
      <c r="A473" s="96"/>
      <c r="B473" s="133" t="s">
        <v>610</v>
      </c>
      <c r="C473" s="69"/>
      <c r="D473" s="67"/>
      <c r="E473" s="67">
        <v>2</v>
      </c>
      <c r="F473" s="67"/>
      <c r="G473" s="68"/>
      <c r="H473" s="97"/>
    </row>
    <row r="474" spans="1:8">
      <c r="A474" s="96"/>
      <c r="B474" s="135" t="s">
        <v>470</v>
      </c>
      <c r="C474" s="69"/>
      <c r="D474" s="67"/>
      <c r="E474" s="67"/>
      <c r="F474" s="67"/>
      <c r="G474" s="68"/>
      <c r="H474" s="97"/>
    </row>
    <row r="475" spans="1:8">
      <c r="A475" s="96"/>
      <c r="B475" s="133" t="s">
        <v>635</v>
      </c>
      <c r="C475" s="69"/>
      <c r="D475" s="67"/>
      <c r="E475" s="67">
        <v>1</v>
      </c>
      <c r="F475" s="67"/>
      <c r="G475" s="68"/>
      <c r="H475" s="97"/>
    </row>
    <row r="476" spans="1:8">
      <c r="A476" s="96"/>
      <c r="B476" s="135" t="s">
        <v>530</v>
      </c>
      <c r="C476" s="69"/>
      <c r="D476" s="67"/>
      <c r="E476" s="67"/>
      <c r="F476" s="67"/>
      <c r="G476" s="68"/>
      <c r="H476" s="97"/>
    </row>
    <row r="477" spans="1:8">
      <c r="A477" s="96"/>
      <c r="B477" s="133" t="s">
        <v>635</v>
      </c>
      <c r="C477" s="69"/>
      <c r="D477" s="67"/>
      <c r="E477" s="67">
        <v>1</v>
      </c>
      <c r="F477" s="67"/>
      <c r="G477" s="68"/>
      <c r="H477" s="97"/>
    </row>
    <row r="478" spans="1:8">
      <c r="A478" s="96"/>
      <c r="B478" s="135" t="s">
        <v>471</v>
      </c>
      <c r="C478" s="69"/>
      <c r="D478" s="67"/>
      <c r="E478" s="67"/>
      <c r="F478" s="67"/>
      <c r="G478" s="68"/>
      <c r="H478" s="97"/>
    </row>
    <row r="479" spans="1:8">
      <c r="A479" s="96"/>
      <c r="B479" s="133" t="s">
        <v>635</v>
      </c>
      <c r="C479" s="69"/>
      <c r="D479" s="67"/>
      <c r="E479" s="67">
        <v>1</v>
      </c>
      <c r="F479" s="67"/>
      <c r="G479" s="68"/>
      <c r="H479" s="97"/>
    </row>
    <row r="480" spans="1:8">
      <c r="A480" s="96"/>
      <c r="B480" s="135" t="s">
        <v>597</v>
      </c>
      <c r="C480" s="69"/>
      <c r="D480" s="67"/>
      <c r="E480" s="67"/>
      <c r="F480" s="67"/>
      <c r="G480" s="68"/>
      <c r="H480" s="97"/>
    </row>
    <row r="481" spans="1:8">
      <c r="A481" s="96"/>
      <c r="B481" s="133" t="s">
        <v>635</v>
      </c>
      <c r="C481" s="69"/>
      <c r="D481" s="67"/>
      <c r="E481" s="67">
        <v>1</v>
      </c>
      <c r="F481" s="67"/>
      <c r="G481" s="68"/>
      <c r="H481" s="97"/>
    </row>
    <row r="482" spans="1:8">
      <c r="A482" s="96"/>
      <c r="B482" s="135" t="s">
        <v>612</v>
      </c>
      <c r="C482" s="69"/>
      <c r="D482" s="67"/>
      <c r="E482" s="67"/>
      <c r="F482" s="67"/>
      <c r="G482" s="68"/>
      <c r="H482" s="97"/>
    </row>
    <row r="483" spans="1:8">
      <c r="A483" s="96"/>
      <c r="B483" s="133" t="s">
        <v>635</v>
      </c>
      <c r="C483" s="69"/>
      <c r="D483" s="67"/>
      <c r="E483" s="67">
        <v>1</v>
      </c>
      <c r="F483" s="67"/>
      <c r="G483" s="68"/>
      <c r="H483" s="97"/>
    </row>
    <row r="484" spans="1:8">
      <c r="A484" s="96"/>
      <c r="B484" s="135" t="s">
        <v>473</v>
      </c>
      <c r="C484" s="69"/>
      <c r="D484" s="67"/>
      <c r="E484" s="67"/>
      <c r="F484" s="67"/>
      <c r="G484" s="68"/>
      <c r="H484" s="97"/>
    </row>
    <row r="485" spans="1:8">
      <c r="A485" s="96"/>
      <c r="B485" s="133" t="s">
        <v>635</v>
      </c>
      <c r="C485" s="69"/>
      <c r="D485" s="67"/>
      <c r="E485" s="67">
        <v>1</v>
      </c>
      <c r="F485" s="67"/>
      <c r="G485" s="68"/>
      <c r="H485" s="97"/>
    </row>
    <row r="486" spans="1:8">
      <c r="A486" s="96"/>
      <c r="B486" s="135" t="s">
        <v>474</v>
      </c>
      <c r="C486" s="69"/>
      <c r="D486" s="67"/>
      <c r="E486" s="67"/>
      <c r="F486" s="67"/>
      <c r="G486" s="68"/>
      <c r="H486" s="97"/>
    </row>
    <row r="487" spans="1:8">
      <c r="A487" s="96"/>
      <c r="B487" s="133" t="s">
        <v>635</v>
      </c>
      <c r="C487" s="69"/>
      <c r="D487" s="67"/>
      <c r="E487" s="67">
        <v>1</v>
      </c>
      <c r="F487" s="67"/>
      <c r="G487" s="68"/>
      <c r="H487" s="97"/>
    </row>
    <row r="488" spans="1:8">
      <c r="A488" s="96"/>
      <c r="B488" s="135" t="s">
        <v>476</v>
      </c>
      <c r="C488" s="69"/>
      <c r="D488" s="67"/>
      <c r="E488" s="67"/>
      <c r="F488" s="67"/>
      <c r="G488" s="68"/>
      <c r="H488" s="97"/>
    </row>
    <row r="489" spans="1:8">
      <c r="A489" s="96"/>
      <c r="B489" s="133" t="s">
        <v>635</v>
      </c>
      <c r="C489" s="69"/>
      <c r="D489" s="67"/>
      <c r="E489" s="67">
        <v>1</v>
      </c>
      <c r="F489" s="67"/>
      <c r="G489" s="68"/>
      <c r="H489" s="97"/>
    </row>
    <row r="490" spans="1:8">
      <c r="A490" s="98"/>
      <c r="B490" s="99" t="s">
        <v>463</v>
      </c>
      <c r="C490" s="106"/>
      <c r="D490" s="101"/>
      <c r="E490" s="107">
        <f>SUM(E461:E489)</f>
        <v>16</v>
      </c>
      <c r="F490" s="101"/>
      <c r="G490" s="103"/>
      <c r="H490" s="104"/>
    </row>
    <row r="491" spans="1:8" ht="25.5">
      <c r="A491" s="16" t="s">
        <v>350</v>
      </c>
      <c r="B491" s="50" t="s">
        <v>646</v>
      </c>
      <c r="C491" s="33" t="s">
        <v>647</v>
      </c>
      <c r="D491" s="16" t="s">
        <v>65</v>
      </c>
      <c r="E491" s="32">
        <f>E459</f>
        <v>16</v>
      </c>
      <c r="F491" s="32"/>
      <c r="G491" s="17">
        <f>E491*F491</f>
        <v>0</v>
      </c>
      <c r="H491" s="17"/>
    </row>
    <row r="492" spans="1:8" ht="25.5">
      <c r="A492" s="16" t="s">
        <v>351</v>
      </c>
      <c r="B492" s="26" t="s">
        <v>637</v>
      </c>
      <c r="C492" s="16" t="s">
        <v>638</v>
      </c>
      <c r="D492" s="16" t="s">
        <v>110</v>
      </c>
      <c r="E492" s="17">
        <f>E497</f>
        <v>4</v>
      </c>
      <c r="F492" s="17"/>
      <c r="G492" s="17">
        <f>E492*F492</f>
        <v>0</v>
      </c>
      <c r="H492" s="17"/>
    </row>
    <row r="493" spans="1:8">
      <c r="A493" s="91"/>
      <c r="B493" s="134" t="s">
        <v>466</v>
      </c>
      <c r="C493" s="105"/>
      <c r="D493" s="93"/>
      <c r="E493" s="93"/>
      <c r="F493" s="93"/>
      <c r="G493" s="94"/>
      <c r="H493" s="95"/>
    </row>
    <row r="494" spans="1:8">
      <c r="A494" s="96"/>
      <c r="B494" s="133" t="s">
        <v>610</v>
      </c>
      <c r="C494" s="69"/>
      <c r="D494" s="67"/>
      <c r="E494" s="67">
        <v>2</v>
      </c>
      <c r="F494" s="67"/>
      <c r="G494" s="68"/>
      <c r="H494" s="97"/>
    </row>
    <row r="495" spans="1:8" ht="15.75" customHeight="1">
      <c r="A495" s="96"/>
      <c r="B495" s="133" t="s">
        <v>584</v>
      </c>
      <c r="C495" s="69"/>
      <c r="D495" s="67"/>
      <c r="E495" s="67"/>
      <c r="F495" s="67"/>
      <c r="G495" s="68"/>
      <c r="H495" s="97"/>
    </row>
    <row r="496" spans="1:8" ht="15.75" customHeight="1">
      <c r="A496" s="96"/>
      <c r="B496" s="133" t="s">
        <v>610</v>
      </c>
      <c r="C496" s="69"/>
      <c r="D496" s="67"/>
      <c r="E496" s="67">
        <v>2</v>
      </c>
      <c r="F496" s="67"/>
      <c r="G496" s="68"/>
      <c r="H496" s="97"/>
    </row>
    <row r="497" spans="1:8" ht="15.75" customHeight="1">
      <c r="A497" s="98"/>
      <c r="B497" s="99" t="s">
        <v>463</v>
      </c>
      <c r="C497" s="106"/>
      <c r="D497" s="101"/>
      <c r="E497" s="107">
        <f>SUM(E494:E496)</f>
        <v>4</v>
      </c>
      <c r="F497" s="101"/>
      <c r="G497" s="103"/>
      <c r="H497" s="104"/>
    </row>
    <row r="498" spans="1:8" ht="25.5">
      <c r="A498" s="16" t="s">
        <v>352</v>
      </c>
      <c r="B498" s="50" t="s">
        <v>648</v>
      </c>
      <c r="C498" s="33" t="s">
        <v>647</v>
      </c>
      <c r="D498" s="16" t="s">
        <v>65</v>
      </c>
      <c r="E498" s="32">
        <f>E492</f>
        <v>4</v>
      </c>
      <c r="F498" s="32"/>
      <c r="G498" s="17">
        <f>E498*F498</f>
        <v>0</v>
      </c>
      <c r="H498" s="17"/>
    </row>
    <row r="499" spans="1:8" ht="30.75" customHeight="1">
      <c r="A499" s="16" t="s">
        <v>353</v>
      </c>
      <c r="B499" s="50" t="s">
        <v>649</v>
      </c>
      <c r="C499" s="33" t="s">
        <v>645</v>
      </c>
      <c r="D499" s="16" t="s">
        <v>65</v>
      </c>
      <c r="E499" s="32">
        <f>E524</f>
        <v>35</v>
      </c>
      <c r="F499" s="32"/>
      <c r="G499" s="17">
        <f>E499*F499</f>
        <v>0</v>
      </c>
      <c r="H499" s="17"/>
    </row>
    <row r="500" spans="1:8" ht="15" customHeight="1">
      <c r="A500" s="91"/>
      <c r="B500" s="134" t="s">
        <v>634</v>
      </c>
      <c r="C500" s="105"/>
      <c r="D500" s="93"/>
      <c r="E500" s="93"/>
      <c r="F500" s="93"/>
      <c r="G500" s="94"/>
      <c r="H500" s="95"/>
    </row>
    <row r="501" spans="1:8" ht="15.75" customHeight="1">
      <c r="A501" s="96"/>
      <c r="B501" s="133" t="s">
        <v>639</v>
      </c>
      <c r="C501" s="69"/>
      <c r="D501" s="67"/>
      <c r="E501" s="67">
        <v>3</v>
      </c>
      <c r="F501" s="67"/>
      <c r="G501" s="68"/>
      <c r="H501" s="97"/>
    </row>
    <row r="502" spans="1:8" ht="15.75" customHeight="1">
      <c r="A502" s="96"/>
      <c r="B502" s="135" t="s">
        <v>636</v>
      </c>
      <c r="C502" s="69"/>
      <c r="D502" s="67"/>
      <c r="E502" s="67"/>
      <c r="F502" s="67"/>
      <c r="G502" s="68"/>
      <c r="H502" s="97"/>
    </row>
    <row r="503" spans="1:8" ht="15.75" customHeight="1">
      <c r="A503" s="96"/>
      <c r="B503" s="133" t="s">
        <v>640</v>
      </c>
      <c r="C503" s="69"/>
      <c r="D503" s="67"/>
      <c r="E503" s="67">
        <v>2</v>
      </c>
      <c r="F503" s="67"/>
      <c r="G503" s="68"/>
      <c r="H503" s="97"/>
    </row>
    <row r="504" spans="1:8" ht="15.75" customHeight="1">
      <c r="A504" s="96"/>
      <c r="B504" s="135" t="s">
        <v>478</v>
      </c>
      <c r="C504" s="69"/>
      <c r="D504" s="67"/>
      <c r="E504" s="67"/>
      <c r="F504" s="67"/>
      <c r="G504" s="68"/>
      <c r="H504" s="97"/>
    </row>
    <row r="505" spans="1:8" ht="15.75" customHeight="1">
      <c r="A505" s="96"/>
      <c r="B505" s="133" t="s">
        <v>639</v>
      </c>
      <c r="C505" s="69"/>
      <c r="D505" s="67"/>
      <c r="E505" s="67">
        <v>3</v>
      </c>
      <c r="F505" s="67"/>
      <c r="G505" s="68"/>
      <c r="H505" s="97"/>
    </row>
    <row r="506" spans="1:8" ht="15.75" customHeight="1">
      <c r="A506" s="96"/>
      <c r="B506" s="133" t="s">
        <v>486</v>
      </c>
      <c r="C506" s="69"/>
      <c r="D506" s="67"/>
      <c r="E506" s="67"/>
      <c r="F506" s="67"/>
      <c r="G506" s="68"/>
      <c r="H506" s="97"/>
    </row>
    <row r="507" spans="1:8" ht="15.75" customHeight="1">
      <c r="A507" s="96"/>
      <c r="B507" s="133" t="s">
        <v>635</v>
      </c>
      <c r="C507" s="69"/>
      <c r="D507" s="67"/>
      <c r="E507" s="67">
        <v>1</v>
      </c>
      <c r="F507" s="67"/>
      <c r="G507" s="68"/>
      <c r="H507" s="97"/>
    </row>
    <row r="508" spans="1:8" ht="15.75" customHeight="1">
      <c r="A508" s="96"/>
      <c r="B508" s="135" t="s">
        <v>469</v>
      </c>
      <c r="C508" s="69"/>
      <c r="D508" s="67"/>
      <c r="E508" s="67"/>
      <c r="F508" s="67"/>
      <c r="G508" s="68"/>
      <c r="H508" s="97"/>
    </row>
    <row r="509" spans="1:8" ht="15.75" customHeight="1">
      <c r="A509" s="96"/>
      <c r="B509" s="133" t="s">
        <v>641</v>
      </c>
      <c r="C509" s="69"/>
      <c r="D509" s="67"/>
      <c r="E509" s="67">
        <v>3</v>
      </c>
      <c r="F509" s="67"/>
      <c r="G509" s="68"/>
      <c r="H509" s="97"/>
    </row>
    <row r="510" spans="1:8" ht="15.75" customHeight="1">
      <c r="A510" s="96"/>
      <c r="B510" s="135" t="s">
        <v>470</v>
      </c>
      <c r="C510" s="69"/>
      <c r="D510" s="67"/>
      <c r="E510" s="67"/>
      <c r="F510" s="67"/>
      <c r="G510" s="68"/>
      <c r="H510" s="97"/>
    </row>
    <row r="511" spans="1:8" ht="15.75" customHeight="1">
      <c r="A511" s="96"/>
      <c r="B511" s="133" t="s">
        <v>642</v>
      </c>
      <c r="C511" s="69"/>
      <c r="D511" s="67"/>
      <c r="E511" s="67">
        <v>6</v>
      </c>
      <c r="F511" s="67"/>
      <c r="G511" s="68"/>
      <c r="H511" s="97"/>
    </row>
    <row r="512" spans="1:8" ht="15.75" customHeight="1">
      <c r="A512" s="96"/>
      <c r="B512" s="135" t="s">
        <v>530</v>
      </c>
      <c r="C512" s="69"/>
      <c r="D512" s="67"/>
      <c r="E512" s="67"/>
      <c r="F512" s="67"/>
      <c r="G512" s="68"/>
      <c r="H512" s="97"/>
    </row>
    <row r="513" spans="1:8" ht="15.75" customHeight="1">
      <c r="A513" s="96"/>
      <c r="B513" s="133" t="s">
        <v>641</v>
      </c>
      <c r="C513" s="69"/>
      <c r="D513" s="67"/>
      <c r="E513" s="67">
        <v>3</v>
      </c>
      <c r="F513" s="67"/>
      <c r="G513" s="68"/>
      <c r="H513" s="97"/>
    </row>
    <row r="514" spans="1:8" ht="15.75" customHeight="1">
      <c r="A514" s="96"/>
      <c r="B514" s="135" t="s">
        <v>471</v>
      </c>
      <c r="C514" s="69"/>
      <c r="D514" s="67"/>
      <c r="E514" s="67"/>
      <c r="F514" s="67"/>
      <c r="G514" s="68"/>
      <c r="H514" s="97"/>
    </row>
    <row r="515" spans="1:8" ht="15.75" customHeight="1">
      <c r="A515" s="96"/>
      <c r="B515" s="133" t="s">
        <v>641</v>
      </c>
      <c r="C515" s="69"/>
      <c r="D515" s="67"/>
      <c r="E515" s="67">
        <v>3</v>
      </c>
      <c r="F515" s="67"/>
      <c r="G515" s="68"/>
      <c r="H515" s="97"/>
    </row>
    <row r="516" spans="1:8" ht="15.75" customHeight="1">
      <c r="A516" s="96"/>
      <c r="B516" s="135" t="s">
        <v>612</v>
      </c>
      <c r="C516" s="69"/>
      <c r="D516" s="67"/>
      <c r="E516" s="67"/>
      <c r="F516" s="67"/>
      <c r="G516" s="68"/>
      <c r="H516" s="97"/>
    </row>
    <row r="517" spans="1:8" ht="15.75" customHeight="1">
      <c r="A517" s="96"/>
      <c r="B517" s="133" t="s">
        <v>641</v>
      </c>
      <c r="C517" s="69"/>
      <c r="D517" s="67"/>
      <c r="E517" s="67">
        <v>3</v>
      </c>
      <c r="F517" s="67"/>
      <c r="G517" s="68"/>
      <c r="H517" s="97"/>
    </row>
    <row r="518" spans="1:8" ht="15.75" customHeight="1">
      <c r="A518" s="96"/>
      <c r="B518" s="135" t="s">
        <v>473</v>
      </c>
      <c r="C518" s="69"/>
      <c r="D518" s="67"/>
      <c r="E518" s="67"/>
      <c r="F518" s="67"/>
      <c r="G518" s="68"/>
      <c r="H518" s="97"/>
    </row>
    <row r="519" spans="1:8" ht="15.75" customHeight="1">
      <c r="A519" s="96"/>
      <c r="B519" s="133" t="s">
        <v>641</v>
      </c>
      <c r="C519" s="69"/>
      <c r="D519" s="67"/>
      <c r="E519" s="67">
        <v>3</v>
      </c>
      <c r="F519" s="67"/>
      <c r="G519" s="68"/>
      <c r="H519" s="97"/>
    </row>
    <row r="520" spans="1:8" ht="15.75" customHeight="1">
      <c r="A520" s="96"/>
      <c r="B520" s="135" t="s">
        <v>474</v>
      </c>
      <c r="C520" s="69"/>
      <c r="D520" s="67"/>
      <c r="E520" s="67"/>
      <c r="F520" s="67"/>
      <c r="G520" s="68"/>
      <c r="H520" s="97"/>
    </row>
    <row r="521" spans="1:8" ht="15.75" customHeight="1">
      <c r="A521" s="96"/>
      <c r="B521" s="133" t="s">
        <v>610</v>
      </c>
      <c r="C521" s="69"/>
      <c r="D521" s="67"/>
      <c r="E521" s="67">
        <v>2</v>
      </c>
      <c r="F521" s="67"/>
      <c r="G521" s="68"/>
      <c r="H521" s="97"/>
    </row>
    <row r="522" spans="1:8">
      <c r="A522" s="96"/>
      <c r="B522" s="135" t="s">
        <v>476</v>
      </c>
      <c r="C522" s="69"/>
      <c r="D522" s="67"/>
      <c r="E522" s="67"/>
      <c r="F522" s="67"/>
      <c r="G522" s="68"/>
      <c r="H522" s="97"/>
    </row>
    <row r="523" spans="1:8">
      <c r="A523" s="96"/>
      <c r="B523" s="133" t="s">
        <v>641</v>
      </c>
      <c r="C523" s="69"/>
      <c r="D523" s="67"/>
      <c r="E523" s="67">
        <v>3</v>
      </c>
      <c r="F523" s="67"/>
      <c r="G523" s="68"/>
      <c r="H523" s="97"/>
    </row>
    <row r="524" spans="1:8">
      <c r="A524" s="98"/>
      <c r="B524" s="99" t="s">
        <v>463</v>
      </c>
      <c r="C524" s="106"/>
      <c r="D524" s="101"/>
      <c r="E524" s="107">
        <f>SUM(E501:E523)</f>
        <v>35</v>
      </c>
      <c r="F524" s="101"/>
      <c r="G524" s="103"/>
      <c r="H524" s="104"/>
    </row>
    <row r="525" spans="1:8" ht="15.75" customHeight="1">
      <c r="A525" s="16" t="s">
        <v>354</v>
      </c>
      <c r="B525" s="49" t="s">
        <v>654</v>
      </c>
      <c r="C525" s="33" t="s">
        <v>644</v>
      </c>
      <c r="D525" s="32" t="s">
        <v>110</v>
      </c>
      <c r="E525" s="32">
        <f>E542</f>
        <v>9</v>
      </c>
      <c r="F525" s="32"/>
      <c r="G525" s="17">
        <f>E525*F525</f>
        <v>0</v>
      </c>
      <c r="H525" s="17"/>
    </row>
    <row r="526" spans="1:8">
      <c r="A526" s="91"/>
      <c r="B526" s="134" t="s">
        <v>634</v>
      </c>
      <c r="C526" s="105"/>
      <c r="D526" s="93"/>
      <c r="E526" s="93"/>
      <c r="F526" s="93"/>
      <c r="G526" s="94"/>
      <c r="H526" s="95"/>
    </row>
    <row r="527" spans="1:8">
      <c r="A527" s="96"/>
      <c r="B527" s="133" t="s">
        <v>635</v>
      </c>
      <c r="C527" s="69"/>
      <c r="D527" s="67"/>
      <c r="E527" s="67">
        <v>1</v>
      </c>
      <c r="F527" s="67"/>
      <c r="G527" s="68"/>
      <c r="H527" s="97"/>
    </row>
    <row r="528" spans="1:8">
      <c r="A528" s="96"/>
      <c r="B528" s="135" t="s">
        <v>636</v>
      </c>
      <c r="C528" s="69"/>
      <c r="D528" s="67"/>
      <c r="E528" s="67"/>
      <c r="F528" s="67"/>
      <c r="G528" s="68"/>
      <c r="H528" s="97"/>
    </row>
    <row r="529" spans="1:8">
      <c r="A529" s="96"/>
      <c r="B529" s="133" t="s">
        <v>635</v>
      </c>
      <c r="C529" s="69"/>
      <c r="D529" s="67"/>
      <c r="E529" s="67">
        <v>1</v>
      </c>
      <c r="F529" s="67"/>
      <c r="G529" s="68"/>
      <c r="H529" s="97"/>
    </row>
    <row r="530" spans="1:8">
      <c r="A530" s="96"/>
      <c r="B530" s="135" t="s">
        <v>469</v>
      </c>
      <c r="C530" s="69"/>
      <c r="D530" s="67"/>
      <c r="E530" s="67"/>
      <c r="F530" s="67"/>
      <c r="G530" s="68"/>
      <c r="H530" s="97"/>
    </row>
    <row r="531" spans="1:8">
      <c r="A531" s="96"/>
      <c r="B531" s="133" t="s">
        <v>610</v>
      </c>
      <c r="C531" s="69"/>
      <c r="D531" s="67"/>
      <c r="E531" s="67">
        <v>2</v>
      </c>
      <c r="F531" s="67"/>
      <c r="G531" s="68"/>
      <c r="H531" s="97"/>
    </row>
    <row r="532" spans="1:8">
      <c r="A532" s="96"/>
      <c r="B532" s="135" t="s">
        <v>530</v>
      </c>
      <c r="C532" s="69"/>
      <c r="D532" s="67"/>
      <c r="E532" s="67"/>
      <c r="F532" s="67"/>
      <c r="G532" s="68"/>
      <c r="H532" s="97"/>
    </row>
    <row r="533" spans="1:8">
      <c r="A533" s="96"/>
      <c r="B533" s="133" t="s">
        <v>635</v>
      </c>
      <c r="C533" s="69"/>
      <c r="D533" s="67"/>
      <c r="E533" s="67">
        <v>1</v>
      </c>
      <c r="F533" s="67"/>
      <c r="G533" s="68"/>
      <c r="H533" s="97"/>
    </row>
    <row r="534" spans="1:8">
      <c r="A534" s="96"/>
      <c r="B534" s="135" t="s">
        <v>471</v>
      </c>
      <c r="C534" s="69"/>
      <c r="D534" s="67"/>
      <c r="E534" s="67"/>
      <c r="F534" s="67"/>
      <c r="G534" s="68"/>
      <c r="H534" s="97"/>
    </row>
    <row r="535" spans="1:8">
      <c r="A535" s="96"/>
      <c r="B535" s="133" t="s">
        <v>635</v>
      </c>
      <c r="C535" s="69"/>
      <c r="D535" s="67"/>
      <c r="E535" s="67">
        <v>1</v>
      </c>
      <c r="F535" s="67"/>
      <c r="G535" s="68"/>
      <c r="H535" s="97"/>
    </row>
    <row r="536" spans="1:8">
      <c r="A536" s="96"/>
      <c r="B536" s="135" t="s">
        <v>612</v>
      </c>
      <c r="C536" s="69"/>
      <c r="D536" s="67"/>
      <c r="E536" s="67"/>
      <c r="F536" s="67"/>
      <c r="G536" s="68"/>
      <c r="H536" s="97"/>
    </row>
    <row r="537" spans="1:8">
      <c r="A537" s="96"/>
      <c r="B537" s="133" t="s">
        <v>635</v>
      </c>
      <c r="C537" s="69"/>
      <c r="D537" s="67"/>
      <c r="E537" s="67">
        <v>1</v>
      </c>
      <c r="F537" s="67"/>
      <c r="G537" s="68"/>
      <c r="H537" s="97"/>
    </row>
    <row r="538" spans="1:8">
      <c r="A538" s="96"/>
      <c r="B538" s="135" t="s">
        <v>473</v>
      </c>
      <c r="C538" s="69"/>
      <c r="D538" s="67"/>
      <c r="E538" s="67"/>
      <c r="F538" s="67"/>
      <c r="G538" s="68"/>
      <c r="H538" s="97"/>
    </row>
    <row r="539" spans="1:8">
      <c r="A539" s="96"/>
      <c r="B539" s="133" t="s">
        <v>635</v>
      </c>
      <c r="C539" s="69"/>
      <c r="D539" s="67"/>
      <c r="E539" s="67">
        <v>1</v>
      </c>
      <c r="F539" s="67"/>
      <c r="G539" s="68"/>
      <c r="H539" s="97"/>
    </row>
    <row r="540" spans="1:8">
      <c r="A540" s="96"/>
      <c r="B540" s="135" t="s">
        <v>476</v>
      </c>
      <c r="C540" s="69"/>
      <c r="D540" s="67"/>
      <c r="E540" s="67"/>
      <c r="F540" s="67"/>
      <c r="G540" s="68"/>
      <c r="H540" s="97"/>
    </row>
    <row r="541" spans="1:8">
      <c r="A541" s="96"/>
      <c r="B541" s="133" t="s">
        <v>635</v>
      </c>
      <c r="C541" s="69"/>
      <c r="D541" s="67"/>
      <c r="E541" s="67">
        <v>1</v>
      </c>
      <c r="F541" s="67"/>
      <c r="G541" s="68"/>
      <c r="H541" s="97"/>
    </row>
    <row r="542" spans="1:8">
      <c r="A542" s="98"/>
      <c r="B542" s="99" t="s">
        <v>463</v>
      </c>
      <c r="C542" s="106"/>
      <c r="D542" s="101"/>
      <c r="E542" s="107">
        <f>SUM(E527:E541)</f>
        <v>9</v>
      </c>
      <c r="F542" s="101"/>
      <c r="G542" s="103"/>
      <c r="H542" s="104"/>
    </row>
    <row r="543" spans="1:8" ht="38.25">
      <c r="A543" s="16" t="s">
        <v>354</v>
      </c>
      <c r="B543" s="50" t="s">
        <v>706</v>
      </c>
      <c r="C543" s="33" t="s">
        <v>707</v>
      </c>
      <c r="D543" s="16" t="s">
        <v>65</v>
      </c>
      <c r="E543" s="32">
        <v>1</v>
      </c>
      <c r="F543" s="32"/>
      <c r="G543" s="17">
        <f>E543*F543</f>
        <v>0</v>
      </c>
      <c r="H543" s="17"/>
    </row>
    <row r="544" spans="1:8">
      <c r="A544" s="190" t="s">
        <v>111</v>
      </c>
      <c r="B544" s="190"/>
      <c r="C544" s="23"/>
      <c r="D544" s="23"/>
      <c r="E544" s="22"/>
      <c r="F544" s="22"/>
      <c r="G544" s="22">
        <f>SUM(G443:G543)</f>
        <v>0</v>
      </c>
      <c r="H544" s="17"/>
    </row>
    <row r="545" spans="1:8">
      <c r="A545" s="23" t="s">
        <v>95</v>
      </c>
      <c r="B545" s="18" t="s">
        <v>247</v>
      </c>
      <c r="C545" s="23"/>
      <c r="D545" s="23"/>
      <c r="E545" s="22"/>
      <c r="F545" s="22"/>
      <c r="G545" s="22"/>
      <c r="H545" s="17"/>
    </row>
    <row r="546" spans="1:8" ht="25.5">
      <c r="A546" s="16" t="s">
        <v>96</v>
      </c>
      <c r="B546" s="50" t="s">
        <v>248</v>
      </c>
      <c r="C546" s="16" t="s">
        <v>249</v>
      </c>
      <c r="D546" s="16" t="s">
        <v>65</v>
      </c>
      <c r="E546" s="17">
        <v>1</v>
      </c>
      <c r="F546" s="17"/>
      <c r="G546" s="17">
        <f>E546*F546</f>
        <v>0</v>
      </c>
      <c r="H546" s="17"/>
    </row>
    <row r="547" spans="1:8" ht="25.5">
      <c r="A547" s="16" t="s">
        <v>187</v>
      </c>
      <c r="B547" s="50" t="s">
        <v>250</v>
      </c>
      <c r="C547" s="16">
        <v>72337</v>
      </c>
      <c r="D547" s="16" t="s">
        <v>65</v>
      </c>
      <c r="E547" s="17">
        <v>6</v>
      </c>
      <c r="F547" s="17"/>
      <c r="G547" s="17">
        <f>E547*F547</f>
        <v>0</v>
      </c>
      <c r="H547" s="17"/>
    </row>
    <row r="548" spans="1:8" ht="25.5">
      <c r="A548" s="16" t="s">
        <v>355</v>
      </c>
      <c r="B548" s="26" t="s">
        <v>252</v>
      </c>
      <c r="C548" s="16">
        <v>40802</v>
      </c>
      <c r="D548" s="16" t="s">
        <v>81</v>
      </c>
      <c r="E548" s="17">
        <v>150</v>
      </c>
      <c r="F548" s="17"/>
      <c r="G548" s="17">
        <f>E548*F548</f>
        <v>0</v>
      </c>
      <c r="H548" s="17"/>
    </row>
    <row r="549" spans="1:8" ht="25.5">
      <c r="A549" s="16" t="s">
        <v>356</v>
      </c>
      <c r="B549" s="50" t="s">
        <v>251</v>
      </c>
      <c r="C549" s="16">
        <v>73690</v>
      </c>
      <c r="D549" s="16" t="s">
        <v>81</v>
      </c>
      <c r="E549" s="17">
        <v>150</v>
      </c>
      <c r="F549" s="17"/>
      <c r="G549" s="17">
        <f>E549*F549</f>
        <v>0</v>
      </c>
      <c r="H549" s="17"/>
    </row>
    <row r="550" spans="1:8">
      <c r="A550" s="190" t="s">
        <v>111</v>
      </c>
      <c r="B550" s="190"/>
      <c r="C550" s="23"/>
      <c r="D550" s="23"/>
      <c r="E550" s="22"/>
      <c r="F550" s="22"/>
      <c r="G550" s="22">
        <f>SUM(G546:G549)</f>
        <v>0</v>
      </c>
      <c r="H550" s="17"/>
    </row>
    <row r="551" spans="1:8">
      <c r="A551" s="23" t="s">
        <v>357</v>
      </c>
      <c r="B551" s="57" t="s">
        <v>373</v>
      </c>
      <c r="C551" s="16"/>
      <c r="D551" s="16"/>
      <c r="E551" s="17"/>
      <c r="F551" s="17"/>
      <c r="G551" s="17"/>
      <c r="H551" s="17"/>
    </row>
    <row r="552" spans="1:8" ht="15.75" customHeight="1">
      <c r="A552" s="16" t="s">
        <v>358</v>
      </c>
      <c r="B552" s="25" t="s">
        <v>658</v>
      </c>
      <c r="C552" s="150" t="s">
        <v>656</v>
      </c>
      <c r="D552" s="16" t="s">
        <v>65</v>
      </c>
      <c r="E552" s="17">
        <f>E565</f>
        <v>6</v>
      </c>
      <c r="F552" s="17"/>
      <c r="G552" s="17">
        <f>E552*F552</f>
        <v>0</v>
      </c>
      <c r="H552" s="17"/>
    </row>
    <row r="553" spans="1:8" ht="15.75" customHeight="1">
      <c r="A553" s="91"/>
      <c r="B553" s="134" t="s">
        <v>634</v>
      </c>
      <c r="C553" s="105"/>
      <c r="D553" s="93"/>
      <c r="E553" s="93"/>
      <c r="F553" s="93"/>
      <c r="G553" s="94"/>
      <c r="H553" s="95"/>
    </row>
    <row r="554" spans="1:8" ht="15.75" customHeight="1">
      <c r="A554" s="96"/>
      <c r="B554" s="133" t="s">
        <v>635</v>
      </c>
      <c r="C554" s="69"/>
      <c r="D554" s="67"/>
      <c r="E554" s="67">
        <v>1</v>
      </c>
      <c r="F554" s="67"/>
      <c r="G554" s="68"/>
      <c r="H554" s="97"/>
    </row>
    <row r="555" spans="1:8" ht="15.75" customHeight="1">
      <c r="A555" s="96"/>
      <c r="B555" s="135" t="s">
        <v>636</v>
      </c>
      <c r="C555" s="69"/>
      <c r="D555" s="67"/>
      <c r="E555" s="67"/>
      <c r="F555" s="67"/>
      <c r="G555" s="68"/>
      <c r="H555" s="97"/>
    </row>
    <row r="556" spans="1:8" ht="15.75" customHeight="1">
      <c r="A556" s="96"/>
      <c r="B556" s="133" t="s">
        <v>635</v>
      </c>
      <c r="C556" s="69"/>
      <c r="D556" s="67"/>
      <c r="E556" s="67">
        <v>1</v>
      </c>
      <c r="F556" s="67"/>
      <c r="G556" s="68"/>
      <c r="H556" s="97"/>
    </row>
    <row r="557" spans="1:8" ht="15.75" customHeight="1">
      <c r="A557" s="96"/>
      <c r="B557" s="135" t="s">
        <v>530</v>
      </c>
      <c r="C557" s="69"/>
      <c r="D557" s="67"/>
      <c r="E557" s="67"/>
      <c r="F557" s="67"/>
      <c r="G557" s="68"/>
      <c r="H557" s="97"/>
    </row>
    <row r="558" spans="1:8" ht="15.75" customHeight="1">
      <c r="A558" s="96"/>
      <c r="B558" s="133" t="s">
        <v>635</v>
      </c>
      <c r="C558" s="69"/>
      <c r="D558" s="67"/>
      <c r="E558" s="67">
        <v>1</v>
      </c>
      <c r="F558" s="67"/>
      <c r="G558" s="68"/>
      <c r="H558" s="97"/>
    </row>
    <row r="559" spans="1:8" ht="15.75" customHeight="1">
      <c r="A559" s="96"/>
      <c r="B559" s="135" t="s">
        <v>471</v>
      </c>
      <c r="C559" s="69"/>
      <c r="D559" s="67"/>
      <c r="E559" s="67"/>
      <c r="F559" s="67"/>
      <c r="G559" s="68"/>
      <c r="H559" s="97"/>
    </row>
    <row r="560" spans="1:8" ht="15.75" customHeight="1">
      <c r="A560" s="96"/>
      <c r="B560" s="133" t="s">
        <v>635</v>
      </c>
      <c r="C560" s="69"/>
      <c r="D560" s="67"/>
      <c r="E560" s="67">
        <v>1</v>
      </c>
      <c r="F560" s="67"/>
      <c r="G560" s="68"/>
      <c r="H560" s="97"/>
    </row>
    <row r="561" spans="1:8" ht="15.75" customHeight="1">
      <c r="A561" s="96"/>
      <c r="B561" s="135" t="s">
        <v>612</v>
      </c>
      <c r="C561" s="69"/>
      <c r="D561" s="67"/>
      <c r="E561" s="67"/>
      <c r="F561" s="67"/>
      <c r="G561" s="68"/>
      <c r="H561" s="97"/>
    </row>
    <row r="562" spans="1:8" ht="15.75" customHeight="1">
      <c r="A562" s="96"/>
      <c r="B562" s="133" t="s">
        <v>635</v>
      </c>
      <c r="C562" s="69"/>
      <c r="D562" s="67"/>
      <c r="E562" s="67">
        <v>1</v>
      </c>
      <c r="F562" s="67"/>
      <c r="G562" s="68"/>
      <c r="H562" s="97"/>
    </row>
    <row r="563" spans="1:8" ht="15.75" customHeight="1">
      <c r="A563" s="96"/>
      <c r="B563" s="135" t="s">
        <v>655</v>
      </c>
      <c r="C563" s="69"/>
      <c r="D563" s="67"/>
      <c r="E563" s="67"/>
      <c r="F563" s="67"/>
      <c r="G563" s="68"/>
      <c r="H563" s="97"/>
    </row>
    <row r="564" spans="1:8" ht="15.75" customHeight="1">
      <c r="A564" s="96"/>
      <c r="B564" s="133" t="s">
        <v>635</v>
      </c>
      <c r="C564" s="69"/>
      <c r="D564" s="67"/>
      <c r="E564" s="67">
        <v>1</v>
      </c>
      <c r="F564" s="67"/>
      <c r="G564" s="68"/>
      <c r="H564" s="97"/>
    </row>
    <row r="565" spans="1:8" ht="15.75" customHeight="1">
      <c r="A565" s="98"/>
      <c r="B565" s="99" t="s">
        <v>463</v>
      </c>
      <c r="C565" s="106"/>
      <c r="D565" s="101"/>
      <c r="E565" s="107">
        <f>SUM(E554:E564)</f>
        <v>6</v>
      </c>
      <c r="F565" s="101"/>
      <c r="G565" s="103"/>
      <c r="H565" s="104"/>
    </row>
    <row r="566" spans="1:8" ht="15.75" customHeight="1">
      <c r="A566" s="16" t="s">
        <v>359</v>
      </c>
      <c r="B566" s="25" t="s">
        <v>659</v>
      </c>
      <c r="C566" s="150" t="s">
        <v>657</v>
      </c>
      <c r="D566" s="16" t="s">
        <v>65</v>
      </c>
      <c r="E566" s="17">
        <f>E573</f>
        <v>4</v>
      </c>
      <c r="F566" s="17"/>
      <c r="G566" s="17">
        <f>E566*F566</f>
        <v>0</v>
      </c>
      <c r="H566" s="17"/>
    </row>
    <row r="567" spans="1:8" ht="15.75" customHeight="1">
      <c r="A567" s="91"/>
      <c r="B567" s="134" t="s">
        <v>469</v>
      </c>
      <c r="C567" s="105"/>
      <c r="D567" s="93"/>
      <c r="E567" s="93"/>
      <c r="F567" s="93"/>
      <c r="G567" s="94"/>
      <c r="H567" s="95"/>
    </row>
    <row r="568" spans="1:8" ht="15.75" customHeight="1">
      <c r="A568" s="96"/>
      <c r="B568" s="133" t="s">
        <v>610</v>
      </c>
      <c r="C568" s="69"/>
      <c r="D568" s="67"/>
      <c r="E568" s="67">
        <v>2</v>
      </c>
      <c r="F568" s="67"/>
      <c r="G568" s="68"/>
      <c r="H568" s="97"/>
    </row>
    <row r="569" spans="1:8">
      <c r="A569" s="96"/>
      <c r="B569" s="135" t="s">
        <v>476</v>
      </c>
      <c r="C569" s="69"/>
      <c r="D569" s="67"/>
      <c r="E569" s="67"/>
      <c r="F569" s="67"/>
      <c r="G569" s="68"/>
      <c r="H569" s="97"/>
    </row>
    <row r="570" spans="1:8">
      <c r="A570" s="96"/>
      <c r="B570" s="133" t="s">
        <v>611</v>
      </c>
      <c r="C570" s="69"/>
      <c r="D570" s="67"/>
      <c r="E570" s="67">
        <v>1</v>
      </c>
      <c r="F570" s="67"/>
      <c r="G570" s="68"/>
      <c r="H570" s="97"/>
    </row>
    <row r="571" spans="1:8" ht="15.75" customHeight="1">
      <c r="A571" s="96"/>
      <c r="B571" s="135" t="s">
        <v>636</v>
      </c>
      <c r="C571" s="69"/>
      <c r="D571" s="67"/>
      <c r="E571" s="67"/>
      <c r="F571" s="67"/>
      <c r="G571" s="68"/>
      <c r="H571" s="97"/>
    </row>
    <row r="572" spans="1:8" ht="15.75" customHeight="1">
      <c r="A572" s="98"/>
      <c r="B572" s="136" t="s">
        <v>635</v>
      </c>
      <c r="C572" s="106"/>
      <c r="D572" s="101"/>
      <c r="E572" s="101">
        <v>1</v>
      </c>
      <c r="F572" s="101"/>
      <c r="G572" s="103"/>
      <c r="H572" s="104"/>
    </row>
    <row r="573" spans="1:8">
      <c r="A573" s="16"/>
      <c r="B573" s="24" t="s">
        <v>463</v>
      </c>
      <c r="C573" s="33"/>
      <c r="D573" s="32"/>
      <c r="E573" s="40">
        <f>SUM(E568:E572)</f>
        <v>4</v>
      </c>
      <c r="F573" s="32"/>
      <c r="G573" s="17"/>
      <c r="H573" s="17"/>
    </row>
    <row r="574" spans="1:8" ht="15.75" customHeight="1">
      <c r="A574" s="16" t="s">
        <v>360</v>
      </c>
      <c r="B574" s="25" t="s">
        <v>660</v>
      </c>
      <c r="C574" s="151" t="s">
        <v>661</v>
      </c>
      <c r="D574" s="16" t="s">
        <v>65</v>
      </c>
      <c r="E574" s="17">
        <f>E577</f>
        <v>1</v>
      </c>
      <c r="F574" s="17"/>
      <c r="G574" s="17">
        <f>E574*F574</f>
        <v>0</v>
      </c>
      <c r="H574" s="17"/>
    </row>
    <row r="575" spans="1:8" ht="15.75" customHeight="1">
      <c r="A575" s="91"/>
      <c r="B575" s="134" t="s">
        <v>473</v>
      </c>
      <c r="C575" s="105"/>
      <c r="D575" s="93"/>
      <c r="E575" s="93"/>
      <c r="F575" s="93"/>
      <c r="G575" s="94"/>
      <c r="H575" s="95"/>
    </row>
    <row r="576" spans="1:8" ht="15.75" customHeight="1">
      <c r="A576" s="96"/>
      <c r="B576" s="133" t="s">
        <v>635</v>
      </c>
      <c r="C576" s="69"/>
      <c r="D576" s="67"/>
      <c r="E576" s="67">
        <v>1</v>
      </c>
      <c r="F576" s="67"/>
      <c r="G576" s="68"/>
      <c r="H576" s="97"/>
    </row>
    <row r="577" spans="1:8">
      <c r="A577" s="98"/>
      <c r="B577" s="99" t="s">
        <v>463</v>
      </c>
      <c r="C577" s="106"/>
      <c r="D577" s="101"/>
      <c r="E577" s="107">
        <f>SUM(E576)</f>
        <v>1</v>
      </c>
      <c r="F577" s="101"/>
      <c r="G577" s="103"/>
      <c r="H577" s="104"/>
    </row>
    <row r="578" spans="1:8" ht="12.75" customHeight="1">
      <c r="A578" s="190" t="s">
        <v>111</v>
      </c>
      <c r="B578" s="190"/>
      <c r="C578" s="23"/>
      <c r="D578" s="23"/>
      <c r="E578" s="22"/>
      <c r="F578" s="22"/>
      <c r="G578" s="22">
        <f>SUM(G552:G574)</f>
        <v>0</v>
      </c>
      <c r="H578" s="17"/>
    </row>
    <row r="579" spans="1:8">
      <c r="A579" s="23" t="s">
        <v>361</v>
      </c>
      <c r="B579" s="18" t="s">
        <v>112</v>
      </c>
      <c r="C579" s="23"/>
      <c r="D579" s="16"/>
      <c r="E579" s="17"/>
      <c r="F579" s="17"/>
      <c r="G579" s="17"/>
      <c r="H579" s="17"/>
    </row>
    <row r="580" spans="1:8">
      <c r="A580" s="16" t="s">
        <v>362</v>
      </c>
      <c r="B580" s="19" t="s">
        <v>687</v>
      </c>
      <c r="C580" s="16"/>
      <c r="D580" s="16"/>
      <c r="E580" s="17"/>
      <c r="F580" s="17"/>
      <c r="G580" s="17"/>
      <c r="H580" s="17"/>
    </row>
    <row r="581" spans="1:8" ht="25.5">
      <c r="A581" s="16" t="s">
        <v>387</v>
      </c>
      <c r="B581" s="50" t="s">
        <v>254</v>
      </c>
      <c r="C581" s="16" t="s">
        <v>253</v>
      </c>
      <c r="D581" s="16" t="s">
        <v>81</v>
      </c>
      <c r="E581" s="17">
        <v>250</v>
      </c>
      <c r="F581" s="17"/>
      <c r="G581" s="17">
        <f>E581*F581</f>
        <v>0</v>
      </c>
      <c r="H581" s="17"/>
    </row>
    <row r="582" spans="1:8" ht="25.5">
      <c r="A582" s="16" t="s">
        <v>388</v>
      </c>
      <c r="B582" s="50" t="s">
        <v>255</v>
      </c>
      <c r="C582" s="16" t="s">
        <v>256</v>
      </c>
      <c r="D582" s="16" t="s">
        <v>81</v>
      </c>
      <c r="E582" s="17">
        <v>150</v>
      </c>
      <c r="F582" s="17"/>
      <c r="G582" s="17">
        <f>E582*F582</f>
        <v>0</v>
      </c>
      <c r="H582" s="17"/>
    </row>
    <row r="583" spans="1:8" ht="25.5">
      <c r="A583" s="16" t="s">
        <v>389</v>
      </c>
      <c r="B583" s="50" t="s">
        <v>258</v>
      </c>
      <c r="C583" s="16" t="s">
        <v>257</v>
      </c>
      <c r="D583" s="16" t="s">
        <v>81</v>
      </c>
      <c r="E583" s="17">
        <v>50</v>
      </c>
      <c r="F583" s="17"/>
      <c r="G583" s="17">
        <f>E583*F583</f>
        <v>0</v>
      </c>
      <c r="H583" s="17"/>
    </row>
    <row r="584" spans="1:8" ht="38.25">
      <c r="A584" s="16" t="s">
        <v>390</v>
      </c>
      <c r="B584" s="28" t="s">
        <v>160</v>
      </c>
      <c r="C584" s="16" t="s">
        <v>159</v>
      </c>
      <c r="D584" s="16" t="s">
        <v>65</v>
      </c>
      <c r="E584" s="17">
        <f>E593</f>
        <v>5</v>
      </c>
      <c r="F584" s="17"/>
      <c r="G584" s="17">
        <f>E584*F584</f>
        <v>0</v>
      </c>
      <c r="H584" s="17"/>
    </row>
    <row r="585" spans="1:8">
      <c r="A585" s="91"/>
      <c r="B585" s="134" t="s">
        <v>478</v>
      </c>
      <c r="C585" s="105"/>
      <c r="D585" s="93"/>
      <c r="E585" s="93"/>
      <c r="F585" s="93"/>
      <c r="G585" s="94"/>
      <c r="H585" s="95"/>
    </row>
    <row r="586" spans="1:8">
      <c r="A586" s="96"/>
      <c r="B586" s="133" t="s">
        <v>640</v>
      </c>
      <c r="C586" s="69"/>
      <c r="D586" s="67"/>
      <c r="E586" s="67">
        <v>2</v>
      </c>
      <c r="F586" s="67"/>
      <c r="G586" s="68"/>
      <c r="H586" s="97"/>
    </row>
    <row r="587" spans="1:8">
      <c r="A587" s="96"/>
      <c r="B587" s="133" t="s">
        <v>486</v>
      </c>
      <c r="C587" s="69"/>
      <c r="D587" s="67"/>
      <c r="E587" s="67"/>
      <c r="F587" s="67"/>
      <c r="G587" s="68"/>
      <c r="H587" s="97"/>
    </row>
    <row r="588" spans="1:8">
      <c r="A588" s="96"/>
      <c r="B588" s="133" t="s">
        <v>635</v>
      </c>
      <c r="C588" s="69"/>
      <c r="D588" s="67"/>
      <c r="E588" s="67">
        <v>1</v>
      </c>
      <c r="F588" s="67"/>
      <c r="G588" s="68"/>
      <c r="H588" s="97"/>
    </row>
    <row r="589" spans="1:8">
      <c r="A589" s="96"/>
      <c r="B589" s="135" t="s">
        <v>470</v>
      </c>
      <c r="C589" s="69"/>
      <c r="D589" s="67"/>
      <c r="E589" s="67"/>
      <c r="F589" s="67"/>
      <c r="G589" s="68"/>
      <c r="H589" s="97"/>
    </row>
    <row r="590" spans="1:8">
      <c r="A590" s="96"/>
      <c r="B590" s="133" t="s">
        <v>635</v>
      </c>
      <c r="C590" s="69"/>
      <c r="D590" s="67"/>
      <c r="E590" s="67">
        <v>1</v>
      </c>
      <c r="F590" s="67"/>
      <c r="G590" s="68"/>
      <c r="H590" s="97"/>
    </row>
    <row r="591" spans="1:8">
      <c r="A591" s="96"/>
      <c r="B591" s="135" t="s">
        <v>476</v>
      </c>
      <c r="C591" s="69"/>
      <c r="D591" s="67"/>
      <c r="E591" s="67"/>
      <c r="F591" s="67"/>
      <c r="G591" s="68"/>
      <c r="H591" s="97"/>
    </row>
    <row r="592" spans="1:8">
      <c r="A592" s="96"/>
      <c r="B592" s="133" t="s">
        <v>635</v>
      </c>
      <c r="C592" s="69"/>
      <c r="D592" s="67"/>
      <c r="E592" s="67">
        <v>1</v>
      </c>
      <c r="F592" s="67"/>
      <c r="G592" s="68"/>
      <c r="H592" s="97"/>
    </row>
    <row r="593" spans="1:8">
      <c r="A593" s="98"/>
      <c r="B593" s="99" t="s">
        <v>463</v>
      </c>
      <c r="C593" s="106"/>
      <c r="D593" s="101"/>
      <c r="E593" s="107">
        <f>SUM(E585:E592)</f>
        <v>5</v>
      </c>
      <c r="F593" s="101"/>
      <c r="G593" s="103"/>
      <c r="H593" s="104"/>
    </row>
    <row r="594" spans="1:8" ht="31.5" customHeight="1">
      <c r="A594" s="16" t="s">
        <v>391</v>
      </c>
      <c r="B594" s="28" t="s">
        <v>161</v>
      </c>
      <c r="C594" s="16" t="s">
        <v>159</v>
      </c>
      <c r="D594" s="16" t="s">
        <v>65</v>
      </c>
      <c r="E594" s="17">
        <f>E603</f>
        <v>6</v>
      </c>
      <c r="F594" s="17"/>
      <c r="G594" s="17">
        <f>E594*F594</f>
        <v>0</v>
      </c>
      <c r="H594" s="17"/>
    </row>
    <row r="595" spans="1:8">
      <c r="A595" s="91"/>
      <c r="B595" s="146" t="s">
        <v>479</v>
      </c>
      <c r="C595" s="105"/>
      <c r="D595" s="93"/>
      <c r="E595" s="93"/>
      <c r="F595" s="93"/>
      <c r="G595" s="94"/>
      <c r="H595" s="95"/>
    </row>
    <row r="596" spans="1:8">
      <c r="A596" s="96"/>
      <c r="B596" s="133" t="s">
        <v>640</v>
      </c>
      <c r="C596" s="69"/>
      <c r="D596" s="67"/>
      <c r="E596" s="67">
        <v>2</v>
      </c>
      <c r="F596" s="67"/>
      <c r="G596" s="68"/>
      <c r="H596" s="97"/>
    </row>
    <row r="597" spans="1:8">
      <c r="A597" s="96"/>
      <c r="B597" s="133" t="s">
        <v>485</v>
      </c>
      <c r="C597" s="69"/>
      <c r="D597" s="67"/>
      <c r="E597" s="67"/>
      <c r="F597" s="67"/>
      <c r="G597" s="68"/>
      <c r="H597" s="97"/>
    </row>
    <row r="598" spans="1:8">
      <c r="A598" s="96"/>
      <c r="B598" s="133" t="s">
        <v>640</v>
      </c>
      <c r="C598" s="69"/>
      <c r="D598" s="67"/>
      <c r="E598" s="67">
        <v>2</v>
      </c>
      <c r="F598" s="67"/>
      <c r="G598" s="68"/>
      <c r="H598" s="97"/>
    </row>
    <row r="599" spans="1:8">
      <c r="A599" s="96"/>
      <c r="B599" s="135" t="s">
        <v>597</v>
      </c>
      <c r="C599" s="69"/>
      <c r="D599" s="67"/>
      <c r="E599" s="67"/>
      <c r="F599" s="67"/>
      <c r="G599" s="68"/>
      <c r="H599" s="97"/>
    </row>
    <row r="600" spans="1:8">
      <c r="A600" s="96"/>
      <c r="B600" s="133" t="s">
        <v>635</v>
      </c>
      <c r="C600" s="69"/>
      <c r="D600" s="67"/>
      <c r="E600" s="67">
        <v>1</v>
      </c>
      <c r="F600" s="67"/>
      <c r="G600" s="68"/>
      <c r="H600" s="97"/>
    </row>
    <row r="601" spans="1:8">
      <c r="A601" s="96"/>
      <c r="B601" s="135" t="s">
        <v>476</v>
      </c>
      <c r="C601" s="69"/>
      <c r="D601" s="67"/>
      <c r="E601" s="67"/>
      <c r="F601" s="67"/>
      <c r="G601" s="68"/>
      <c r="H601" s="97"/>
    </row>
    <row r="602" spans="1:8">
      <c r="A602" s="96"/>
      <c r="B602" s="133" t="s">
        <v>635</v>
      </c>
      <c r="C602" s="69"/>
      <c r="D602" s="67"/>
      <c r="E602" s="67">
        <v>1</v>
      </c>
      <c r="F602" s="67"/>
      <c r="G602" s="68"/>
      <c r="H602" s="97"/>
    </row>
    <row r="603" spans="1:8">
      <c r="A603" s="98"/>
      <c r="B603" s="99" t="s">
        <v>463</v>
      </c>
      <c r="C603" s="106"/>
      <c r="D603" s="101"/>
      <c r="E603" s="107">
        <f>SUM(E596:E602)</f>
        <v>6</v>
      </c>
      <c r="F603" s="101"/>
      <c r="G603" s="103"/>
      <c r="H603" s="104"/>
    </row>
    <row r="604" spans="1:8" ht="38.25">
      <c r="A604" s="16" t="s">
        <v>392</v>
      </c>
      <c r="B604" s="25" t="s">
        <v>163</v>
      </c>
      <c r="C604" s="16" t="s">
        <v>162</v>
      </c>
      <c r="D604" s="16" t="s">
        <v>110</v>
      </c>
      <c r="E604" s="17">
        <f>E619</f>
        <v>16</v>
      </c>
      <c r="F604" s="17"/>
      <c r="G604" s="17">
        <f>E604*F604</f>
        <v>0</v>
      </c>
      <c r="H604" s="17"/>
    </row>
    <row r="605" spans="1:8">
      <c r="A605" s="91"/>
      <c r="B605" s="146" t="s">
        <v>479</v>
      </c>
      <c r="C605" s="105"/>
      <c r="D605" s="93"/>
      <c r="E605" s="93"/>
      <c r="F605" s="93"/>
      <c r="G605" s="94"/>
      <c r="H605" s="95"/>
    </row>
    <row r="606" spans="1:8">
      <c r="A606" s="96"/>
      <c r="B606" s="133" t="s">
        <v>662</v>
      </c>
      <c r="C606" s="69"/>
      <c r="D606" s="67"/>
      <c r="E606" s="67">
        <v>4</v>
      </c>
      <c r="F606" s="67"/>
      <c r="G606" s="68"/>
      <c r="H606" s="97"/>
    </row>
    <row r="607" spans="1:8">
      <c r="A607" s="96"/>
      <c r="B607" s="133" t="s">
        <v>485</v>
      </c>
      <c r="C607" s="69"/>
      <c r="D607" s="67"/>
      <c r="E607" s="67"/>
      <c r="F607" s="67"/>
      <c r="G607" s="68"/>
      <c r="H607" s="97"/>
    </row>
    <row r="608" spans="1:8">
      <c r="A608" s="96"/>
      <c r="B608" s="133" t="s">
        <v>662</v>
      </c>
      <c r="C608" s="69"/>
      <c r="D608" s="67"/>
      <c r="E608" s="67">
        <v>4</v>
      </c>
      <c r="F608" s="67"/>
      <c r="G608" s="68"/>
      <c r="H608" s="97"/>
    </row>
    <row r="609" spans="1:8">
      <c r="A609" s="96"/>
      <c r="B609" s="135" t="s">
        <v>470</v>
      </c>
      <c r="C609" s="69"/>
      <c r="D609" s="67"/>
      <c r="E609" s="67"/>
      <c r="F609" s="67"/>
      <c r="G609" s="68"/>
      <c r="H609" s="97"/>
    </row>
    <row r="610" spans="1:8">
      <c r="A610" s="96"/>
      <c r="B610" s="133" t="s">
        <v>635</v>
      </c>
      <c r="C610" s="69"/>
      <c r="D610" s="67"/>
      <c r="E610" s="67">
        <v>1</v>
      </c>
      <c r="F610" s="67"/>
      <c r="G610" s="68"/>
      <c r="H610" s="97"/>
    </row>
    <row r="611" spans="1:8">
      <c r="A611" s="96"/>
      <c r="B611" s="133" t="s">
        <v>486</v>
      </c>
      <c r="C611" s="69"/>
      <c r="D611" s="67"/>
      <c r="E611" s="67"/>
      <c r="F611" s="67"/>
      <c r="G611" s="68"/>
      <c r="H611" s="97"/>
    </row>
    <row r="612" spans="1:8">
      <c r="A612" s="96"/>
      <c r="B612" s="133" t="s">
        <v>635</v>
      </c>
      <c r="C612" s="69"/>
      <c r="D612" s="67"/>
      <c r="E612" s="67">
        <v>1</v>
      </c>
      <c r="F612" s="67"/>
      <c r="G612" s="68"/>
      <c r="H612" s="97"/>
    </row>
    <row r="613" spans="1:8">
      <c r="A613" s="96"/>
      <c r="B613" s="135" t="s">
        <v>478</v>
      </c>
      <c r="C613" s="69"/>
      <c r="D613" s="67"/>
      <c r="E613" s="67"/>
      <c r="F613" s="67"/>
      <c r="G613" s="68"/>
      <c r="H613" s="97"/>
    </row>
    <row r="614" spans="1:8">
      <c r="A614" s="96"/>
      <c r="B614" s="133" t="s">
        <v>640</v>
      </c>
      <c r="C614" s="69"/>
      <c r="D614" s="67"/>
      <c r="E614" s="67">
        <v>2</v>
      </c>
      <c r="F614" s="67"/>
      <c r="G614" s="68"/>
      <c r="H614" s="97"/>
    </row>
    <row r="615" spans="1:8">
      <c r="A615" s="96"/>
      <c r="B615" s="135" t="s">
        <v>597</v>
      </c>
      <c r="C615" s="69"/>
      <c r="D615" s="67"/>
      <c r="E615" s="67"/>
      <c r="F615" s="67"/>
      <c r="G615" s="68"/>
      <c r="H615" s="97"/>
    </row>
    <row r="616" spans="1:8">
      <c r="A616" s="96"/>
      <c r="B616" s="133" t="s">
        <v>640</v>
      </c>
      <c r="C616" s="69"/>
      <c r="D616" s="67"/>
      <c r="E616" s="67">
        <v>2</v>
      </c>
      <c r="F616" s="67"/>
      <c r="G616" s="68"/>
      <c r="H616" s="97"/>
    </row>
    <row r="617" spans="1:8">
      <c r="A617" s="96"/>
      <c r="B617" s="135" t="s">
        <v>476</v>
      </c>
      <c r="C617" s="69"/>
      <c r="D617" s="67"/>
      <c r="E617" s="67"/>
      <c r="F617" s="67"/>
      <c r="G617" s="68"/>
      <c r="H617" s="97"/>
    </row>
    <row r="618" spans="1:8">
      <c r="A618" s="96"/>
      <c r="B618" s="133" t="s">
        <v>640</v>
      </c>
      <c r="C618" s="69"/>
      <c r="D618" s="67"/>
      <c r="E618" s="67">
        <v>2</v>
      </c>
      <c r="F618" s="67"/>
      <c r="G618" s="68"/>
      <c r="H618" s="97"/>
    </row>
    <row r="619" spans="1:8">
      <c r="A619" s="98"/>
      <c r="B619" s="99" t="s">
        <v>463</v>
      </c>
      <c r="C619" s="106"/>
      <c r="D619" s="101"/>
      <c r="E619" s="107">
        <f>SUM(E606:E618)</f>
        <v>16</v>
      </c>
      <c r="F619" s="101"/>
      <c r="G619" s="103"/>
      <c r="H619" s="104"/>
    </row>
    <row r="620" spans="1:8">
      <c r="A620" s="16" t="s">
        <v>393</v>
      </c>
      <c r="B620" s="27" t="s">
        <v>266</v>
      </c>
      <c r="C620" s="16">
        <v>9535</v>
      </c>
      <c r="D620" s="16" t="s">
        <v>65</v>
      </c>
      <c r="E620" s="17">
        <f>E625</f>
        <v>2</v>
      </c>
      <c r="F620" s="17"/>
      <c r="G620" s="17">
        <f>E620*F620</f>
        <v>0</v>
      </c>
      <c r="H620" s="17"/>
    </row>
    <row r="621" spans="1:8">
      <c r="A621" s="91"/>
      <c r="B621" s="146" t="s">
        <v>479</v>
      </c>
      <c r="C621" s="105"/>
      <c r="D621" s="93"/>
      <c r="E621" s="93"/>
      <c r="F621" s="93"/>
      <c r="G621" s="94"/>
      <c r="H621" s="95"/>
    </row>
    <row r="622" spans="1:8">
      <c r="A622" s="96"/>
      <c r="B622" s="133" t="s">
        <v>635</v>
      </c>
      <c r="C622" s="69"/>
      <c r="D622" s="67"/>
      <c r="E622" s="67">
        <v>1</v>
      </c>
      <c r="F622" s="67"/>
      <c r="G622" s="68"/>
      <c r="H622" s="97"/>
    </row>
    <row r="623" spans="1:8">
      <c r="A623" s="96"/>
      <c r="B623" s="133" t="s">
        <v>485</v>
      </c>
      <c r="C623" s="69"/>
      <c r="D623" s="67"/>
      <c r="E623" s="67"/>
      <c r="F623" s="67"/>
      <c r="G623" s="68"/>
      <c r="H623" s="97"/>
    </row>
    <row r="624" spans="1:8">
      <c r="A624" s="96"/>
      <c r="B624" s="133" t="s">
        <v>635</v>
      </c>
      <c r="C624" s="69"/>
      <c r="D624" s="67"/>
      <c r="E624" s="67">
        <v>1</v>
      </c>
      <c r="F624" s="67"/>
      <c r="G624" s="68"/>
      <c r="H624" s="97"/>
    </row>
    <row r="625" spans="1:8">
      <c r="A625" s="98"/>
      <c r="B625" s="99" t="s">
        <v>463</v>
      </c>
      <c r="C625" s="106"/>
      <c r="D625" s="101"/>
      <c r="E625" s="107">
        <f>SUM(E622:E624)</f>
        <v>2</v>
      </c>
      <c r="F625" s="101"/>
      <c r="G625" s="103"/>
      <c r="H625" s="104"/>
    </row>
    <row r="626" spans="1:8" ht="12.75" customHeight="1">
      <c r="A626" s="16" t="s">
        <v>394</v>
      </c>
      <c r="B626" s="19" t="s">
        <v>113</v>
      </c>
      <c r="C626" s="16"/>
      <c r="D626" s="16"/>
      <c r="E626" s="17"/>
      <c r="F626" s="17"/>
      <c r="G626" s="17"/>
      <c r="H626" s="17"/>
    </row>
    <row r="627" spans="1:8" ht="25.5">
      <c r="A627" s="16" t="s">
        <v>395</v>
      </c>
      <c r="B627" s="26" t="s">
        <v>165</v>
      </c>
      <c r="C627" s="16" t="s">
        <v>164</v>
      </c>
      <c r="D627" s="16" t="s">
        <v>65</v>
      </c>
      <c r="E627" s="17">
        <f>E636</f>
        <v>6</v>
      </c>
      <c r="F627" s="17"/>
      <c r="G627" s="17">
        <f>E627*F627</f>
        <v>0</v>
      </c>
      <c r="H627" s="17"/>
    </row>
    <row r="628" spans="1:8">
      <c r="A628" s="91"/>
      <c r="B628" s="146" t="s">
        <v>479</v>
      </c>
      <c r="C628" s="105"/>
      <c r="D628" s="93"/>
      <c r="E628" s="93"/>
      <c r="F628" s="93"/>
      <c r="G628" s="94"/>
      <c r="H628" s="95"/>
    </row>
    <row r="629" spans="1:8">
      <c r="A629" s="96"/>
      <c r="B629" s="133" t="s">
        <v>640</v>
      </c>
      <c r="C629" s="69"/>
      <c r="D629" s="67"/>
      <c r="E629" s="67">
        <v>2</v>
      </c>
      <c r="F629" s="67"/>
      <c r="G629" s="68"/>
      <c r="H629" s="97"/>
    </row>
    <row r="630" spans="1:8">
      <c r="A630" s="96"/>
      <c r="B630" s="133" t="s">
        <v>485</v>
      </c>
      <c r="C630" s="69"/>
      <c r="D630" s="67"/>
      <c r="E630" s="67"/>
      <c r="F630" s="67"/>
      <c r="G630" s="68"/>
      <c r="H630" s="97"/>
    </row>
    <row r="631" spans="1:8">
      <c r="A631" s="96"/>
      <c r="B631" s="133" t="s">
        <v>640</v>
      </c>
      <c r="C631" s="69"/>
      <c r="D631" s="67"/>
      <c r="E631" s="67">
        <v>2</v>
      </c>
      <c r="F631" s="67"/>
      <c r="G631" s="68"/>
      <c r="H631" s="97"/>
    </row>
    <row r="632" spans="1:8">
      <c r="A632" s="96"/>
      <c r="B632" s="135" t="s">
        <v>597</v>
      </c>
      <c r="C632" s="69"/>
      <c r="D632" s="67"/>
      <c r="E632" s="67"/>
      <c r="F632" s="67"/>
      <c r="G632" s="68"/>
      <c r="H632" s="97"/>
    </row>
    <row r="633" spans="1:8">
      <c r="A633" s="96"/>
      <c r="B633" s="133" t="s">
        <v>635</v>
      </c>
      <c r="C633" s="69"/>
      <c r="D633" s="67"/>
      <c r="E633" s="67">
        <v>1</v>
      </c>
      <c r="F633" s="67"/>
      <c r="G633" s="68"/>
      <c r="H633" s="97"/>
    </row>
    <row r="634" spans="1:8">
      <c r="A634" s="96"/>
      <c r="B634" s="135" t="s">
        <v>476</v>
      </c>
      <c r="C634" s="69"/>
      <c r="D634" s="67"/>
      <c r="E634" s="67"/>
      <c r="F634" s="67"/>
      <c r="G634" s="68"/>
      <c r="H634" s="97"/>
    </row>
    <row r="635" spans="1:8">
      <c r="A635" s="96"/>
      <c r="B635" s="133" t="s">
        <v>635</v>
      </c>
      <c r="C635" s="69"/>
      <c r="D635" s="67"/>
      <c r="E635" s="67">
        <v>1</v>
      </c>
      <c r="F635" s="67"/>
      <c r="G635" s="68"/>
      <c r="H635" s="97"/>
    </row>
    <row r="636" spans="1:8">
      <c r="A636" s="98"/>
      <c r="B636" s="99" t="s">
        <v>463</v>
      </c>
      <c r="C636" s="106"/>
      <c r="D636" s="101"/>
      <c r="E636" s="107">
        <f>SUM(E629:E635)</f>
        <v>6</v>
      </c>
      <c r="F636" s="101"/>
      <c r="G636" s="103"/>
      <c r="H636" s="104"/>
    </row>
    <row r="637" spans="1:8" ht="25.5">
      <c r="A637" s="16" t="s">
        <v>396</v>
      </c>
      <c r="B637" s="25" t="s">
        <v>171</v>
      </c>
      <c r="C637" s="16" t="s">
        <v>166</v>
      </c>
      <c r="D637" s="16" t="s">
        <v>65</v>
      </c>
      <c r="E637" s="17">
        <f>E646</f>
        <v>6</v>
      </c>
      <c r="F637" s="17"/>
      <c r="G637" s="17">
        <f>E637*F637</f>
        <v>0</v>
      </c>
      <c r="H637" s="17"/>
    </row>
    <row r="638" spans="1:8">
      <c r="A638" s="91"/>
      <c r="B638" s="146" t="s">
        <v>486</v>
      </c>
      <c r="C638" s="105"/>
      <c r="D638" s="93"/>
      <c r="E638" s="93"/>
      <c r="F638" s="93"/>
      <c r="G638" s="94"/>
      <c r="H638" s="95"/>
    </row>
    <row r="639" spans="1:8">
      <c r="A639" s="96"/>
      <c r="B639" s="133" t="s">
        <v>635</v>
      </c>
      <c r="C639" s="69"/>
      <c r="D639" s="67"/>
      <c r="E639" s="67">
        <v>1</v>
      </c>
      <c r="F639" s="67"/>
      <c r="G639" s="68"/>
      <c r="H639" s="97"/>
    </row>
    <row r="640" spans="1:8">
      <c r="A640" s="96"/>
      <c r="B640" s="135" t="s">
        <v>470</v>
      </c>
      <c r="C640" s="69"/>
      <c r="D640" s="67"/>
      <c r="E640" s="67"/>
      <c r="F640" s="67"/>
      <c r="G640" s="68"/>
      <c r="H640" s="97"/>
    </row>
    <row r="641" spans="1:8">
      <c r="A641" s="96"/>
      <c r="B641" s="133" t="s">
        <v>635</v>
      </c>
      <c r="C641" s="69"/>
      <c r="D641" s="67"/>
      <c r="E641" s="67">
        <v>1</v>
      </c>
      <c r="F641" s="67"/>
      <c r="G641" s="68"/>
      <c r="H641" s="97"/>
    </row>
    <row r="642" spans="1:8">
      <c r="A642" s="96"/>
      <c r="B642" s="135" t="s">
        <v>478</v>
      </c>
      <c r="C642" s="69"/>
      <c r="D642" s="67"/>
      <c r="E642" s="67"/>
      <c r="F642" s="67"/>
      <c r="G642" s="68"/>
      <c r="H642" s="97"/>
    </row>
    <row r="643" spans="1:8">
      <c r="A643" s="96"/>
      <c r="B643" s="133" t="s">
        <v>640</v>
      </c>
      <c r="C643" s="69"/>
      <c r="D643" s="67"/>
      <c r="E643" s="67">
        <v>2</v>
      </c>
      <c r="F643" s="67"/>
      <c r="G643" s="68"/>
      <c r="H643" s="97"/>
    </row>
    <row r="644" spans="1:8">
      <c r="A644" s="96"/>
      <c r="B644" s="135" t="s">
        <v>476</v>
      </c>
      <c r="C644" s="69"/>
      <c r="D644" s="67"/>
      <c r="E644" s="67"/>
      <c r="F644" s="67"/>
      <c r="G644" s="68"/>
      <c r="H644" s="97"/>
    </row>
    <row r="645" spans="1:8">
      <c r="A645" s="96"/>
      <c r="B645" s="133" t="s">
        <v>640</v>
      </c>
      <c r="C645" s="69"/>
      <c r="D645" s="67"/>
      <c r="E645" s="67">
        <v>2</v>
      </c>
      <c r="F645" s="67"/>
      <c r="G645" s="68"/>
      <c r="H645" s="97"/>
    </row>
    <row r="646" spans="1:8">
      <c r="A646" s="98"/>
      <c r="B646" s="99" t="s">
        <v>463</v>
      </c>
      <c r="C646" s="106"/>
      <c r="D646" s="101"/>
      <c r="E646" s="107">
        <f>SUM(E639:E645)</f>
        <v>6</v>
      </c>
      <c r="F646" s="101"/>
      <c r="G646" s="103"/>
      <c r="H646" s="104"/>
    </row>
    <row r="647" spans="1:8" ht="25.5">
      <c r="A647" s="16" t="s">
        <v>397</v>
      </c>
      <c r="B647" s="25" t="s">
        <v>170</v>
      </c>
      <c r="C647" s="16" t="s">
        <v>167</v>
      </c>
      <c r="D647" s="16" t="s">
        <v>65</v>
      </c>
      <c r="E647" s="17">
        <f>E656</f>
        <v>6</v>
      </c>
      <c r="F647" s="17"/>
      <c r="G647" s="17">
        <f>E647*F647</f>
        <v>0</v>
      </c>
      <c r="H647" s="17"/>
    </row>
    <row r="648" spans="1:8">
      <c r="A648" s="91"/>
      <c r="B648" s="146" t="s">
        <v>479</v>
      </c>
      <c r="C648" s="105"/>
      <c r="D648" s="93"/>
      <c r="E648" s="93"/>
      <c r="F648" s="93"/>
      <c r="G648" s="94"/>
      <c r="H648" s="95"/>
    </row>
    <row r="649" spans="1:8">
      <c r="A649" s="96"/>
      <c r="B649" s="133" t="s">
        <v>640</v>
      </c>
      <c r="C649" s="69"/>
      <c r="D649" s="67"/>
      <c r="E649" s="67">
        <v>2</v>
      </c>
      <c r="F649" s="67"/>
      <c r="G649" s="68"/>
      <c r="H649" s="97"/>
    </row>
    <row r="650" spans="1:8">
      <c r="A650" s="96"/>
      <c r="B650" s="133" t="s">
        <v>485</v>
      </c>
      <c r="C650" s="69"/>
      <c r="D650" s="67"/>
      <c r="E650" s="67"/>
      <c r="F650" s="67"/>
      <c r="G650" s="68"/>
      <c r="H650" s="97"/>
    </row>
    <row r="651" spans="1:8">
      <c r="A651" s="96"/>
      <c r="B651" s="133" t="s">
        <v>640</v>
      </c>
      <c r="C651" s="69"/>
      <c r="D651" s="67"/>
      <c r="E651" s="67">
        <v>2</v>
      </c>
      <c r="F651" s="67"/>
      <c r="G651" s="68"/>
      <c r="H651" s="97"/>
    </row>
    <row r="652" spans="1:8">
      <c r="A652" s="96"/>
      <c r="B652" s="135" t="s">
        <v>476</v>
      </c>
      <c r="C652" s="69"/>
      <c r="D652" s="67"/>
      <c r="E652" s="67"/>
      <c r="F652" s="67"/>
      <c r="G652" s="68"/>
      <c r="H652" s="97"/>
    </row>
    <row r="653" spans="1:8">
      <c r="A653" s="96"/>
      <c r="B653" s="133" t="s">
        <v>635</v>
      </c>
      <c r="C653" s="69"/>
      <c r="D653" s="67"/>
      <c r="E653" s="67">
        <v>1</v>
      </c>
      <c r="F653" s="67"/>
      <c r="G653" s="68"/>
      <c r="H653" s="97"/>
    </row>
    <row r="654" spans="1:8">
      <c r="A654" s="96"/>
      <c r="B654" s="135" t="s">
        <v>597</v>
      </c>
      <c r="C654" s="69"/>
      <c r="D654" s="67"/>
      <c r="E654" s="67"/>
      <c r="F654" s="67"/>
      <c r="G654" s="68"/>
      <c r="H654" s="97"/>
    </row>
    <row r="655" spans="1:8">
      <c r="A655" s="96"/>
      <c r="B655" s="133" t="s">
        <v>635</v>
      </c>
      <c r="C655" s="69"/>
      <c r="D655" s="67"/>
      <c r="E655" s="67">
        <v>1</v>
      </c>
      <c r="F655" s="67"/>
      <c r="G655" s="68"/>
      <c r="H655" s="97"/>
    </row>
    <row r="656" spans="1:8">
      <c r="A656" s="98"/>
      <c r="B656" s="99" t="s">
        <v>463</v>
      </c>
      <c r="C656" s="106"/>
      <c r="D656" s="101"/>
      <c r="E656" s="107">
        <f>SUM(E649:E655)</f>
        <v>6</v>
      </c>
      <c r="F656" s="101"/>
      <c r="G656" s="103"/>
      <c r="H656" s="104"/>
    </row>
    <row r="657" spans="1:8" ht="25.5">
      <c r="A657" s="16" t="s">
        <v>398</v>
      </c>
      <c r="B657" s="25" t="s">
        <v>169</v>
      </c>
      <c r="C657" s="16" t="s">
        <v>168</v>
      </c>
      <c r="D657" s="16" t="s">
        <v>65</v>
      </c>
      <c r="E657" s="17">
        <f>E666</f>
        <v>6</v>
      </c>
      <c r="F657" s="17"/>
      <c r="G657" s="17">
        <f>E657*F657</f>
        <v>0</v>
      </c>
      <c r="H657" s="17"/>
    </row>
    <row r="658" spans="1:8">
      <c r="A658" s="91"/>
      <c r="B658" s="146" t="s">
        <v>486</v>
      </c>
      <c r="C658" s="105"/>
      <c r="D658" s="93"/>
      <c r="E658" s="93"/>
      <c r="F658" s="93"/>
      <c r="G658" s="94"/>
      <c r="H658" s="95"/>
    </row>
    <row r="659" spans="1:8">
      <c r="A659" s="96"/>
      <c r="B659" s="133" t="s">
        <v>635</v>
      </c>
      <c r="C659" s="69"/>
      <c r="D659" s="67"/>
      <c r="E659" s="67">
        <v>1</v>
      </c>
      <c r="F659" s="67"/>
      <c r="G659" s="68"/>
      <c r="H659" s="97"/>
    </row>
    <row r="660" spans="1:8">
      <c r="A660" s="96"/>
      <c r="B660" s="135" t="s">
        <v>470</v>
      </c>
      <c r="C660" s="69"/>
      <c r="D660" s="67"/>
      <c r="E660" s="67"/>
      <c r="F660" s="67"/>
      <c r="G660" s="68"/>
      <c r="H660" s="97"/>
    </row>
    <row r="661" spans="1:8">
      <c r="A661" s="96"/>
      <c r="B661" s="133" t="s">
        <v>635</v>
      </c>
      <c r="C661" s="69"/>
      <c r="D661" s="67"/>
      <c r="E661" s="67">
        <v>1</v>
      </c>
      <c r="F661" s="67"/>
      <c r="G661" s="68"/>
      <c r="H661" s="97"/>
    </row>
    <row r="662" spans="1:8">
      <c r="A662" s="96"/>
      <c r="B662" s="135" t="s">
        <v>478</v>
      </c>
      <c r="C662" s="69"/>
      <c r="D662" s="67"/>
      <c r="E662" s="67"/>
      <c r="F662" s="67"/>
      <c r="G662" s="68"/>
      <c r="H662" s="97"/>
    </row>
    <row r="663" spans="1:8">
      <c r="A663" s="96"/>
      <c r="B663" s="133" t="s">
        <v>640</v>
      </c>
      <c r="C663" s="69"/>
      <c r="D663" s="67"/>
      <c r="E663" s="67">
        <v>2</v>
      </c>
      <c r="F663" s="67"/>
      <c r="G663" s="68"/>
      <c r="H663" s="97"/>
    </row>
    <row r="664" spans="1:8">
      <c r="A664" s="96"/>
      <c r="B664" s="135" t="s">
        <v>476</v>
      </c>
      <c r="C664" s="69"/>
      <c r="D664" s="67"/>
      <c r="E664" s="67"/>
      <c r="F664" s="67"/>
      <c r="G664" s="68"/>
      <c r="H664" s="97"/>
    </row>
    <row r="665" spans="1:8">
      <c r="A665" s="96"/>
      <c r="B665" s="133" t="s">
        <v>640</v>
      </c>
      <c r="C665" s="69"/>
      <c r="D665" s="67"/>
      <c r="E665" s="67">
        <v>2</v>
      </c>
      <c r="F665" s="67"/>
      <c r="G665" s="68"/>
      <c r="H665" s="97"/>
    </row>
    <row r="666" spans="1:8">
      <c r="A666" s="98"/>
      <c r="B666" s="99" t="s">
        <v>463</v>
      </c>
      <c r="C666" s="106"/>
      <c r="D666" s="101"/>
      <c r="E666" s="107">
        <f>SUM(E659:E665)</f>
        <v>6</v>
      </c>
      <c r="F666" s="101"/>
      <c r="G666" s="103"/>
      <c r="H666" s="104"/>
    </row>
    <row r="667" spans="1:8" ht="38.25">
      <c r="A667" s="16" t="s">
        <v>399</v>
      </c>
      <c r="B667" s="25" t="s">
        <v>272</v>
      </c>
      <c r="C667" s="16" t="s">
        <v>271</v>
      </c>
      <c r="D667" s="16" t="s">
        <v>110</v>
      </c>
      <c r="E667" s="17">
        <f>E682</f>
        <v>7</v>
      </c>
      <c r="F667" s="17"/>
      <c r="G667" s="17">
        <f>E667*F667</f>
        <v>0</v>
      </c>
      <c r="H667" s="17"/>
    </row>
    <row r="668" spans="1:8">
      <c r="A668" s="91"/>
      <c r="B668" s="146" t="s">
        <v>479</v>
      </c>
      <c r="C668" s="105"/>
      <c r="D668" s="93"/>
      <c r="E668" s="93"/>
      <c r="F668" s="93"/>
      <c r="G668" s="94"/>
      <c r="H668" s="95"/>
    </row>
    <row r="669" spans="1:8">
      <c r="A669" s="96"/>
      <c r="B669" s="133" t="s">
        <v>635</v>
      </c>
      <c r="C669" s="69"/>
      <c r="D669" s="67"/>
      <c r="E669" s="67">
        <v>1</v>
      </c>
      <c r="F669" s="67"/>
      <c r="G669" s="68"/>
      <c r="H669" s="97"/>
    </row>
    <row r="670" spans="1:8">
      <c r="A670" s="96"/>
      <c r="B670" s="133" t="s">
        <v>485</v>
      </c>
      <c r="C670" s="69"/>
      <c r="D670" s="67"/>
      <c r="E670" s="67"/>
      <c r="F670" s="67"/>
      <c r="G670" s="68"/>
      <c r="H670" s="97"/>
    </row>
    <row r="671" spans="1:8">
      <c r="A671" s="96"/>
      <c r="B671" s="133" t="s">
        <v>635</v>
      </c>
      <c r="C671" s="69"/>
      <c r="D671" s="67"/>
      <c r="E671" s="67">
        <v>1</v>
      </c>
      <c r="F671" s="67"/>
      <c r="G671" s="68"/>
      <c r="H671" s="97"/>
    </row>
    <row r="672" spans="1:8">
      <c r="A672" s="96"/>
      <c r="B672" s="135" t="s">
        <v>470</v>
      </c>
      <c r="C672" s="69"/>
      <c r="D672" s="67"/>
      <c r="E672" s="67"/>
      <c r="F672" s="67"/>
      <c r="G672" s="68"/>
      <c r="H672" s="97"/>
    </row>
    <row r="673" spans="1:8">
      <c r="A673" s="96"/>
      <c r="B673" s="133" t="s">
        <v>635</v>
      </c>
      <c r="C673" s="69"/>
      <c r="D673" s="67"/>
      <c r="E673" s="67">
        <v>1</v>
      </c>
      <c r="F673" s="67"/>
      <c r="G673" s="68"/>
      <c r="H673" s="97"/>
    </row>
    <row r="674" spans="1:8">
      <c r="A674" s="96"/>
      <c r="B674" s="133" t="s">
        <v>486</v>
      </c>
      <c r="C674" s="69"/>
      <c r="D674" s="67"/>
      <c r="E674" s="67"/>
      <c r="F674" s="67"/>
      <c r="G674" s="68"/>
      <c r="H674" s="97"/>
    </row>
    <row r="675" spans="1:8">
      <c r="A675" s="96"/>
      <c r="B675" s="133" t="s">
        <v>635</v>
      </c>
      <c r="C675" s="69"/>
      <c r="D675" s="67"/>
      <c r="E675" s="67">
        <v>1</v>
      </c>
      <c r="F675" s="67"/>
      <c r="G675" s="68"/>
      <c r="H675" s="97"/>
    </row>
    <row r="676" spans="1:8">
      <c r="A676" s="96"/>
      <c r="B676" s="135" t="s">
        <v>478</v>
      </c>
      <c r="C676" s="69"/>
      <c r="D676" s="67"/>
      <c r="E676" s="67"/>
      <c r="F676" s="67"/>
      <c r="G676" s="68"/>
      <c r="H676" s="97"/>
    </row>
    <row r="677" spans="1:8">
      <c r="A677" s="96"/>
      <c r="B677" s="133" t="s">
        <v>635</v>
      </c>
      <c r="C677" s="69"/>
      <c r="D677" s="67"/>
      <c r="E677" s="67">
        <v>1</v>
      </c>
      <c r="F677" s="67"/>
      <c r="G677" s="68"/>
      <c r="H677" s="97"/>
    </row>
    <row r="678" spans="1:8">
      <c r="A678" s="96"/>
      <c r="B678" s="135" t="s">
        <v>597</v>
      </c>
      <c r="C678" s="69"/>
      <c r="D678" s="67"/>
      <c r="E678" s="67"/>
      <c r="F678" s="67"/>
      <c r="G678" s="68"/>
      <c r="H678" s="97"/>
    </row>
    <row r="679" spans="1:8">
      <c r="A679" s="96"/>
      <c r="B679" s="133" t="s">
        <v>635</v>
      </c>
      <c r="C679" s="69"/>
      <c r="D679" s="67"/>
      <c r="E679" s="67">
        <v>1</v>
      </c>
      <c r="F679" s="67"/>
      <c r="G679" s="68"/>
      <c r="H679" s="97"/>
    </row>
    <row r="680" spans="1:8">
      <c r="A680" s="96"/>
      <c r="B680" s="135" t="s">
        <v>476</v>
      </c>
      <c r="C680" s="69"/>
      <c r="D680" s="67"/>
      <c r="E680" s="67"/>
      <c r="F680" s="67"/>
      <c r="G680" s="68"/>
      <c r="H680" s="97"/>
    </row>
    <row r="681" spans="1:8">
      <c r="A681" s="96"/>
      <c r="B681" s="133" t="s">
        <v>635</v>
      </c>
      <c r="C681" s="69"/>
      <c r="D681" s="67"/>
      <c r="E681" s="67">
        <v>1</v>
      </c>
      <c r="F681" s="67"/>
      <c r="G681" s="68"/>
      <c r="H681" s="97"/>
    </row>
    <row r="682" spans="1:8">
      <c r="A682" s="98"/>
      <c r="B682" s="99" t="s">
        <v>463</v>
      </c>
      <c r="C682" s="106"/>
      <c r="D682" s="101"/>
      <c r="E682" s="107">
        <f>SUM(E669:E681)</f>
        <v>7</v>
      </c>
      <c r="F682" s="101"/>
      <c r="G682" s="103"/>
      <c r="H682" s="104"/>
    </row>
    <row r="683" spans="1:8" ht="25.5">
      <c r="A683" s="16" t="s">
        <v>400</v>
      </c>
      <c r="B683" s="25" t="s">
        <v>277</v>
      </c>
      <c r="C683" s="16" t="s">
        <v>278</v>
      </c>
      <c r="D683" s="16" t="s">
        <v>81</v>
      </c>
      <c r="E683" s="17">
        <v>150</v>
      </c>
      <c r="F683" s="17"/>
      <c r="G683" s="17">
        <f>E683*F683</f>
        <v>0</v>
      </c>
      <c r="H683" s="17"/>
    </row>
    <row r="684" spans="1:8" ht="25.5">
      <c r="A684" s="16" t="s">
        <v>401</v>
      </c>
      <c r="B684" s="25" t="s">
        <v>276</v>
      </c>
      <c r="C684" s="16" t="s">
        <v>275</v>
      </c>
      <c r="D684" s="16" t="s">
        <v>81</v>
      </c>
      <c r="E684" s="17">
        <v>20</v>
      </c>
      <c r="F684" s="17"/>
      <c r="G684" s="17">
        <f>E684*F684</f>
        <v>0</v>
      </c>
      <c r="H684" s="17"/>
    </row>
    <row r="685" spans="1:8" ht="25.5">
      <c r="A685" s="16" t="s">
        <v>402</v>
      </c>
      <c r="B685" s="25" t="s">
        <v>274</v>
      </c>
      <c r="C685" s="16" t="s">
        <v>273</v>
      </c>
      <c r="D685" s="16" t="s">
        <v>81</v>
      </c>
      <c r="E685" s="17">
        <v>50</v>
      </c>
      <c r="F685" s="17"/>
      <c r="G685" s="17">
        <f>E685*F685</f>
        <v>0</v>
      </c>
      <c r="H685" s="17"/>
    </row>
    <row r="686" spans="1:8" ht="25.5">
      <c r="A686" s="16" t="s">
        <v>403</v>
      </c>
      <c r="B686" s="25" t="s">
        <v>280</v>
      </c>
      <c r="C686" s="16" t="s">
        <v>279</v>
      </c>
      <c r="D686" s="16" t="s">
        <v>65</v>
      </c>
      <c r="E686" s="17">
        <f>E693</f>
        <v>3</v>
      </c>
      <c r="F686" s="17"/>
      <c r="G686" s="17">
        <f>E686*F686</f>
        <v>0</v>
      </c>
      <c r="H686" s="17"/>
    </row>
    <row r="687" spans="1:8">
      <c r="A687" s="91"/>
      <c r="B687" s="134" t="s">
        <v>470</v>
      </c>
      <c r="C687" s="105"/>
      <c r="D687" s="93"/>
      <c r="E687" s="93"/>
      <c r="F687" s="93"/>
      <c r="G687" s="94"/>
      <c r="H687" s="95"/>
    </row>
    <row r="688" spans="1:8">
      <c r="A688" s="96"/>
      <c r="B688" s="133" t="s">
        <v>635</v>
      </c>
      <c r="C688" s="69"/>
      <c r="D688" s="67"/>
      <c r="E688" s="67">
        <v>1</v>
      </c>
      <c r="F688" s="67"/>
      <c r="G688" s="68"/>
      <c r="H688" s="97"/>
    </row>
    <row r="689" spans="1:8">
      <c r="A689" s="96"/>
      <c r="B689" s="135" t="s">
        <v>476</v>
      </c>
      <c r="C689" s="69"/>
      <c r="D689" s="67"/>
      <c r="E689" s="67"/>
      <c r="F689" s="67"/>
      <c r="G689" s="68"/>
      <c r="H689" s="97"/>
    </row>
    <row r="690" spans="1:8">
      <c r="A690" s="96"/>
      <c r="B690" s="133" t="s">
        <v>635</v>
      </c>
      <c r="C690" s="69"/>
      <c r="D690" s="67"/>
      <c r="E690" s="67">
        <v>1</v>
      </c>
      <c r="F690" s="67"/>
      <c r="G690" s="68"/>
      <c r="H690" s="97"/>
    </row>
    <row r="691" spans="1:8">
      <c r="A691" s="96"/>
      <c r="B691" s="133" t="s">
        <v>486</v>
      </c>
      <c r="C691" s="69"/>
      <c r="D691" s="67"/>
      <c r="E691" s="67"/>
      <c r="F691" s="67"/>
      <c r="G691" s="68"/>
      <c r="H691" s="97"/>
    </row>
    <row r="692" spans="1:8">
      <c r="A692" s="96"/>
      <c r="B692" s="133" t="s">
        <v>635</v>
      </c>
      <c r="C692" s="69"/>
      <c r="D692" s="67"/>
      <c r="E692" s="67">
        <v>1</v>
      </c>
      <c r="F692" s="67"/>
      <c r="G692" s="68"/>
      <c r="H692" s="97"/>
    </row>
    <row r="693" spans="1:8">
      <c r="A693" s="98"/>
      <c r="B693" s="99" t="s">
        <v>463</v>
      </c>
      <c r="C693" s="106"/>
      <c r="D693" s="101"/>
      <c r="E693" s="107">
        <f>SUM(E688:E692)</f>
        <v>3</v>
      </c>
      <c r="F693" s="101"/>
      <c r="G693" s="103"/>
      <c r="H693" s="104"/>
    </row>
    <row r="694" spans="1:8" ht="25.5">
      <c r="A694" s="16" t="s">
        <v>404</v>
      </c>
      <c r="B694" s="25" t="s">
        <v>284</v>
      </c>
      <c r="C694" s="16" t="s">
        <v>283</v>
      </c>
      <c r="D694" s="16" t="s">
        <v>65</v>
      </c>
      <c r="E694" s="17">
        <f>E697</f>
        <v>1</v>
      </c>
      <c r="F694" s="17"/>
      <c r="G694" s="17">
        <f>E694*F694</f>
        <v>0</v>
      </c>
      <c r="H694" s="17"/>
    </row>
    <row r="695" spans="1:8">
      <c r="A695" s="91"/>
      <c r="B695" s="134" t="s">
        <v>476</v>
      </c>
      <c r="C695" s="105"/>
      <c r="D695" s="93"/>
      <c r="E695" s="93"/>
      <c r="F695" s="93"/>
      <c r="G695" s="94"/>
      <c r="H695" s="95"/>
    </row>
    <row r="696" spans="1:8">
      <c r="A696" s="96"/>
      <c r="B696" s="133" t="s">
        <v>635</v>
      </c>
      <c r="C696" s="69"/>
      <c r="D696" s="67"/>
      <c r="E696" s="67">
        <v>1</v>
      </c>
      <c r="F696" s="67"/>
      <c r="G696" s="68"/>
      <c r="H696" s="97"/>
    </row>
    <row r="697" spans="1:8">
      <c r="A697" s="98"/>
      <c r="B697" s="99" t="s">
        <v>463</v>
      </c>
      <c r="C697" s="106"/>
      <c r="D697" s="101"/>
      <c r="E697" s="107">
        <f>SUM(E696)</f>
        <v>1</v>
      </c>
      <c r="F697" s="101"/>
      <c r="G697" s="103"/>
      <c r="H697" s="104"/>
    </row>
    <row r="698" spans="1:8" ht="25.5">
      <c r="A698" s="16" t="s">
        <v>405</v>
      </c>
      <c r="B698" s="25" t="s">
        <v>282</v>
      </c>
      <c r="C698" s="16" t="s">
        <v>281</v>
      </c>
      <c r="D698" s="16" t="s">
        <v>65</v>
      </c>
      <c r="E698" s="17">
        <v>12</v>
      </c>
      <c r="F698" s="17"/>
      <c r="G698" s="17">
        <f>E698*F698</f>
        <v>0</v>
      </c>
      <c r="H698" s="17"/>
    </row>
    <row r="699" spans="1:8" ht="25.5">
      <c r="A699" s="16" t="s">
        <v>406</v>
      </c>
      <c r="B699" s="25" t="s">
        <v>285</v>
      </c>
      <c r="C699" s="16">
        <v>40777</v>
      </c>
      <c r="D699" s="16" t="s">
        <v>65</v>
      </c>
      <c r="E699" s="17">
        <f>E702</f>
        <v>1</v>
      </c>
      <c r="F699" s="17"/>
      <c r="G699" s="17">
        <f>E699*F699</f>
        <v>0</v>
      </c>
      <c r="H699" s="17"/>
    </row>
    <row r="700" spans="1:8">
      <c r="A700" s="91"/>
      <c r="B700" s="134" t="s">
        <v>486</v>
      </c>
      <c r="C700" s="105"/>
      <c r="D700" s="93"/>
      <c r="E700" s="93"/>
      <c r="F700" s="93"/>
      <c r="G700" s="94"/>
      <c r="H700" s="95"/>
    </row>
    <row r="701" spans="1:8">
      <c r="A701" s="96"/>
      <c r="B701" s="133" t="s">
        <v>635</v>
      </c>
      <c r="C701" s="69"/>
      <c r="D701" s="67"/>
      <c r="E701" s="67">
        <v>1</v>
      </c>
      <c r="F701" s="67"/>
      <c r="G701" s="68"/>
      <c r="H701" s="97"/>
    </row>
    <row r="702" spans="1:8">
      <c r="A702" s="98"/>
      <c r="B702" s="99" t="s">
        <v>463</v>
      </c>
      <c r="C702" s="106"/>
      <c r="D702" s="101"/>
      <c r="E702" s="107">
        <f>SUM(E701)</f>
        <v>1</v>
      </c>
      <c r="F702" s="101"/>
      <c r="G702" s="103"/>
      <c r="H702" s="104"/>
    </row>
    <row r="703" spans="1:8" ht="25.5">
      <c r="A703" s="16" t="s">
        <v>407</v>
      </c>
      <c r="B703" s="25" t="s">
        <v>286</v>
      </c>
      <c r="C703" s="16">
        <v>72685</v>
      </c>
      <c r="D703" s="16" t="s">
        <v>65</v>
      </c>
      <c r="E703" s="17">
        <f>E710</f>
        <v>3</v>
      </c>
      <c r="F703" s="17"/>
      <c r="G703" s="17">
        <f>E703*F703</f>
        <v>0</v>
      </c>
      <c r="H703" s="17"/>
    </row>
    <row r="704" spans="1:8">
      <c r="A704" s="91"/>
      <c r="B704" s="146" t="s">
        <v>479</v>
      </c>
      <c r="C704" s="105"/>
      <c r="D704" s="93"/>
      <c r="E704" s="93"/>
      <c r="F704" s="93"/>
      <c r="G704" s="94"/>
      <c r="H704" s="95"/>
    </row>
    <row r="705" spans="1:8">
      <c r="A705" s="96"/>
      <c r="B705" s="133" t="s">
        <v>635</v>
      </c>
      <c r="C705" s="69"/>
      <c r="D705" s="67"/>
      <c r="E705" s="67">
        <v>1</v>
      </c>
      <c r="F705" s="67"/>
      <c r="G705" s="68"/>
      <c r="H705" s="97"/>
    </row>
    <row r="706" spans="1:8">
      <c r="A706" s="96"/>
      <c r="B706" s="133" t="s">
        <v>485</v>
      </c>
      <c r="C706" s="69"/>
      <c r="D706" s="67"/>
      <c r="E706" s="67"/>
      <c r="F706" s="67"/>
      <c r="G706" s="68"/>
      <c r="H706" s="97"/>
    </row>
    <row r="707" spans="1:8">
      <c r="A707" s="96"/>
      <c r="B707" s="133" t="s">
        <v>635</v>
      </c>
      <c r="C707" s="69"/>
      <c r="D707" s="67"/>
      <c r="E707" s="67">
        <v>1</v>
      </c>
      <c r="F707" s="67"/>
      <c r="G707" s="68"/>
      <c r="H707" s="97"/>
    </row>
    <row r="708" spans="1:8">
      <c r="A708" s="96"/>
      <c r="B708" s="135" t="s">
        <v>597</v>
      </c>
      <c r="C708" s="69"/>
      <c r="D708" s="67"/>
      <c r="E708" s="67"/>
      <c r="F708" s="67"/>
      <c r="G708" s="68"/>
      <c r="H708" s="97"/>
    </row>
    <row r="709" spans="1:8">
      <c r="A709" s="96"/>
      <c r="B709" s="133" t="s">
        <v>635</v>
      </c>
      <c r="C709" s="69"/>
      <c r="D709" s="67"/>
      <c r="E709" s="67">
        <v>1</v>
      </c>
      <c r="F709" s="67"/>
      <c r="G709" s="68"/>
      <c r="H709" s="97"/>
    </row>
    <row r="710" spans="1:8">
      <c r="A710" s="98"/>
      <c r="B710" s="99" t="s">
        <v>463</v>
      </c>
      <c r="C710" s="106"/>
      <c r="D710" s="101"/>
      <c r="E710" s="107">
        <f>SUM(E705:E709)</f>
        <v>3</v>
      </c>
      <c r="F710" s="101"/>
      <c r="G710" s="103"/>
      <c r="H710" s="104"/>
    </row>
    <row r="711" spans="1:8" ht="25.5">
      <c r="A711" s="16" t="s">
        <v>408</v>
      </c>
      <c r="B711" s="25" t="s">
        <v>288</v>
      </c>
      <c r="C711" s="16" t="s">
        <v>287</v>
      </c>
      <c r="D711" s="16" t="s">
        <v>65</v>
      </c>
      <c r="E711" s="17">
        <f>E714</f>
        <v>1</v>
      </c>
      <c r="F711" s="17"/>
      <c r="G711" s="17">
        <f>E711*F711</f>
        <v>0</v>
      </c>
      <c r="H711" s="17"/>
    </row>
    <row r="712" spans="1:8">
      <c r="A712" s="91"/>
      <c r="B712" s="146" t="s">
        <v>664</v>
      </c>
      <c r="C712" s="105"/>
      <c r="D712" s="93"/>
      <c r="E712" s="93"/>
      <c r="F712" s="93"/>
      <c r="G712" s="94"/>
      <c r="H712" s="95"/>
    </row>
    <row r="713" spans="1:8">
      <c r="A713" s="96"/>
      <c r="B713" s="133" t="s">
        <v>635</v>
      </c>
      <c r="C713" s="69"/>
      <c r="D713" s="67"/>
      <c r="E713" s="67">
        <v>1</v>
      </c>
      <c r="F713" s="67"/>
      <c r="G713" s="68"/>
      <c r="H713" s="97"/>
    </row>
    <row r="714" spans="1:8">
      <c r="A714" s="98"/>
      <c r="B714" s="99" t="s">
        <v>463</v>
      </c>
      <c r="C714" s="106"/>
      <c r="D714" s="101"/>
      <c r="E714" s="107">
        <f>SUM(E713:E713)</f>
        <v>1</v>
      </c>
      <c r="F714" s="101"/>
      <c r="G714" s="103"/>
      <c r="H714" s="104"/>
    </row>
    <row r="715" spans="1:8" ht="25.5">
      <c r="A715" s="16" t="s">
        <v>409</v>
      </c>
      <c r="B715" s="25" t="s">
        <v>290</v>
      </c>
      <c r="C715" s="16" t="s">
        <v>289</v>
      </c>
      <c r="D715" s="16" t="s">
        <v>65</v>
      </c>
      <c r="E715" s="17">
        <f>E730</f>
        <v>7</v>
      </c>
      <c r="F715" s="17"/>
      <c r="G715" s="17">
        <f>E715*F715</f>
        <v>0</v>
      </c>
      <c r="H715" s="17"/>
    </row>
    <row r="716" spans="1:8">
      <c r="A716" s="91"/>
      <c r="B716" s="146" t="s">
        <v>479</v>
      </c>
      <c r="C716" s="105"/>
      <c r="D716" s="93"/>
      <c r="E716" s="93"/>
      <c r="F716" s="93"/>
      <c r="G716" s="94"/>
      <c r="H716" s="95"/>
    </row>
    <row r="717" spans="1:8">
      <c r="A717" s="96"/>
      <c r="B717" s="133" t="s">
        <v>635</v>
      </c>
      <c r="C717" s="69"/>
      <c r="D717" s="67"/>
      <c r="E717" s="67">
        <v>1</v>
      </c>
      <c r="F717" s="67"/>
      <c r="G717" s="68"/>
      <c r="H717" s="97"/>
    </row>
    <row r="718" spans="1:8">
      <c r="A718" s="96"/>
      <c r="B718" s="133" t="s">
        <v>485</v>
      </c>
      <c r="C718" s="69"/>
      <c r="D718" s="67"/>
      <c r="E718" s="67"/>
      <c r="F718" s="67"/>
      <c r="G718" s="68"/>
      <c r="H718" s="97"/>
    </row>
    <row r="719" spans="1:8">
      <c r="A719" s="96"/>
      <c r="B719" s="133" t="s">
        <v>635</v>
      </c>
      <c r="C719" s="69"/>
      <c r="D719" s="67"/>
      <c r="E719" s="67">
        <v>1</v>
      </c>
      <c r="F719" s="67"/>
      <c r="G719" s="68"/>
      <c r="H719" s="97"/>
    </row>
    <row r="720" spans="1:8">
      <c r="A720" s="96"/>
      <c r="B720" s="135" t="s">
        <v>470</v>
      </c>
      <c r="C720" s="69"/>
      <c r="D720" s="67"/>
      <c r="E720" s="67"/>
      <c r="F720" s="67"/>
      <c r="G720" s="68"/>
      <c r="H720" s="97"/>
    </row>
    <row r="721" spans="1:8">
      <c r="A721" s="96"/>
      <c r="B721" s="133" t="s">
        <v>635</v>
      </c>
      <c r="C721" s="69"/>
      <c r="D721" s="67"/>
      <c r="E721" s="67">
        <v>1</v>
      </c>
      <c r="F721" s="67"/>
      <c r="G721" s="68"/>
      <c r="H721" s="97"/>
    </row>
    <row r="722" spans="1:8">
      <c r="A722" s="96"/>
      <c r="B722" s="133" t="s">
        <v>486</v>
      </c>
      <c r="C722" s="69"/>
      <c r="D722" s="67"/>
      <c r="E722" s="67"/>
      <c r="F722" s="67"/>
      <c r="G722" s="68"/>
      <c r="H722" s="97"/>
    </row>
    <row r="723" spans="1:8">
      <c r="A723" s="96"/>
      <c r="B723" s="133" t="s">
        <v>635</v>
      </c>
      <c r="C723" s="69"/>
      <c r="D723" s="67"/>
      <c r="E723" s="67">
        <v>1</v>
      </c>
      <c r="F723" s="67"/>
      <c r="G723" s="68"/>
      <c r="H723" s="97"/>
    </row>
    <row r="724" spans="1:8">
      <c r="A724" s="96"/>
      <c r="B724" s="135" t="s">
        <v>478</v>
      </c>
      <c r="C724" s="69"/>
      <c r="D724" s="67"/>
      <c r="E724" s="67"/>
      <c r="F724" s="67"/>
      <c r="G724" s="68"/>
      <c r="H724" s="97"/>
    </row>
    <row r="725" spans="1:8">
      <c r="A725" s="96"/>
      <c r="B725" s="133" t="s">
        <v>635</v>
      </c>
      <c r="C725" s="69"/>
      <c r="D725" s="67"/>
      <c r="E725" s="67">
        <v>1</v>
      </c>
      <c r="F725" s="67"/>
      <c r="G725" s="68"/>
      <c r="H725" s="97"/>
    </row>
    <row r="726" spans="1:8">
      <c r="A726" s="96"/>
      <c r="B726" s="135" t="s">
        <v>597</v>
      </c>
      <c r="C726" s="69"/>
      <c r="D726" s="67"/>
      <c r="E726" s="67"/>
      <c r="F726" s="67"/>
      <c r="G726" s="68"/>
      <c r="H726" s="97"/>
    </row>
    <row r="727" spans="1:8">
      <c r="A727" s="96"/>
      <c r="B727" s="133" t="s">
        <v>635</v>
      </c>
      <c r="C727" s="69"/>
      <c r="D727" s="67"/>
      <c r="E727" s="67">
        <v>1</v>
      </c>
      <c r="F727" s="67"/>
      <c r="G727" s="68"/>
      <c r="H727" s="97"/>
    </row>
    <row r="728" spans="1:8">
      <c r="A728" s="96"/>
      <c r="B728" s="135" t="s">
        <v>476</v>
      </c>
      <c r="C728" s="69"/>
      <c r="D728" s="67"/>
      <c r="E728" s="67"/>
      <c r="F728" s="67"/>
      <c r="G728" s="68"/>
      <c r="H728" s="97"/>
    </row>
    <row r="729" spans="1:8">
      <c r="A729" s="96"/>
      <c r="B729" s="133" t="s">
        <v>635</v>
      </c>
      <c r="C729" s="69"/>
      <c r="D729" s="67"/>
      <c r="E729" s="67">
        <v>1</v>
      </c>
      <c r="F729" s="67"/>
      <c r="G729" s="68"/>
      <c r="H729" s="97"/>
    </row>
    <row r="730" spans="1:8">
      <c r="A730" s="98"/>
      <c r="B730" s="99" t="s">
        <v>463</v>
      </c>
      <c r="C730" s="106"/>
      <c r="D730" s="101"/>
      <c r="E730" s="107">
        <f>SUM(E717:E729)</f>
        <v>7</v>
      </c>
      <c r="F730" s="101"/>
      <c r="G730" s="103"/>
      <c r="H730" s="104"/>
    </row>
    <row r="731" spans="1:8" ht="25.5">
      <c r="A731" s="16" t="s">
        <v>410</v>
      </c>
      <c r="B731" s="25" t="s">
        <v>293</v>
      </c>
      <c r="C731" s="16" t="s">
        <v>292</v>
      </c>
      <c r="D731" s="16" t="s">
        <v>65</v>
      </c>
      <c r="E731" s="17">
        <f>E736</f>
        <v>2</v>
      </c>
      <c r="F731" s="56"/>
      <c r="G731" s="17">
        <f>E731*F731</f>
        <v>0</v>
      </c>
      <c r="H731" s="17"/>
    </row>
    <row r="732" spans="1:8">
      <c r="A732" s="91"/>
      <c r="B732" s="146" t="s">
        <v>479</v>
      </c>
      <c r="C732" s="105"/>
      <c r="D732" s="93"/>
      <c r="E732" s="93"/>
      <c r="F732" s="93"/>
      <c r="G732" s="94"/>
      <c r="H732" s="95"/>
    </row>
    <row r="733" spans="1:8">
      <c r="A733" s="96"/>
      <c r="B733" s="133" t="s">
        <v>635</v>
      </c>
      <c r="C733" s="69"/>
      <c r="D733" s="67"/>
      <c r="E733" s="67">
        <v>1</v>
      </c>
      <c r="F733" s="67"/>
      <c r="G733" s="68"/>
      <c r="H733" s="97"/>
    </row>
    <row r="734" spans="1:8">
      <c r="A734" s="96"/>
      <c r="B734" s="133" t="s">
        <v>485</v>
      </c>
      <c r="C734" s="69"/>
      <c r="D734" s="67"/>
      <c r="E734" s="67"/>
      <c r="F734" s="67"/>
      <c r="G734" s="68"/>
      <c r="H734" s="97"/>
    </row>
    <row r="735" spans="1:8">
      <c r="A735" s="96"/>
      <c r="B735" s="133" t="s">
        <v>635</v>
      </c>
      <c r="C735" s="69"/>
      <c r="D735" s="67"/>
      <c r="E735" s="67">
        <v>1</v>
      </c>
      <c r="F735" s="67"/>
      <c r="G735" s="68"/>
      <c r="H735" s="97"/>
    </row>
    <row r="736" spans="1:8">
      <c r="A736" s="98"/>
      <c r="B736" s="99" t="s">
        <v>463</v>
      </c>
      <c r="C736" s="106"/>
      <c r="D736" s="101"/>
      <c r="E736" s="107">
        <f>SUM(E733:E735)</f>
        <v>2</v>
      </c>
      <c r="F736" s="101"/>
      <c r="G736" s="103"/>
      <c r="H736" s="104"/>
    </row>
    <row r="737" spans="1:8">
      <c r="A737" s="16" t="s">
        <v>411</v>
      </c>
      <c r="B737" s="27" t="s">
        <v>294</v>
      </c>
      <c r="C737" s="16" t="s">
        <v>291</v>
      </c>
      <c r="D737" s="16" t="s">
        <v>65</v>
      </c>
      <c r="E737" s="17">
        <f>E740</f>
        <v>1</v>
      </c>
      <c r="F737" s="17"/>
      <c r="G737" s="17">
        <f>E737*F737</f>
        <v>0</v>
      </c>
      <c r="H737" s="17"/>
    </row>
    <row r="738" spans="1:8">
      <c r="A738" s="91"/>
      <c r="B738" s="146" t="s">
        <v>663</v>
      </c>
      <c r="C738" s="105"/>
      <c r="D738" s="93"/>
      <c r="E738" s="93"/>
      <c r="F738" s="93"/>
      <c r="G738" s="94"/>
      <c r="H738" s="95"/>
    </row>
    <row r="739" spans="1:8">
      <c r="A739" s="96"/>
      <c r="B739" s="133" t="s">
        <v>635</v>
      </c>
      <c r="C739" s="69"/>
      <c r="D739" s="67"/>
      <c r="E739" s="67">
        <v>1</v>
      </c>
      <c r="F739" s="73"/>
      <c r="G739" s="68"/>
      <c r="H739" s="97"/>
    </row>
    <row r="740" spans="1:8">
      <c r="A740" s="98"/>
      <c r="B740" s="99" t="s">
        <v>463</v>
      </c>
      <c r="C740" s="106"/>
      <c r="D740" s="101"/>
      <c r="E740" s="107">
        <f>SUM(E739)</f>
        <v>1</v>
      </c>
      <c r="F740" s="125"/>
      <c r="G740" s="103"/>
      <c r="H740" s="104"/>
    </row>
    <row r="741" spans="1:8">
      <c r="A741" s="16" t="s">
        <v>412</v>
      </c>
      <c r="B741" s="19" t="s">
        <v>114</v>
      </c>
      <c r="C741" s="16"/>
      <c r="D741" s="16"/>
      <c r="E741" s="17"/>
      <c r="F741" s="17"/>
      <c r="G741" s="17"/>
      <c r="H741" s="17"/>
    </row>
    <row r="742" spans="1:8" ht="33.75" customHeight="1">
      <c r="A742" s="16" t="s">
        <v>413</v>
      </c>
      <c r="B742" s="50" t="s">
        <v>666</v>
      </c>
      <c r="C742" s="38" t="s">
        <v>665</v>
      </c>
      <c r="D742" s="16" t="s">
        <v>65</v>
      </c>
      <c r="E742" s="17">
        <f>E747</f>
        <v>4</v>
      </c>
      <c r="F742" s="17"/>
      <c r="G742" s="17">
        <f>E742*F742</f>
        <v>0</v>
      </c>
      <c r="H742" s="17"/>
    </row>
    <row r="743" spans="1:8">
      <c r="A743" s="91"/>
      <c r="B743" s="146" t="s">
        <v>479</v>
      </c>
      <c r="C743" s="105"/>
      <c r="D743" s="93"/>
      <c r="E743" s="93"/>
      <c r="F743" s="93"/>
      <c r="G743" s="94"/>
      <c r="H743" s="95"/>
    </row>
    <row r="744" spans="1:8">
      <c r="A744" s="96"/>
      <c r="B744" s="133" t="s">
        <v>640</v>
      </c>
      <c r="C744" s="69"/>
      <c r="D744" s="67"/>
      <c r="E744" s="67">
        <v>2</v>
      </c>
      <c r="F744" s="67"/>
      <c r="G744" s="68"/>
      <c r="H744" s="97"/>
    </row>
    <row r="745" spans="1:8">
      <c r="A745" s="96"/>
      <c r="B745" s="133" t="s">
        <v>485</v>
      </c>
      <c r="C745" s="69"/>
      <c r="D745" s="67"/>
      <c r="E745" s="67"/>
      <c r="F745" s="67"/>
      <c r="G745" s="68"/>
      <c r="H745" s="97"/>
    </row>
    <row r="746" spans="1:8">
      <c r="A746" s="96"/>
      <c r="B746" s="133" t="s">
        <v>640</v>
      </c>
      <c r="C746" s="69"/>
      <c r="D746" s="67"/>
      <c r="E746" s="67">
        <v>2</v>
      </c>
      <c r="F746" s="67"/>
      <c r="G746" s="68"/>
      <c r="H746" s="97"/>
    </row>
    <row r="747" spans="1:8">
      <c r="A747" s="98"/>
      <c r="B747" s="99" t="s">
        <v>463</v>
      </c>
      <c r="C747" s="106"/>
      <c r="D747" s="101"/>
      <c r="E747" s="107">
        <f>SUM(E744:E746)</f>
        <v>4</v>
      </c>
      <c r="F747" s="101"/>
      <c r="G747" s="103"/>
      <c r="H747" s="104"/>
    </row>
    <row r="748" spans="1:8" ht="53.25" customHeight="1">
      <c r="A748" s="16" t="s">
        <v>414</v>
      </c>
      <c r="B748" s="50" t="s">
        <v>259</v>
      </c>
      <c r="C748" s="16" t="s">
        <v>667</v>
      </c>
      <c r="D748" s="16" t="s">
        <v>65</v>
      </c>
      <c r="E748" s="17">
        <f>E753</f>
        <v>2</v>
      </c>
      <c r="F748" s="17"/>
      <c r="G748" s="17">
        <f>E748*F748</f>
        <v>0</v>
      </c>
      <c r="H748" s="17"/>
    </row>
    <row r="749" spans="1:8">
      <c r="A749" s="91"/>
      <c r="B749" s="134" t="s">
        <v>597</v>
      </c>
      <c r="C749" s="105"/>
      <c r="D749" s="93"/>
      <c r="E749" s="93"/>
      <c r="F749" s="93"/>
      <c r="G749" s="94"/>
      <c r="H749" s="95"/>
    </row>
    <row r="750" spans="1:8">
      <c r="A750" s="96"/>
      <c r="B750" s="133" t="s">
        <v>635</v>
      </c>
      <c r="C750" s="69"/>
      <c r="D750" s="67"/>
      <c r="E750" s="67">
        <v>1</v>
      </c>
      <c r="F750" s="67"/>
      <c r="G750" s="68"/>
      <c r="H750" s="97"/>
    </row>
    <row r="751" spans="1:8">
      <c r="A751" s="96"/>
      <c r="B751" s="135" t="s">
        <v>476</v>
      </c>
      <c r="C751" s="69"/>
      <c r="D751" s="67"/>
      <c r="E751" s="67"/>
      <c r="F751" s="67"/>
      <c r="G751" s="68"/>
      <c r="H751" s="97"/>
    </row>
    <row r="752" spans="1:8">
      <c r="A752" s="96"/>
      <c r="B752" s="133" t="s">
        <v>635</v>
      </c>
      <c r="C752" s="69"/>
      <c r="D752" s="67"/>
      <c r="E752" s="67">
        <v>1</v>
      </c>
      <c r="F752" s="67"/>
      <c r="G752" s="68"/>
      <c r="H752" s="97"/>
    </row>
    <row r="753" spans="1:8">
      <c r="A753" s="98"/>
      <c r="B753" s="99" t="s">
        <v>463</v>
      </c>
      <c r="C753" s="106"/>
      <c r="D753" s="101"/>
      <c r="E753" s="107">
        <f>SUM(E750:E752)</f>
        <v>2</v>
      </c>
      <c r="F753" s="101"/>
      <c r="G753" s="103"/>
      <c r="H753" s="104"/>
    </row>
    <row r="754" spans="1:8" ht="55.5" customHeight="1">
      <c r="A754" s="16" t="s">
        <v>415</v>
      </c>
      <c r="B754" s="50" t="s">
        <v>295</v>
      </c>
      <c r="C754" s="16" t="s">
        <v>262</v>
      </c>
      <c r="D754" s="16" t="s">
        <v>65</v>
      </c>
      <c r="E754" s="17">
        <f>E757</f>
        <v>1</v>
      </c>
      <c r="F754" s="17"/>
      <c r="G754" s="17">
        <f>E754*F754</f>
        <v>0</v>
      </c>
      <c r="H754" s="17"/>
    </row>
    <row r="755" spans="1:8">
      <c r="A755" s="91"/>
      <c r="B755" s="146" t="s">
        <v>486</v>
      </c>
      <c r="C755" s="105"/>
      <c r="D755" s="93"/>
      <c r="E755" s="93"/>
      <c r="F755" s="93"/>
      <c r="G755" s="94"/>
      <c r="H755" s="95"/>
    </row>
    <row r="756" spans="1:8">
      <c r="A756" s="96"/>
      <c r="B756" s="133" t="s">
        <v>635</v>
      </c>
      <c r="C756" s="69"/>
      <c r="D756" s="67"/>
      <c r="E756" s="67">
        <v>1</v>
      </c>
      <c r="F756" s="67"/>
      <c r="G756" s="68"/>
      <c r="H756" s="97"/>
    </row>
    <row r="757" spans="1:8">
      <c r="A757" s="98"/>
      <c r="B757" s="99" t="s">
        <v>463</v>
      </c>
      <c r="C757" s="106"/>
      <c r="D757" s="101"/>
      <c r="E757" s="107">
        <f>SUM(E756)</f>
        <v>1</v>
      </c>
      <c r="F757" s="101"/>
      <c r="G757" s="103"/>
      <c r="H757" s="104"/>
    </row>
    <row r="758" spans="1:8" ht="38.25">
      <c r="A758" s="16" t="s">
        <v>416</v>
      </c>
      <c r="B758" s="50" t="s">
        <v>261</v>
      </c>
      <c r="C758" s="16" t="s">
        <v>260</v>
      </c>
      <c r="D758" s="16" t="s">
        <v>65</v>
      </c>
      <c r="E758" s="17">
        <f>E765</f>
        <v>3</v>
      </c>
      <c r="F758" s="17"/>
      <c r="G758" s="17">
        <f>E758*F758</f>
        <v>0</v>
      </c>
      <c r="H758" s="17"/>
    </row>
    <row r="759" spans="1:8">
      <c r="A759" s="91"/>
      <c r="B759" s="146" t="s">
        <v>479</v>
      </c>
      <c r="C759" s="105"/>
      <c r="D759" s="93"/>
      <c r="E759" s="93"/>
      <c r="F759" s="93"/>
      <c r="G759" s="94"/>
      <c r="H759" s="95"/>
    </row>
    <row r="760" spans="1:8">
      <c r="A760" s="96"/>
      <c r="B760" s="133" t="s">
        <v>635</v>
      </c>
      <c r="C760" s="69"/>
      <c r="D760" s="67"/>
      <c r="E760" s="67">
        <v>1</v>
      </c>
      <c r="F760" s="67"/>
      <c r="G760" s="68"/>
      <c r="H760" s="97"/>
    </row>
    <row r="761" spans="1:8">
      <c r="A761" s="96"/>
      <c r="B761" s="133" t="s">
        <v>485</v>
      </c>
      <c r="C761" s="69"/>
      <c r="D761" s="67"/>
      <c r="E761" s="67"/>
      <c r="F761" s="67"/>
      <c r="G761" s="68"/>
      <c r="H761" s="97"/>
    </row>
    <row r="762" spans="1:8">
      <c r="A762" s="96"/>
      <c r="B762" s="133" t="s">
        <v>635</v>
      </c>
      <c r="C762" s="69"/>
      <c r="D762" s="67"/>
      <c r="E762" s="67">
        <v>1</v>
      </c>
      <c r="F762" s="67"/>
      <c r="G762" s="68"/>
      <c r="H762" s="97"/>
    </row>
    <row r="763" spans="1:8">
      <c r="A763" s="96"/>
      <c r="B763" s="135" t="s">
        <v>597</v>
      </c>
      <c r="C763" s="69"/>
      <c r="D763" s="67"/>
      <c r="E763" s="67"/>
      <c r="F763" s="67"/>
      <c r="G763" s="68"/>
      <c r="H763" s="97"/>
    </row>
    <row r="764" spans="1:8">
      <c r="A764" s="96"/>
      <c r="B764" s="133" t="s">
        <v>635</v>
      </c>
      <c r="C764" s="69"/>
      <c r="D764" s="67"/>
      <c r="E764" s="67">
        <v>1</v>
      </c>
      <c r="F764" s="67"/>
      <c r="G764" s="68"/>
      <c r="H764" s="97"/>
    </row>
    <row r="765" spans="1:8">
      <c r="A765" s="98"/>
      <c r="B765" s="99" t="s">
        <v>463</v>
      </c>
      <c r="C765" s="106"/>
      <c r="D765" s="101"/>
      <c r="E765" s="107">
        <f>SUM(E760:E764)</f>
        <v>3</v>
      </c>
      <c r="F765" s="103"/>
      <c r="G765" s="103"/>
      <c r="H765" s="104"/>
    </row>
    <row r="766" spans="1:8" ht="27" customHeight="1">
      <c r="A766" s="16" t="s">
        <v>417</v>
      </c>
      <c r="B766" s="50" t="s">
        <v>263</v>
      </c>
      <c r="C766" s="16" t="s">
        <v>262</v>
      </c>
      <c r="D766" s="16" t="s">
        <v>65</v>
      </c>
      <c r="E766" s="17">
        <f>E771</f>
        <v>2</v>
      </c>
      <c r="F766" s="17"/>
      <c r="G766" s="17">
        <f>E766*F766</f>
        <v>0</v>
      </c>
      <c r="H766" s="17"/>
    </row>
    <row r="767" spans="1:8">
      <c r="A767" s="91"/>
      <c r="B767" s="134" t="s">
        <v>470</v>
      </c>
      <c r="C767" s="105"/>
      <c r="D767" s="93"/>
      <c r="E767" s="93"/>
      <c r="F767" s="93"/>
      <c r="G767" s="94"/>
      <c r="H767" s="95"/>
    </row>
    <row r="768" spans="1:8">
      <c r="A768" s="96"/>
      <c r="B768" s="133" t="s">
        <v>635</v>
      </c>
      <c r="C768" s="69"/>
      <c r="D768" s="67"/>
      <c r="E768" s="67">
        <v>1</v>
      </c>
      <c r="F768" s="67"/>
      <c r="G768" s="68"/>
      <c r="H768" s="97"/>
    </row>
    <row r="769" spans="1:8">
      <c r="A769" s="96"/>
      <c r="B769" s="135" t="s">
        <v>476</v>
      </c>
      <c r="C769" s="69"/>
      <c r="D769" s="67"/>
      <c r="E769" s="67"/>
      <c r="F769" s="67"/>
      <c r="G769" s="68"/>
      <c r="H769" s="97"/>
    </row>
    <row r="770" spans="1:8">
      <c r="A770" s="96"/>
      <c r="B770" s="133" t="s">
        <v>635</v>
      </c>
      <c r="C770" s="69"/>
      <c r="D770" s="67"/>
      <c r="E770" s="67">
        <v>1</v>
      </c>
      <c r="F770" s="67"/>
      <c r="G770" s="68"/>
      <c r="H770" s="97"/>
    </row>
    <row r="771" spans="1:8">
      <c r="A771" s="98"/>
      <c r="B771" s="99" t="s">
        <v>463</v>
      </c>
      <c r="C771" s="106"/>
      <c r="D771" s="101"/>
      <c r="E771" s="107">
        <f>SUM(E768:E770)</f>
        <v>2</v>
      </c>
      <c r="F771" s="101"/>
      <c r="G771" s="103"/>
      <c r="H771" s="104"/>
    </row>
    <row r="772" spans="1:8" ht="36" customHeight="1">
      <c r="A772" s="16" t="s">
        <v>418</v>
      </c>
      <c r="B772" s="50" t="s">
        <v>265</v>
      </c>
      <c r="C772" s="16" t="s">
        <v>264</v>
      </c>
      <c r="D772" s="16" t="s">
        <v>65</v>
      </c>
      <c r="E772" s="17">
        <f>E775</f>
        <v>1</v>
      </c>
      <c r="F772" s="17"/>
      <c r="G772" s="17">
        <f>E772*F772</f>
        <v>0</v>
      </c>
      <c r="H772" s="17"/>
    </row>
    <row r="773" spans="1:8">
      <c r="A773" s="91"/>
      <c r="B773" s="134" t="s">
        <v>478</v>
      </c>
      <c r="C773" s="105"/>
      <c r="D773" s="93"/>
      <c r="E773" s="93"/>
      <c r="F773" s="93"/>
      <c r="G773" s="94"/>
      <c r="H773" s="95"/>
    </row>
    <row r="774" spans="1:8" ht="15.75" customHeight="1">
      <c r="A774" s="96"/>
      <c r="B774" s="133" t="s">
        <v>635</v>
      </c>
      <c r="C774" s="69"/>
      <c r="D774" s="67"/>
      <c r="E774" s="67">
        <v>1</v>
      </c>
      <c r="F774" s="68"/>
      <c r="G774" s="68"/>
      <c r="H774" s="97"/>
    </row>
    <row r="775" spans="1:8" ht="15.75" customHeight="1">
      <c r="A775" s="98"/>
      <c r="B775" s="99" t="s">
        <v>463</v>
      </c>
      <c r="C775" s="106"/>
      <c r="D775" s="101"/>
      <c r="E775" s="107">
        <f>SUM(E773:E774)</f>
        <v>1</v>
      </c>
      <c r="F775" s="103"/>
      <c r="G775" s="103"/>
      <c r="H775" s="104"/>
    </row>
    <row r="776" spans="1:8">
      <c r="A776" s="16" t="s">
        <v>419</v>
      </c>
      <c r="B776" s="152" t="s">
        <v>668</v>
      </c>
      <c r="C776" s="75" t="s">
        <v>709</v>
      </c>
      <c r="D776" s="16" t="s">
        <v>65</v>
      </c>
      <c r="E776" s="17">
        <f>E791</f>
        <v>7</v>
      </c>
      <c r="F776" s="17"/>
      <c r="G776" s="17">
        <f>E776*F776</f>
        <v>0</v>
      </c>
      <c r="H776" s="17"/>
    </row>
    <row r="777" spans="1:8">
      <c r="A777" s="91"/>
      <c r="B777" s="146" t="s">
        <v>479</v>
      </c>
      <c r="C777" s="105"/>
      <c r="D777" s="93"/>
      <c r="E777" s="93"/>
      <c r="F777" s="93"/>
      <c r="G777" s="94"/>
      <c r="H777" s="95"/>
    </row>
    <row r="778" spans="1:8">
      <c r="A778" s="96"/>
      <c r="B778" s="133" t="s">
        <v>635</v>
      </c>
      <c r="C778" s="69"/>
      <c r="D778" s="67"/>
      <c r="E778" s="67">
        <v>1</v>
      </c>
      <c r="F778" s="67"/>
      <c r="G778" s="68"/>
      <c r="H778" s="97"/>
    </row>
    <row r="779" spans="1:8">
      <c r="A779" s="96"/>
      <c r="B779" s="133" t="s">
        <v>485</v>
      </c>
      <c r="C779" s="69"/>
      <c r="D779" s="67"/>
      <c r="E779" s="67"/>
      <c r="F779" s="67"/>
      <c r="G779" s="68"/>
      <c r="H779" s="97"/>
    </row>
    <row r="780" spans="1:8">
      <c r="A780" s="96"/>
      <c r="B780" s="133" t="s">
        <v>635</v>
      </c>
      <c r="C780" s="69"/>
      <c r="D780" s="67"/>
      <c r="E780" s="67">
        <v>1</v>
      </c>
      <c r="F780" s="67"/>
      <c r="G780" s="68"/>
      <c r="H780" s="97"/>
    </row>
    <row r="781" spans="1:8">
      <c r="A781" s="96"/>
      <c r="B781" s="135" t="s">
        <v>470</v>
      </c>
      <c r="C781" s="69"/>
      <c r="D781" s="67"/>
      <c r="E781" s="67"/>
      <c r="F781" s="67"/>
      <c r="G781" s="68"/>
      <c r="H781" s="97"/>
    </row>
    <row r="782" spans="1:8">
      <c r="A782" s="96"/>
      <c r="B782" s="133" t="s">
        <v>635</v>
      </c>
      <c r="C782" s="69"/>
      <c r="D782" s="67"/>
      <c r="E782" s="67">
        <v>1</v>
      </c>
      <c r="F782" s="67"/>
      <c r="G782" s="68"/>
      <c r="H782" s="97"/>
    </row>
    <row r="783" spans="1:8">
      <c r="A783" s="96"/>
      <c r="B783" s="133" t="s">
        <v>486</v>
      </c>
      <c r="C783" s="69"/>
      <c r="D783" s="67"/>
      <c r="E783" s="67"/>
      <c r="F783" s="67"/>
      <c r="G783" s="68"/>
      <c r="H783" s="97"/>
    </row>
    <row r="784" spans="1:8">
      <c r="A784" s="96"/>
      <c r="B784" s="133" t="s">
        <v>635</v>
      </c>
      <c r="C784" s="69"/>
      <c r="D784" s="67"/>
      <c r="E784" s="67">
        <v>1</v>
      </c>
      <c r="F784" s="67"/>
      <c r="G784" s="68"/>
      <c r="H784" s="97"/>
    </row>
    <row r="785" spans="1:8">
      <c r="A785" s="96"/>
      <c r="B785" s="135" t="s">
        <v>478</v>
      </c>
      <c r="C785" s="69"/>
      <c r="D785" s="67"/>
      <c r="E785" s="67"/>
      <c r="F785" s="67"/>
      <c r="G785" s="68"/>
      <c r="H785" s="97"/>
    </row>
    <row r="786" spans="1:8">
      <c r="A786" s="96"/>
      <c r="B786" s="133" t="s">
        <v>635</v>
      </c>
      <c r="C786" s="69"/>
      <c r="D786" s="67"/>
      <c r="E786" s="67">
        <v>1</v>
      </c>
      <c r="F786" s="67"/>
      <c r="G786" s="68"/>
      <c r="H786" s="97"/>
    </row>
    <row r="787" spans="1:8">
      <c r="A787" s="96"/>
      <c r="B787" s="135" t="s">
        <v>597</v>
      </c>
      <c r="C787" s="69"/>
      <c r="D787" s="67"/>
      <c r="E787" s="67"/>
      <c r="F787" s="67"/>
      <c r="G787" s="68"/>
      <c r="H787" s="97"/>
    </row>
    <row r="788" spans="1:8">
      <c r="A788" s="96"/>
      <c r="B788" s="133" t="s">
        <v>635</v>
      </c>
      <c r="C788" s="69"/>
      <c r="D788" s="67"/>
      <c r="E788" s="67">
        <v>1</v>
      </c>
      <c r="F788" s="67"/>
      <c r="G788" s="68"/>
      <c r="H788" s="97"/>
    </row>
    <row r="789" spans="1:8">
      <c r="A789" s="96"/>
      <c r="B789" s="135" t="s">
        <v>476</v>
      </c>
      <c r="C789" s="69"/>
      <c r="D789" s="67"/>
      <c r="E789" s="67"/>
      <c r="F789" s="67"/>
      <c r="G789" s="68"/>
      <c r="H789" s="97"/>
    </row>
    <row r="790" spans="1:8">
      <c r="A790" s="96"/>
      <c r="B790" s="133" t="s">
        <v>635</v>
      </c>
      <c r="C790" s="69"/>
      <c r="D790" s="67"/>
      <c r="E790" s="67">
        <v>1</v>
      </c>
      <c r="F790" s="67"/>
      <c r="G790" s="68"/>
      <c r="H790" s="97"/>
    </row>
    <row r="791" spans="1:8">
      <c r="A791" s="98"/>
      <c r="B791" s="99" t="s">
        <v>463</v>
      </c>
      <c r="C791" s="106"/>
      <c r="D791" s="101"/>
      <c r="E791" s="107">
        <f>SUM(E778:E790)</f>
        <v>7</v>
      </c>
      <c r="F791" s="101"/>
      <c r="G791" s="103"/>
      <c r="H791" s="104"/>
    </row>
    <row r="792" spans="1:8">
      <c r="A792" s="16" t="s">
        <v>420</v>
      </c>
      <c r="B792" s="19" t="s">
        <v>669</v>
      </c>
      <c r="C792" s="16" t="s">
        <v>670</v>
      </c>
      <c r="D792" s="16" t="s">
        <v>65</v>
      </c>
      <c r="E792" s="17">
        <f>E797</f>
        <v>2</v>
      </c>
      <c r="F792" s="17"/>
      <c r="G792" s="17">
        <f>E792*F792</f>
        <v>0</v>
      </c>
      <c r="H792" s="17"/>
    </row>
    <row r="793" spans="1:8">
      <c r="A793" s="16"/>
      <c r="B793" s="49" t="s">
        <v>479</v>
      </c>
      <c r="C793" s="33"/>
      <c r="D793" s="32"/>
      <c r="E793" s="32"/>
      <c r="F793" s="32"/>
      <c r="G793" s="17"/>
      <c r="H793" s="17"/>
    </row>
    <row r="794" spans="1:8">
      <c r="A794" s="91"/>
      <c r="B794" s="146" t="s">
        <v>635</v>
      </c>
      <c r="C794" s="105"/>
      <c r="D794" s="93"/>
      <c r="E794" s="93">
        <v>1</v>
      </c>
      <c r="F794" s="93"/>
      <c r="G794" s="94"/>
      <c r="H794" s="95"/>
    </row>
    <row r="795" spans="1:8">
      <c r="A795" s="96"/>
      <c r="B795" s="133" t="s">
        <v>485</v>
      </c>
      <c r="C795" s="69"/>
      <c r="D795" s="67"/>
      <c r="E795" s="67"/>
      <c r="F795" s="67"/>
      <c r="G795" s="68"/>
      <c r="H795" s="97"/>
    </row>
    <row r="796" spans="1:8">
      <c r="A796" s="96"/>
      <c r="B796" s="133" t="s">
        <v>635</v>
      </c>
      <c r="C796" s="69"/>
      <c r="D796" s="67"/>
      <c r="E796" s="67">
        <v>1</v>
      </c>
      <c r="F796" s="67"/>
      <c r="G796" s="68"/>
      <c r="H796" s="97"/>
    </row>
    <row r="797" spans="1:8">
      <c r="A797" s="98"/>
      <c r="B797" s="99" t="s">
        <v>463</v>
      </c>
      <c r="C797" s="106"/>
      <c r="D797" s="101"/>
      <c r="E797" s="107">
        <f>SUM(E794:E796)</f>
        <v>2</v>
      </c>
      <c r="F797" s="101"/>
      <c r="G797" s="103"/>
      <c r="H797" s="104"/>
    </row>
    <row r="798" spans="1:8">
      <c r="A798" s="16" t="s">
        <v>421</v>
      </c>
      <c r="B798" s="19" t="s">
        <v>296</v>
      </c>
      <c r="C798" s="152" t="s">
        <v>671</v>
      </c>
      <c r="D798" s="16" t="s">
        <v>65</v>
      </c>
      <c r="E798" s="17">
        <f>E805</f>
        <v>3</v>
      </c>
      <c r="F798" s="17"/>
      <c r="G798" s="17">
        <f>E798*F798</f>
        <v>0</v>
      </c>
      <c r="H798" s="17"/>
    </row>
    <row r="799" spans="1:8">
      <c r="A799" s="91"/>
      <c r="B799" s="146" t="s">
        <v>479</v>
      </c>
      <c r="C799" s="105"/>
      <c r="D799" s="93"/>
      <c r="E799" s="93"/>
      <c r="F799" s="93"/>
      <c r="G799" s="94"/>
      <c r="H799" s="95"/>
    </row>
    <row r="800" spans="1:8">
      <c r="A800" s="96"/>
      <c r="B800" s="133" t="s">
        <v>635</v>
      </c>
      <c r="C800" s="69"/>
      <c r="D800" s="67"/>
      <c r="E800" s="67">
        <v>1</v>
      </c>
      <c r="F800" s="67"/>
      <c r="G800" s="68"/>
      <c r="H800" s="97"/>
    </row>
    <row r="801" spans="1:8">
      <c r="A801" s="96"/>
      <c r="B801" s="133" t="s">
        <v>485</v>
      </c>
      <c r="C801" s="69"/>
      <c r="D801" s="67"/>
      <c r="E801" s="67"/>
      <c r="F801" s="67"/>
      <c r="G801" s="68"/>
      <c r="H801" s="97"/>
    </row>
    <row r="802" spans="1:8">
      <c r="A802" s="96"/>
      <c r="B802" s="133" t="s">
        <v>635</v>
      </c>
      <c r="C802" s="69"/>
      <c r="D802" s="67"/>
      <c r="E802" s="67">
        <v>1</v>
      </c>
      <c r="F802" s="67"/>
      <c r="G802" s="68"/>
      <c r="H802" s="97"/>
    </row>
    <row r="803" spans="1:8">
      <c r="A803" s="96"/>
      <c r="B803" s="135" t="s">
        <v>597</v>
      </c>
      <c r="C803" s="69"/>
      <c r="D803" s="67"/>
      <c r="E803" s="67"/>
      <c r="F803" s="67"/>
      <c r="G803" s="68"/>
      <c r="H803" s="97"/>
    </row>
    <row r="804" spans="1:8">
      <c r="A804" s="96"/>
      <c r="B804" s="133" t="s">
        <v>635</v>
      </c>
      <c r="C804" s="69"/>
      <c r="D804" s="67"/>
      <c r="E804" s="67">
        <v>1</v>
      </c>
      <c r="F804" s="67"/>
      <c r="G804" s="68"/>
      <c r="H804" s="97"/>
    </row>
    <row r="805" spans="1:8">
      <c r="A805" s="98"/>
      <c r="B805" s="99" t="s">
        <v>463</v>
      </c>
      <c r="C805" s="106"/>
      <c r="D805" s="101"/>
      <c r="E805" s="107">
        <f>SUM(E800:E804)</f>
        <v>3</v>
      </c>
      <c r="F805" s="101"/>
      <c r="G805" s="103"/>
      <c r="H805" s="104"/>
    </row>
    <row r="806" spans="1:8">
      <c r="A806" s="16" t="s">
        <v>422</v>
      </c>
      <c r="B806" s="27" t="s">
        <v>116</v>
      </c>
      <c r="C806" s="152" t="s">
        <v>672</v>
      </c>
      <c r="D806" s="16" t="s">
        <v>65</v>
      </c>
      <c r="E806" s="17">
        <f>E821</f>
        <v>7</v>
      </c>
      <c r="F806" s="17"/>
      <c r="G806" s="17">
        <f>E806*F806</f>
        <v>0</v>
      </c>
      <c r="H806" s="17"/>
    </row>
    <row r="807" spans="1:8">
      <c r="A807" s="91"/>
      <c r="B807" s="146" t="s">
        <v>479</v>
      </c>
      <c r="C807" s="105"/>
      <c r="D807" s="93"/>
      <c r="E807" s="93"/>
      <c r="F807" s="93"/>
      <c r="G807" s="94"/>
      <c r="H807" s="95"/>
    </row>
    <row r="808" spans="1:8">
      <c r="A808" s="96"/>
      <c r="B808" s="133" t="s">
        <v>635</v>
      </c>
      <c r="C808" s="69"/>
      <c r="D808" s="67"/>
      <c r="E808" s="67">
        <v>1</v>
      </c>
      <c r="F808" s="67"/>
      <c r="G808" s="68"/>
      <c r="H808" s="97"/>
    </row>
    <row r="809" spans="1:8">
      <c r="A809" s="96"/>
      <c r="B809" s="133" t="s">
        <v>485</v>
      </c>
      <c r="C809" s="69"/>
      <c r="D809" s="67"/>
      <c r="E809" s="67"/>
      <c r="F809" s="67"/>
      <c r="G809" s="68"/>
      <c r="H809" s="97"/>
    </row>
    <row r="810" spans="1:8">
      <c r="A810" s="96"/>
      <c r="B810" s="133" t="s">
        <v>635</v>
      </c>
      <c r="C810" s="69"/>
      <c r="D810" s="67"/>
      <c r="E810" s="67">
        <v>1</v>
      </c>
      <c r="F810" s="67"/>
      <c r="G810" s="68"/>
      <c r="H810" s="97"/>
    </row>
    <row r="811" spans="1:8">
      <c r="A811" s="96"/>
      <c r="B811" s="135" t="s">
        <v>470</v>
      </c>
      <c r="C811" s="69"/>
      <c r="D811" s="67"/>
      <c r="E811" s="67"/>
      <c r="F811" s="67"/>
      <c r="G811" s="68"/>
      <c r="H811" s="97"/>
    </row>
    <row r="812" spans="1:8">
      <c r="A812" s="96"/>
      <c r="B812" s="133" t="s">
        <v>635</v>
      </c>
      <c r="C812" s="69"/>
      <c r="D812" s="67"/>
      <c r="E812" s="67">
        <v>1</v>
      </c>
      <c r="F812" s="67"/>
      <c r="G812" s="68"/>
      <c r="H812" s="97"/>
    </row>
    <row r="813" spans="1:8">
      <c r="A813" s="96"/>
      <c r="B813" s="133" t="s">
        <v>486</v>
      </c>
      <c r="C813" s="69"/>
      <c r="D813" s="67"/>
      <c r="E813" s="67"/>
      <c r="F813" s="67"/>
      <c r="G813" s="68"/>
      <c r="H813" s="97"/>
    </row>
    <row r="814" spans="1:8">
      <c r="A814" s="96"/>
      <c r="B814" s="133" t="s">
        <v>635</v>
      </c>
      <c r="C814" s="69"/>
      <c r="D814" s="67"/>
      <c r="E814" s="67">
        <v>1</v>
      </c>
      <c r="F814" s="67"/>
      <c r="G814" s="68"/>
      <c r="H814" s="97"/>
    </row>
    <row r="815" spans="1:8">
      <c r="A815" s="96"/>
      <c r="B815" s="135" t="s">
        <v>478</v>
      </c>
      <c r="C815" s="69"/>
      <c r="D815" s="67"/>
      <c r="E815" s="67"/>
      <c r="F815" s="67"/>
      <c r="G815" s="68"/>
      <c r="H815" s="97"/>
    </row>
    <row r="816" spans="1:8">
      <c r="A816" s="96"/>
      <c r="B816" s="133" t="s">
        <v>635</v>
      </c>
      <c r="C816" s="69"/>
      <c r="D816" s="67"/>
      <c r="E816" s="67">
        <v>1</v>
      </c>
      <c r="F816" s="67"/>
      <c r="G816" s="68"/>
      <c r="H816" s="97"/>
    </row>
    <row r="817" spans="1:8">
      <c r="A817" s="96"/>
      <c r="B817" s="135" t="s">
        <v>597</v>
      </c>
      <c r="C817" s="69"/>
      <c r="D817" s="67"/>
      <c r="E817" s="67"/>
      <c r="F817" s="67"/>
      <c r="G817" s="68"/>
      <c r="H817" s="97"/>
    </row>
    <row r="818" spans="1:8">
      <c r="A818" s="96"/>
      <c r="B818" s="133" t="s">
        <v>635</v>
      </c>
      <c r="C818" s="69"/>
      <c r="D818" s="67"/>
      <c r="E818" s="67">
        <v>1</v>
      </c>
      <c r="F818" s="67"/>
      <c r="G818" s="68"/>
      <c r="H818" s="97"/>
    </row>
    <row r="819" spans="1:8">
      <c r="A819" s="96"/>
      <c r="B819" s="135" t="s">
        <v>476</v>
      </c>
      <c r="C819" s="69"/>
      <c r="D819" s="67"/>
      <c r="E819" s="67"/>
      <c r="F819" s="67"/>
      <c r="G819" s="68"/>
      <c r="H819" s="97"/>
    </row>
    <row r="820" spans="1:8">
      <c r="A820" s="96"/>
      <c r="B820" s="133" t="s">
        <v>635</v>
      </c>
      <c r="C820" s="69"/>
      <c r="D820" s="67"/>
      <c r="E820" s="67">
        <v>1</v>
      </c>
      <c r="F820" s="67"/>
      <c r="G820" s="68"/>
      <c r="H820" s="97"/>
    </row>
    <row r="821" spans="1:8">
      <c r="A821" s="98"/>
      <c r="B821" s="99" t="s">
        <v>463</v>
      </c>
      <c r="C821" s="106"/>
      <c r="D821" s="101"/>
      <c r="E821" s="107">
        <f>SUM(E808:E820)</f>
        <v>7</v>
      </c>
      <c r="F821" s="101"/>
      <c r="G821" s="103"/>
      <c r="H821" s="104"/>
    </row>
    <row r="822" spans="1:8">
      <c r="A822" s="16" t="s">
        <v>696</v>
      </c>
      <c r="B822" s="19" t="s">
        <v>697</v>
      </c>
      <c r="C822" s="33"/>
      <c r="D822" s="32"/>
      <c r="E822" s="40"/>
      <c r="F822" s="32"/>
      <c r="G822" s="17"/>
      <c r="H822" s="17"/>
    </row>
    <row r="823" spans="1:8">
      <c r="A823" s="16" t="s">
        <v>46</v>
      </c>
      <c r="B823" s="77" t="s">
        <v>698</v>
      </c>
      <c r="C823" s="33" t="s">
        <v>152</v>
      </c>
      <c r="D823" s="16" t="s">
        <v>65</v>
      </c>
      <c r="E823" s="78">
        <v>3</v>
      </c>
      <c r="F823" s="32"/>
      <c r="G823" s="32">
        <f t="shared" ref="G823:G829" si="1">E823*F823</f>
        <v>0</v>
      </c>
      <c r="H823" s="17"/>
    </row>
    <row r="824" spans="1:8">
      <c r="A824" s="16" t="s">
        <v>47</v>
      </c>
      <c r="B824" s="77" t="s">
        <v>699</v>
      </c>
      <c r="C824" s="33" t="s">
        <v>3</v>
      </c>
      <c r="D824" s="16" t="s">
        <v>65</v>
      </c>
      <c r="E824" s="78">
        <v>3</v>
      </c>
      <c r="F824" s="32"/>
      <c r="G824" s="32">
        <f t="shared" si="1"/>
        <v>0</v>
      </c>
      <c r="H824" s="17"/>
    </row>
    <row r="825" spans="1:8">
      <c r="A825" s="16" t="s">
        <v>48</v>
      </c>
      <c r="B825" s="77" t="s">
        <v>700</v>
      </c>
      <c r="C825" s="33" t="s">
        <v>4</v>
      </c>
      <c r="D825" s="16" t="s">
        <v>65</v>
      </c>
      <c r="E825" s="78">
        <v>3</v>
      </c>
      <c r="F825" s="32"/>
      <c r="G825" s="32">
        <f t="shared" si="1"/>
        <v>0</v>
      </c>
      <c r="H825" s="17"/>
    </row>
    <row r="826" spans="1:8">
      <c r="A826" s="16" t="s">
        <v>49</v>
      </c>
      <c r="B826" s="77" t="s">
        <v>701</v>
      </c>
      <c r="C826" s="33" t="s">
        <v>4</v>
      </c>
      <c r="D826" s="16" t="s">
        <v>65</v>
      </c>
      <c r="E826" s="78">
        <v>3</v>
      </c>
      <c r="F826" s="32"/>
      <c r="G826" s="32">
        <f t="shared" si="1"/>
        <v>0</v>
      </c>
      <c r="H826" s="17"/>
    </row>
    <row r="827" spans="1:8">
      <c r="A827" s="16" t="s">
        <v>50</v>
      </c>
      <c r="B827" s="77" t="s">
        <v>0</v>
      </c>
      <c r="C827" s="33" t="s">
        <v>4</v>
      </c>
      <c r="D827" s="16" t="s">
        <v>65</v>
      </c>
      <c r="E827" s="78">
        <v>2</v>
      </c>
      <c r="F827" s="32"/>
      <c r="G827" s="32">
        <f t="shared" si="1"/>
        <v>0</v>
      </c>
      <c r="H827" s="17"/>
    </row>
    <row r="828" spans="1:8">
      <c r="A828" s="16" t="s">
        <v>51</v>
      </c>
      <c r="B828" s="77" t="s">
        <v>1</v>
      </c>
      <c r="C828" s="33" t="s">
        <v>4</v>
      </c>
      <c r="D828" s="16" t="s">
        <v>65</v>
      </c>
      <c r="E828" s="78">
        <v>1</v>
      </c>
      <c r="F828" s="32"/>
      <c r="G828" s="32">
        <f t="shared" si="1"/>
        <v>0</v>
      </c>
      <c r="H828" s="17"/>
    </row>
    <row r="829" spans="1:8">
      <c r="A829" s="16" t="s">
        <v>52</v>
      </c>
      <c r="B829" s="77" t="s">
        <v>2</v>
      </c>
      <c r="C829" s="33" t="s">
        <v>4</v>
      </c>
      <c r="D829" s="16" t="s">
        <v>65</v>
      </c>
      <c r="E829" s="78">
        <v>3</v>
      </c>
      <c r="F829" s="32"/>
      <c r="G829" s="32">
        <f t="shared" si="1"/>
        <v>0</v>
      </c>
      <c r="H829" s="17"/>
    </row>
    <row r="830" spans="1:8" ht="25.5">
      <c r="A830" s="16" t="s">
        <v>53</v>
      </c>
      <c r="B830" s="26" t="s">
        <v>653</v>
      </c>
      <c r="C830" s="16" t="s">
        <v>652</v>
      </c>
      <c r="D830" s="16" t="s">
        <v>65</v>
      </c>
      <c r="E830" s="17">
        <v>5</v>
      </c>
      <c r="F830" s="17"/>
      <c r="G830" s="17">
        <f>E830*F830</f>
        <v>0</v>
      </c>
      <c r="H830" s="17"/>
    </row>
    <row r="831" spans="1:8">
      <c r="A831" s="190" t="s">
        <v>111</v>
      </c>
      <c r="B831" s="190"/>
      <c r="C831" s="23"/>
      <c r="D831" s="23"/>
      <c r="E831" s="22"/>
      <c r="F831" s="22"/>
      <c r="G831" s="22">
        <f>SUM(G581:G830)</f>
        <v>0</v>
      </c>
      <c r="H831" s="17"/>
    </row>
    <row r="832" spans="1:8">
      <c r="A832" s="23" t="s">
        <v>363</v>
      </c>
      <c r="B832" s="18" t="s">
        <v>72</v>
      </c>
      <c r="C832" s="23"/>
      <c r="D832" s="16"/>
      <c r="E832" s="17"/>
      <c r="F832" s="17"/>
      <c r="G832" s="17"/>
      <c r="H832" s="17"/>
    </row>
    <row r="833" spans="1:8">
      <c r="A833" s="16" t="s">
        <v>364</v>
      </c>
      <c r="B833" s="19" t="s">
        <v>300</v>
      </c>
      <c r="C833" s="16" t="s">
        <v>299</v>
      </c>
      <c r="D833" s="38" t="s">
        <v>109</v>
      </c>
      <c r="E833" s="17">
        <f>E834</f>
        <v>200.65</v>
      </c>
      <c r="F833" s="17"/>
      <c r="G833" s="17">
        <f>E833*F833</f>
        <v>0</v>
      </c>
      <c r="H833" s="17"/>
    </row>
    <row r="834" spans="1:8">
      <c r="A834" s="118"/>
      <c r="B834" s="143" t="s">
        <v>673</v>
      </c>
      <c r="C834" s="119"/>
      <c r="D834" s="126"/>
      <c r="E834" s="115">
        <f>E313</f>
        <v>200.65</v>
      </c>
      <c r="F834" s="115"/>
      <c r="G834" s="115"/>
      <c r="H834" s="116"/>
    </row>
    <row r="835" spans="1:8" ht="25.5">
      <c r="A835" s="16" t="s">
        <v>365</v>
      </c>
      <c r="B835" s="26" t="s">
        <v>676</v>
      </c>
      <c r="C835" s="16" t="s">
        <v>675</v>
      </c>
      <c r="D835" s="38" t="s">
        <v>109</v>
      </c>
      <c r="E835" s="17">
        <f>E838</f>
        <v>922.84920000000011</v>
      </c>
      <c r="F835" s="17"/>
      <c r="G835" s="17">
        <f>E835*F835</f>
        <v>0</v>
      </c>
      <c r="H835" s="17"/>
    </row>
    <row r="836" spans="1:8">
      <c r="A836" s="91"/>
      <c r="B836" s="142" t="s">
        <v>677</v>
      </c>
      <c r="C836" s="92"/>
      <c r="D836" s="127"/>
      <c r="E836" s="94">
        <f>E307</f>
        <v>472.15000000000003</v>
      </c>
      <c r="F836" s="94"/>
      <c r="G836" s="94"/>
      <c r="H836" s="95"/>
    </row>
    <row r="837" spans="1:8">
      <c r="A837" s="96"/>
      <c r="B837" s="153" t="s">
        <v>678</v>
      </c>
      <c r="C837" s="66"/>
      <c r="D837" s="76"/>
      <c r="E837" s="68">
        <f>E311</f>
        <v>450.69920000000002</v>
      </c>
      <c r="F837" s="68"/>
      <c r="G837" s="68"/>
      <c r="H837" s="97"/>
    </row>
    <row r="838" spans="1:8">
      <c r="A838" s="98"/>
      <c r="B838" s="99" t="s">
        <v>463</v>
      </c>
      <c r="C838" s="106"/>
      <c r="D838" s="101"/>
      <c r="E838" s="107">
        <f>SUM(E836:E837)</f>
        <v>922.84920000000011</v>
      </c>
      <c r="F838" s="103"/>
      <c r="G838" s="103"/>
      <c r="H838" s="104"/>
    </row>
    <row r="839" spans="1:8" ht="25.5">
      <c r="A839" s="16" t="s">
        <v>366</v>
      </c>
      <c r="B839" s="26" t="s">
        <v>302</v>
      </c>
      <c r="C839" s="16" t="s">
        <v>301</v>
      </c>
      <c r="D839" s="38" t="s">
        <v>109</v>
      </c>
      <c r="E839" s="17">
        <f>E840</f>
        <v>200.65</v>
      </c>
      <c r="F839" s="17"/>
      <c r="G839" s="17">
        <f>E839*F839</f>
        <v>0</v>
      </c>
      <c r="H839" s="17"/>
    </row>
    <row r="840" spans="1:8">
      <c r="A840" s="118"/>
      <c r="B840" s="143" t="s">
        <v>674</v>
      </c>
      <c r="C840" s="119"/>
      <c r="D840" s="126"/>
      <c r="E840" s="115">
        <f>E313</f>
        <v>200.65</v>
      </c>
      <c r="F840" s="115"/>
      <c r="G840" s="115"/>
      <c r="H840" s="116"/>
    </row>
    <row r="841" spans="1:8" ht="25.5">
      <c r="A841" s="16" t="s">
        <v>423</v>
      </c>
      <c r="B841" s="26" t="s">
        <v>303</v>
      </c>
      <c r="C841" s="16" t="s">
        <v>304</v>
      </c>
      <c r="D841" s="38" t="s">
        <v>109</v>
      </c>
      <c r="E841" s="17">
        <f>E843</f>
        <v>430.45</v>
      </c>
      <c r="F841" s="17"/>
      <c r="G841" s="17">
        <f>E841*F841</f>
        <v>0</v>
      </c>
      <c r="H841" s="17"/>
    </row>
    <row r="842" spans="1:8" ht="25.5">
      <c r="A842" s="91"/>
      <c r="B842" s="148" t="s">
        <v>683</v>
      </c>
      <c r="C842" s="92"/>
      <c r="D842" s="127"/>
      <c r="E842" s="94"/>
      <c r="F842" s="94"/>
      <c r="G842" s="94"/>
      <c r="H842" s="95"/>
    </row>
    <row r="843" spans="1:8">
      <c r="A843" s="98"/>
      <c r="B843" s="136" t="s">
        <v>684</v>
      </c>
      <c r="C843" s="106"/>
      <c r="D843" s="101"/>
      <c r="E843" s="101">
        <f>472.15-41.7</f>
        <v>430.45</v>
      </c>
      <c r="F843" s="103"/>
      <c r="G843" s="103"/>
      <c r="H843" s="104"/>
    </row>
    <row r="844" spans="1:8">
      <c r="A844" s="16" t="s">
        <v>424</v>
      </c>
      <c r="B844" s="19" t="s">
        <v>306</v>
      </c>
      <c r="C844" s="16" t="s">
        <v>305</v>
      </c>
      <c r="D844" s="38" t="s">
        <v>109</v>
      </c>
      <c r="E844" s="17">
        <f>E845</f>
        <v>200.65</v>
      </c>
      <c r="F844" s="17"/>
      <c r="G844" s="17">
        <f>E844*F844</f>
        <v>0</v>
      </c>
      <c r="H844" s="17"/>
    </row>
    <row r="845" spans="1:8">
      <c r="A845" s="118"/>
      <c r="B845" s="124" t="s">
        <v>679</v>
      </c>
      <c r="C845" s="119"/>
      <c r="D845" s="126"/>
      <c r="E845" s="115">
        <f>E839</f>
        <v>200.65</v>
      </c>
      <c r="F845" s="115"/>
      <c r="G845" s="115"/>
      <c r="H845" s="116"/>
    </row>
    <row r="846" spans="1:8">
      <c r="A846" s="16" t="s">
        <v>425</v>
      </c>
      <c r="B846" s="27" t="s">
        <v>308</v>
      </c>
      <c r="C846" s="16" t="s">
        <v>307</v>
      </c>
      <c r="D846" s="38" t="s">
        <v>109</v>
      </c>
      <c r="E846" s="17">
        <f>E847</f>
        <v>430.45</v>
      </c>
      <c r="F846" s="17"/>
      <c r="G846" s="17">
        <f>E846*F846</f>
        <v>0</v>
      </c>
      <c r="H846" s="17"/>
    </row>
    <row r="847" spans="1:8">
      <c r="A847" s="118"/>
      <c r="B847" s="124" t="s">
        <v>680</v>
      </c>
      <c r="C847" s="119"/>
      <c r="D847" s="126"/>
      <c r="E847" s="115">
        <f>E841</f>
        <v>430.45</v>
      </c>
      <c r="F847" s="115"/>
      <c r="G847" s="115"/>
      <c r="H847" s="116"/>
    </row>
    <row r="848" spans="1:8">
      <c r="A848" s="16" t="s">
        <v>426</v>
      </c>
      <c r="B848" s="27" t="s">
        <v>310</v>
      </c>
      <c r="C848" s="16" t="s">
        <v>309</v>
      </c>
      <c r="D848" s="38" t="s">
        <v>109</v>
      </c>
      <c r="E848" s="17">
        <f>E849</f>
        <v>450.69920000000002</v>
      </c>
      <c r="F848" s="17"/>
      <c r="G848" s="17">
        <f>E848*F848</f>
        <v>0</v>
      </c>
      <c r="H848" s="17"/>
    </row>
    <row r="849" spans="1:8">
      <c r="A849" s="118"/>
      <c r="B849" s="124" t="s">
        <v>681</v>
      </c>
      <c r="C849" s="119"/>
      <c r="D849" s="119"/>
      <c r="E849" s="115">
        <f>E311</f>
        <v>450.69920000000002</v>
      </c>
      <c r="F849" s="115"/>
      <c r="G849" s="115"/>
      <c r="H849" s="116"/>
    </row>
    <row r="850" spans="1:8" ht="38.25">
      <c r="A850" s="16" t="s">
        <v>427</v>
      </c>
      <c r="B850" s="25" t="s">
        <v>298</v>
      </c>
      <c r="C850" s="16" t="s">
        <v>682</v>
      </c>
      <c r="D850" s="38" t="s">
        <v>109</v>
      </c>
      <c r="E850" s="17">
        <f>E852</f>
        <v>41.7</v>
      </c>
      <c r="F850" s="17"/>
      <c r="G850" s="17">
        <f>F850*E850</f>
        <v>0</v>
      </c>
      <c r="H850" s="17"/>
    </row>
    <row r="851" spans="1:8" s="52" customFormat="1">
      <c r="A851" s="91"/>
      <c r="B851" s="134" t="s">
        <v>476</v>
      </c>
      <c r="C851" s="105"/>
      <c r="D851" s="93"/>
      <c r="E851" s="93"/>
      <c r="F851" s="93"/>
      <c r="G851" s="94"/>
      <c r="H851" s="95"/>
    </row>
    <row r="852" spans="1:8" s="52" customFormat="1">
      <c r="A852" s="98"/>
      <c r="B852" s="136" t="s">
        <v>579</v>
      </c>
      <c r="C852" s="106"/>
      <c r="D852" s="101"/>
      <c r="E852" s="101">
        <f>(3.6+3.35)*2*3</f>
        <v>41.7</v>
      </c>
      <c r="F852" s="101"/>
      <c r="G852" s="103"/>
      <c r="H852" s="104"/>
    </row>
    <row r="853" spans="1:8" ht="38.25">
      <c r="A853" s="16" t="s">
        <v>428</v>
      </c>
      <c r="B853" s="26" t="s">
        <v>297</v>
      </c>
      <c r="C853" s="16" t="s">
        <v>174</v>
      </c>
      <c r="D853" s="38" t="s">
        <v>109</v>
      </c>
      <c r="E853" s="17">
        <f>E862</f>
        <v>75.12</v>
      </c>
      <c r="F853" s="17"/>
      <c r="G853" s="17">
        <f>F853*E853</f>
        <v>0</v>
      </c>
      <c r="H853" s="17"/>
    </row>
    <row r="854" spans="1:8" s="52" customFormat="1" ht="15.75" customHeight="1">
      <c r="A854" s="108"/>
      <c r="B854" s="146" t="s">
        <v>689</v>
      </c>
      <c r="C854" s="105"/>
      <c r="D854" s="93"/>
      <c r="E854" s="93"/>
      <c r="F854" s="93"/>
      <c r="G854" s="93"/>
      <c r="H854" s="95"/>
    </row>
    <row r="855" spans="1:8" s="52" customFormat="1" ht="15.75" customHeight="1">
      <c r="A855" s="111"/>
      <c r="B855" s="133" t="s">
        <v>688</v>
      </c>
      <c r="C855" s="69"/>
      <c r="D855" s="67"/>
      <c r="E855" s="67">
        <f>0.55*1.8*4*2</f>
        <v>7.9200000000000008</v>
      </c>
      <c r="F855" s="67"/>
      <c r="G855" s="67"/>
      <c r="H855" s="97"/>
    </row>
    <row r="856" spans="1:8" s="52" customFormat="1" ht="15.75" customHeight="1">
      <c r="A856" s="128" t="s">
        <v>643</v>
      </c>
      <c r="B856" s="133" t="s">
        <v>690</v>
      </c>
      <c r="C856" s="69"/>
      <c r="D856" s="67"/>
      <c r="E856" s="67"/>
      <c r="F856" s="67"/>
      <c r="G856" s="67"/>
      <c r="H856" s="97"/>
    </row>
    <row r="857" spans="1:8" s="52" customFormat="1" ht="15.75" customHeight="1">
      <c r="A857" s="111"/>
      <c r="B857" s="133" t="s">
        <v>691</v>
      </c>
      <c r="C857" s="69"/>
      <c r="D857" s="67"/>
      <c r="E857" s="67">
        <f>0.8*2.1*9*2.5</f>
        <v>37.800000000000004</v>
      </c>
      <c r="F857" s="67"/>
      <c r="G857" s="67"/>
      <c r="H857" s="97"/>
    </row>
    <row r="858" spans="1:8" s="52" customFormat="1" ht="15.75" customHeight="1">
      <c r="A858" s="111"/>
      <c r="B858" s="133" t="s">
        <v>692</v>
      </c>
      <c r="C858" s="69"/>
      <c r="D858" s="67"/>
      <c r="E858" s="67"/>
      <c r="F858" s="67"/>
      <c r="G858" s="67"/>
      <c r="H858" s="97"/>
    </row>
    <row r="859" spans="1:8" s="52" customFormat="1" ht="15.75" customHeight="1">
      <c r="A859" s="111"/>
      <c r="B859" s="133" t="s">
        <v>693</v>
      </c>
      <c r="C859" s="69"/>
      <c r="D859" s="67"/>
      <c r="E859" s="67">
        <f>1.2*2.1*2*2.5</f>
        <v>12.6</v>
      </c>
      <c r="F859" s="67"/>
      <c r="G859" s="67"/>
      <c r="H859" s="97"/>
    </row>
    <row r="860" spans="1:8" s="52" customFormat="1" ht="15.75" customHeight="1">
      <c r="A860" s="111"/>
      <c r="B860" s="133" t="s">
        <v>694</v>
      </c>
      <c r="C860" s="69"/>
      <c r="D860" s="67"/>
      <c r="E860" s="67"/>
      <c r="F860" s="67"/>
      <c r="G860" s="67"/>
      <c r="H860" s="97"/>
    </row>
    <row r="861" spans="1:8" s="52" customFormat="1" ht="15.75" customHeight="1">
      <c r="A861" s="110"/>
      <c r="B861" s="136" t="s">
        <v>695</v>
      </c>
      <c r="C861" s="106"/>
      <c r="D861" s="101"/>
      <c r="E861" s="101">
        <f>1.6*2.1*2*2.5</f>
        <v>16.8</v>
      </c>
      <c r="F861" s="101"/>
      <c r="G861" s="101"/>
      <c r="H861" s="104"/>
    </row>
    <row r="862" spans="1:8" s="52" customFormat="1" ht="15.75" customHeight="1">
      <c r="A862" s="33"/>
      <c r="B862" s="24" t="s">
        <v>463</v>
      </c>
      <c r="C862" s="33"/>
      <c r="D862" s="32"/>
      <c r="E862" s="40">
        <f>SUM(E855:E861)</f>
        <v>75.12</v>
      </c>
      <c r="F862" s="32"/>
      <c r="G862" s="32"/>
      <c r="H862" s="17"/>
    </row>
    <row r="863" spans="1:8">
      <c r="A863" s="190" t="s">
        <v>111</v>
      </c>
      <c r="B863" s="190"/>
      <c r="C863" s="23"/>
      <c r="D863" s="23"/>
      <c r="E863" s="22"/>
      <c r="F863" s="22"/>
      <c r="G863" s="22">
        <f>SUM(G833:G853)</f>
        <v>0</v>
      </c>
      <c r="H863" s="17"/>
    </row>
    <row r="864" spans="1:8" s="30" customFormat="1">
      <c r="A864" s="35" t="s">
        <v>367</v>
      </c>
      <c r="B864" s="36" t="s">
        <v>120</v>
      </c>
      <c r="C864" s="37"/>
      <c r="D864" s="38"/>
      <c r="E864" s="39"/>
      <c r="F864" s="39"/>
      <c r="G864" s="40"/>
      <c r="H864" s="17"/>
    </row>
    <row r="865" spans="1:8" s="30" customFormat="1" ht="38.25">
      <c r="A865" s="33" t="s">
        <v>368</v>
      </c>
      <c r="B865" s="41" t="s">
        <v>725</v>
      </c>
      <c r="C865" s="38" t="s">
        <v>723</v>
      </c>
      <c r="D865" s="33" t="s">
        <v>109</v>
      </c>
      <c r="E865" s="32">
        <f>E879</f>
        <v>16.141500000000001</v>
      </c>
      <c r="F865" s="32"/>
      <c r="G865" s="32">
        <f>E865*F865</f>
        <v>0</v>
      </c>
      <c r="H865" s="17"/>
    </row>
    <row r="866" spans="1:8">
      <c r="A866" s="91"/>
      <c r="B866" s="134" t="s">
        <v>470</v>
      </c>
      <c r="C866" s="105"/>
      <c r="D866" s="93"/>
      <c r="E866" s="93"/>
      <c r="F866" s="93"/>
      <c r="G866" s="94"/>
      <c r="H866" s="95"/>
    </row>
    <row r="867" spans="1:8">
      <c r="A867" s="96"/>
      <c r="B867" s="135" t="s">
        <v>5</v>
      </c>
      <c r="C867" s="69"/>
      <c r="D867" s="67"/>
      <c r="E867" s="67"/>
      <c r="F867" s="67"/>
      <c r="G867" s="68"/>
      <c r="H867" s="97"/>
    </row>
    <row r="868" spans="1:8">
      <c r="A868" s="96"/>
      <c r="B868" s="133" t="s">
        <v>6</v>
      </c>
      <c r="C868" s="69"/>
      <c r="D868" s="67"/>
      <c r="E868" s="67">
        <f>1.2*0.85</f>
        <v>1.02</v>
      </c>
      <c r="F868" s="67"/>
      <c r="G868" s="68"/>
      <c r="H868" s="97"/>
    </row>
    <row r="869" spans="1:8" s="30" customFormat="1">
      <c r="A869" s="111"/>
      <c r="B869" s="154" t="s">
        <v>7</v>
      </c>
      <c r="C869" s="76"/>
      <c r="D869" s="69"/>
      <c r="E869" s="67"/>
      <c r="F869" s="67"/>
      <c r="G869" s="67"/>
      <c r="H869" s="97"/>
    </row>
    <row r="870" spans="1:8" s="30" customFormat="1">
      <c r="A870" s="111"/>
      <c r="B870" s="133" t="s">
        <v>8</v>
      </c>
      <c r="C870" s="76"/>
      <c r="D870" s="69"/>
      <c r="E870" s="67">
        <f>2.06*0.85</f>
        <v>1.7509999999999999</v>
      </c>
      <c r="F870" s="67"/>
      <c r="G870" s="67"/>
      <c r="H870" s="97"/>
    </row>
    <row r="871" spans="1:8">
      <c r="A871" s="96"/>
      <c r="B871" s="133" t="s">
        <v>486</v>
      </c>
      <c r="C871" s="69"/>
      <c r="D871" s="67"/>
      <c r="E871" s="67"/>
      <c r="F871" s="67"/>
      <c r="G871" s="68"/>
      <c r="H871" s="97"/>
    </row>
    <row r="872" spans="1:8">
      <c r="A872" s="96"/>
      <c r="B872" s="133" t="s">
        <v>9</v>
      </c>
      <c r="C872" s="69"/>
      <c r="D872" s="67"/>
      <c r="E872" s="67">
        <f>1.7*0.85</f>
        <v>1.4449999999999998</v>
      </c>
      <c r="F872" s="67"/>
      <c r="G872" s="68"/>
      <c r="H872" s="97"/>
    </row>
    <row r="873" spans="1:8">
      <c r="A873" s="96"/>
      <c r="B873" s="135" t="s">
        <v>478</v>
      </c>
      <c r="C873" s="69"/>
      <c r="D873" s="67"/>
      <c r="E873" s="67"/>
      <c r="F873" s="67"/>
      <c r="G873" s="68"/>
      <c r="H873" s="97"/>
    </row>
    <row r="874" spans="1:8">
      <c r="A874" s="96"/>
      <c r="B874" s="133" t="s">
        <v>10</v>
      </c>
      <c r="C874" s="69"/>
      <c r="D874" s="67"/>
      <c r="E874" s="67">
        <f>3.6*0.85</f>
        <v>3.06</v>
      </c>
      <c r="F874" s="67"/>
      <c r="G874" s="68"/>
      <c r="H874" s="97"/>
    </row>
    <row r="875" spans="1:8">
      <c r="A875" s="96"/>
      <c r="B875" s="135" t="s">
        <v>476</v>
      </c>
      <c r="C875" s="69"/>
      <c r="D875" s="67"/>
      <c r="E875" s="67"/>
      <c r="F875" s="67"/>
      <c r="G875" s="68"/>
      <c r="H875" s="97"/>
    </row>
    <row r="876" spans="1:8">
      <c r="A876" s="96"/>
      <c r="B876" s="133" t="s">
        <v>11</v>
      </c>
      <c r="C876" s="69"/>
      <c r="D876" s="67"/>
      <c r="E876" s="67">
        <f>(3+3.35)*0.85</f>
        <v>5.3975</v>
      </c>
      <c r="F876" s="67"/>
      <c r="G876" s="68"/>
      <c r="H876" s="97"/>
    </row>
    <row r="877" spans="1:8">
      <c r="A877" s="96"/>
      <c r="B877" s="135" t="s">
        <v>474</v>
      </c>
      <c r="C877" s="69"/>
      <c r="D877" s="67"/>
      <c r="E877" s="67"/>
      <c r="F877" s="67"/>
      <c r="G877" s="68"/>
      <c r="H877" s="97"/>
    </row>
    <row r="878" spans="1:8">
      <c r="A878" s="96"/>
      <c r="B878" s="133" t="s">
        <v>12</v>
      </c>
      <c r="C878" s="69"/>
      <c r="D878" s="67"/>
      <c r="E878" s="67">
        <f>(1.85+2.23)*0.85</f>
        <v>3.468</v>
      </c>
      <c r="F878" s="67"/>
      <c r="G878" s="68"/>
      <c r="H878" s="97"/>
    </row>
    <row r="879" spans="1:8" s="30" customFormat="1">
      <c r="A879" s="110"/>
      <c r="B879" s="99" t="s">
        <v>463</v>
      </c>
      <c r="C879" s="106"/>
      <c r="D879" s="101"/>
      <c r="E879" s="107">
        <f>SUM(E868:E878)</f>
        <v>16.141500000000001</v>
      </c>
      <c r="F879" s="101"/>
      <c r="G879" s="101"/>
      <c r="H879" s="104"/>
    </row>
    <row r="880" spans="1:8" s="30" customFormat="1" ht="63.75">
      <c r="A880" s="33" t="s">
        <v>369</v>
      </c>
      <c r="B880" s="41" t="s">
        <v>183</v>
      </c>
      <c r="C880" s="33" t="s">
        <v>184</v>
      </c>
      <c r="D880" s="33" t="s">
        <v>109</v>
      </c>
      <c r="E880" s="32">
        <f>E887</f>
        <v>3.4</v>
      </c>
      <c r="F880" s="32"/>
      <c r="G880" s="32">
        <f>E880*F880</f>
        <v>0</v>
      </c>
      <c r="H880" s="17"/>
    </row>
    <row r="881" spans="1:8">
      <c r="A881" s="91"/>
      <c r="B881" s="146" t="s">
        <v>479</v>
      </c>
      <c r="C881" s="105"/>
      <c r="D881" s="93"/>
      <c r="E881" s="93"/>
      <c r="F881" s="93"/>
      <c r="G881" s="94"/>
      <c r="H881" s="95"/>
    </row>
    <row r="882" spans="1:8">
      <c r="A882" s="96"/>
      <c r="B882" s="133" t="s">
        <v>14</v>
      </c>
      <c r="C882" s="69"/>
      <c r="D882" s="67"/>
      <c r="E882" s="67">
        <f>1.4*1</f>
        <v>1.4</v>
      </c>
      <c r="F882" s="67"/>
      <c r="G882" s="68"/>
      <c r="H882" s="97"/>
    </row>
    <row r="883" spans="1:8">
      <c r="A883" s="96"/>
      <c r="B883" s="133" t="s">
        <v>485</v>
      </c>
      <c r="C883" s="69"/>
      <c r="D883" s="67"/>
      <c r="E883" s="67"/>
      <c r="F883" s="67"/>
      <c r="G883" s="68"/>
      <c r="H883" s="97"/>
    </row>
    <row r="884" spans="1:8">
      <c r="A884" s="96"/>
      <c r="B884" s="133" t="s">
        <v>14</v>
      </c>
      <c r="C884" s="69"/>
      <c r="D884" s="67"/>
      <c r="E884" s="67">
        <f>1.4*1</f>
        <v>1.4</v>
      </c>
      <c r="F884" s="67"/>
      <c r="G884" s="68"/>
      <c r="H884" s="97"/>
    </row>
    <row r="885" spans="1:8">
      <c r="A885" s="96"/>
      <c r="B885" s="135" t="s">
        <v>597</v>
      </c>
      <c r="C885" s="69"/>
      <c r="D885" s="67"/>
      <c r="E885" s="67"/>
      <c r="F885" s="67"/>
      <c r="G885" s="68"/>
      <c r="H885" s="97"/>
    </row>
    <row r="886" spans="1:8">
      <c r="A886" s="96"/>
      <c r="B886" s="133" t="s">
        <v>13</v>
      </c>
      <c r="C886" s="69"/>
      <c r="D886" s="67"/>
      <c r="E886" s="67">
        <f>0.6*1</f>
        <v>0.6</v>
      </c>
      <c r="F886" s="67"/>
      <c r="G886" s="68"/>
      <c r="H886" s="97"/>
    </row>
    <row r="887" spans="1:8" s="30" customFormat="1">
      <c r="A887" s="110"/>
      <c r="B887" s="99" t="s">
        <v>463</v>
      </c>
      <c r="C887" s="106"/>
      <c r="D887" s="101"/>
      <c r="E887" s="107">
        <f>SUM(E882:E886)</f>
        <v>3.4</v>
      </c>
      <c r="F887" s="101"/>
      <c r="G887" s="101"/>
      <c r="H887" s="104"/>
    </row>
    <row r="888" spans="1:8" s="30" customFormat="1" ht="25.5">
      <c r="A888" s="33" t="s">
        <v>370</v>
      </c>
      <c r="B888" s="25" t="s">
        <v>269</v>
      </c>
      <c r="C888" s="33" t="s">
        <v>268</v>
      </c>
      <c r="D888" s="33" t="s">
        <v>81</v>
      </c>
      <c r="E888" s="32">
        <f>E904</f>
        <v>9.1150000000000002</v>
      </c>
      <c r="F888" s="32"/>
      <c r="G888" s="32">
        <f>E888*F888</f>
        <v>0</v>
      </c>
      <c r="H888" s="17"/>
    </row>
    <row r="889" spans="1:8" s="30" customFormat="1">
      <c r="A889" s="91"/>
      <c r="B889" s="134" t="s">
        <v>470</v>
      </c>
      <c r="C889" s="105"/>
      <c r="D889" s="93"/>
      <c r="E889" s="93"/>
      <c r="F889" s="93"/>
      <c r="G889" s="94"/>
      <c r="H889" s="95"/>
    </row>
    <row r="890" spans="1:8" s="30" customFormat="1">
      <c r="A890" s="96"/>
      <c r="B890" s="135" t="s">
        <v>15</v>
      </c>
      <c r="C890" s="69"/>
      <c r="D890" s="67"/>
      <c r="E890" s="67"/>
      <c r="F890" s="67"/>
      <c r="G890" s="68"/>
      <c r="H890" s="97"/>
    </row>
    <row r="891" spans="1:8" s="30" customFormat="1">
      <c r="A891" s="96"/>
      <c r="B891" s="133" t="s">
        <v>16</v>
      </c>
      <c r="C891" s="69"/>
      <c r="D891" s="67"/>
      <c r="E891" s="67">
        <f>2.06*0.6</f>
        <v>1.236</v>
      </c>
      <c r="F891" s="67"/>
      <c r="G891" s="68"/>
      <c r="H891" s="97"/>
    </row>
    <row r="892" spans="1:8" s="30" customFormat="1">
      <c r="A892" s="111"/>
      <c r="B892" s="154" t="s">
        <v>17</v>
      </c>
      <c r="C892" s="76"/>
      <c r="D892" s="69"/>
      <c r="E892" s="67"/>
      <c r="F892" s="67"/>
      <c r="G892" s="67"/>
      <c r="H892" s="97"/>
    </row>
    <row r="893" spans="1:8" s="30" customFormat="1">
      <c r="A893" s="111"/>
      <c r="B893" s="133" t="s">
        <v>18</v>
      </c>
      <c r="C893" s="76"/>
      <c r="D893" s="69"/>
      <c r="E893" s="67">
        <f>2.06*0.35</f>
        <v>0.72099999999999997</v>
      </c>
      <c r="F893" s="67"/>
      <c r="G893" s="67"/>
      <c r="H893" s="97"/>
    </row>
    <row r="894" spans="1:8" s="30" customFormat="1">
      <c r="A894" s="96"/>
      <c r="B894" s="133" t="s">
        <v>486</v>
      </c>
      <c r="C894" s="69"/>
      <c r="D894" s="67"/>
      <c r="E894" s="67"/>
      <c r="F894" s="67"/>
      <c r="G894" s="68"/>
      <c r="H894" s="97"/>
    </row>
    <row r="895" spans="1:8" s="30" customFormat="1">
      <c r="A895" s="96"/>
      <c r="B895" s="133" t="s">
        <v>19</v>
      </c>
      <c r="C895" s="69"/>
      <c r="D895" s="67"/>
      <c r="E895" s="67">
        <f>1.7*0.6</f>
        <v>1.02</v>
      </c>
      <c r="F895" s="67"/>
      <c r="G895" s="68"/>
      <c r="H895" s="97"/>
    </row>
    <row r="896" spans="1:8">
      <c r="A896" s="96"/>
      <c r="B896" s="133" t="s">
        <v>479</v>
      </c>
      <c r="C896" s="69"/>
      <c r="D896" s="67"/>
      <c r="E896" s="67"/>
      <c r="F896" s="67"/>
      <c r="G896" s="68"/>
      <c r="H896" s="97"/>
    </row>
    <row r="897" spans="1:8">
      <c r="A897" s="96"/>
      <c r="B897" s="133" t="s">
        <v>22</v>
      </c>
      <c r="C897" s="69"/>
      <c r="D897" s="67"/>
      <c r="E897" s="67">
        <f>1.4*0.6</f>
        <v>0.84</v>
      </c>
      <c r="F897" s="67"/>
      <c r="G897" s="68"/>
      <c r="H897" s="97"/>
    </row>
    <row r="898" spans="1:8">
      <c r="A898" s="96"/>
      <c r="B898" s="133" t="s">
        <v>485</v>
      </c>
      <c r="C898" s="69"/>
      <c r="D898" s="67"/>
      <c r="E898" s="67"/>
      <c r="F898" s="67"/>
      <c r="G898" s="68"/>
      <c r="H898" s="97"/>
    </row>
    <row r="899" spans="1:8">
      <c r="A899" s="96"/>
      <c r="B899" s="133" t="s">
        <v>22</v>
      </c>
      <c r="C899" s="69"/>
      <c r="D899" s="67"/>
      <c r="E899" s="67">
        <f>1.4*0.6</f>
        <v>0.84</v>
      </c>
      <c r="F899" s="67"/>
      <c r="G899" s="68"/>
      <c r="H899" s="97"/>
    </row>
    <row r="900" spans="1:8" s="30" customFormat="1">
      <c r="A900" s="96"/>
      <c r="B900" s="135" t="s">
        <v>476</v>
      </c>
      <c r="C900" s="69"/>
      <c r="D900" s="67"/>
      <c r="E900" s="67"/>
      <c r="F900" s="67"/>
      <c r="G900" s="68"/>
      <c r="H900" s="97"/>
    </row>
    <row r="901" spans="1:8" s="30" customFormat="1">
      <c r="A901" s="96"/>
      <c r="B901" s="133" t="s">
        <v>20</v>
      </c>
      <c r="C901" s="69"/>
      <c r="D901" s="67"/>
      <c r="E901" s="67">
        <f>3.35*0.6</f>
        <v>2.0099999999999998</v>
      </c>
      <c r="F901" s="67"/>
      <c r="G901" s="68"/>
      <c r="H901" s="97"/>
    </row>
    <row r="902" spans="1:8" s="30" customFormat="1">
      <c r="A902" s="96"/>
      <c r="B902" s="135" t="s">
        <v>474</v>
      </c>
      <c r="C902" s="69"/>
      <c r="D902" s="67"/>
      <c r="E902" s="67"/>
      <c r="F902" s="67"/>
      <c r="G902" s="68"/>
      <c r="H902" s="97"/>
    </row>
    <row r="903" spans="1:8" s="30" customFormat="1">
      <c r="A903" s="96"/>
      <c r="B903" s="133" t="s">
        <v>21</v>
      </c>
      <c r="C903" s="69"/>
      <c r="D903" s="67"/>
      <c r="E903" s="67">
        <f>(1.85+2.23)*0.6</f>
        <v>2.448</v>
      </c>
      <c r="F903" s="67"/>
      <c r="G903" s="68"/>
      <c r="H903" s="97"/>
    </row>
    <row r="904" spans="1:8" s="30" customFormat="1">
      <c r="A904" s="110"/>
      <c r="B904" s="99" t="s">
        <v>463</v>
      </c>
      <c r="C904" s="106"/>
      <c r="D904" s="101"/>
      <c r="E904" s="107">
        <f>SUM(E891:E903)</f>
        <v>9.1150000000000002</v>
      </c>
      <c r="F904" s="101"/>
      <c r="G904" s="101"/>
      <c r="H904" s="104"/>
    </row>
    <row r="905" spans="1:8" s="30" customFormat="1" ht="37.5" customHeight="1">
      <c r="A905" s="158" t="s">
        <v>374</v>
      </c>
      <c r="B905" s="159" t="s">
        <v>267</v>
      </c>
      <c r="C905" s="160" t="s">
        <v>23</v>
      </c>
      <c r="D905" s="158" t="s">
        <v>81</v>
      </c>
      <c r="E905" s="84">
        <f>E908</f>
        <v>1.8</v>
      </c>
      <c r="F905" s="84"/>
      <c r="G905" s="84">
        <f>E905*F905</f>
        <v>0</v>
      </c>
      <c r="H905" s="85"/>
    </row>
    <row r="906" spans="1:8" s="30" customFormat="1">
      <c r="A906" s="91"/>
      <c r="B906" s="134" t="s">
        <v>476</v>
      </c>
      <c r="C906" s="105"/>
      <c r="D906" s="93"/>
      <c r="E906" s="93"/>
      <c r="F906" s="93"/>
      <c r="G906" s="94"/>
      <c r="H906" s="95"/>
    </row>
    <row r="907" spans="1:8" s="30" customFormat="1">
      <c r="A907" s="96"/>
      <c r="B907" s="133" t="s">
        <v>24</v>
      </c>
      <c r="C907" s="69"/>
      <c r="D907" s="67"/>
      <c r="E907" s="67">
        <f>3.6-0.6-1.2</f>
        <v>1.8</v>
      </c>
      <c r="F907" s="67"/>
      <c r="G907" s="68"/>
      <c r="H907" s="97"/>
    </row>
    <row r="908" spans="1:8" s="30" customFormat="1">
      <c r="A908" s="111"/>
      <c r="B908" s="90" t="s">
        <v>463</v>
      </c>
      <c r="C908" s="69"/>
      <c r="D908" s="67"/>
      <c r="E908" s="120">
        <f>SUM(E907)</f>
        <v>1.8</v>
      </c>
      <c r="F908" s="67"/>
      <c r="G908" s="67"/>
      <c r="H908" s="97"/>
    </row>
    <row r="909" spans="1:8" s="30" customFormat="1">
      <c r="A909" s="110"/>
      <c r="B909" s="99"/>
      <c r="C909" s="106"/>
      <c r="D909" s="101"/>
      <c r="E909" s="107"/>
      <c r="F909" s="101"/>
      <c r="G909" s="101"/>
      <c r="H909" s="104"/>
    </row>
    <row r="910" spans="1:8" s="30" customFormat="1" ht="15" customHeight="1">
      <c r="A910" s="161" t="s">
        <v>375</v>
      </c>
      <c r="B910" s="162" t="s">
        <v>330</v>
      </c>
      <c r="C910" s="161" t="s">
        <v>329</v>
      </c>
      <c r="D910" s="161" t="s">
        <v>109</v>
      </c>
      <c r="E910" s="88">
        <f>E916</f>
        <v>22.880000000000003</v>
      </c>
      <c r="F910" s="88"/>
      <c r="G910" s="88">
        <f>E910*F910</f>
        <v>0</v>
      </c>
      <c r="H910" s="89"/>
    </row>
    <row r="911" spans="1:8" s="30" customFormat="1" ht="15.75" customHeight="1">
      <c r="A911" s="108"/>
      <c r="B911" s="109" t="s">
        <v>25</v>
      </c>
      <c r="C911" s="105"/>
      <c r="D911" s="105"/>
      <c r="E911" s="93">
        <f>E403</f>
        <v>2.16</v>
      </c>
      <c r="F911" s="93"/>
      <c r="G911" s="93"/>
      <c r="H911" s="95"/>
    </row>
    <row r="912" spans="1:8" s="30" customFormat="1" ht="15" customHeight="1">
      <c r="A912" s="111"/>
      <c r="B912" s="121" t="s">
        <v>26</v>
      </c>
      <c r="C912" s="69"/>
      <c r="D912" s="69"/>
      <c r="E912" s="67">
        <f>E411</f>
        <v>14.04</v>
      </c>
      <c r="F912" s="67"/>
      <c r="G912" s="67"/>
      <c r="H912" s="97"/>
    </row>
    <row r="913" spans="1:8" s="30" customFormat="1" ht="15" customHeight="1">
      <c r="A913" s="111"/>
      <c r="B913" s="121" t="s">
        <v>27</v>
      </c>
      <c r="C913" s="69"/>
      <c r="D913" s="69"/>
      <c r="E913" s="67">
        <f>E423</f>
        <v>5.4</v>
      </c>
      <c r="F913" s="67"/>
      <c r="G913" s="67"/>
      <c r="H913" s="97"/>
    </row>
    <row r="914" spans="1:8" s="30" customFormat="1" ht="15" customHeight="1">
      <c r="A914" s="111"/>
      <c r="B914" s="121" t="s">
        <v>29</v>
      </c>
      <c r="C914" s="69"/>
      <c r="D914" s="69"/>
      <c r="E914" s="67">
        <f>E433</f>
        <v>0.48</v>
      </c>
      <c r="F914" s="67"/>
      <c r="G914" s="67"/>
      <c r="H914" s="97"/>
    </row>
    <row r="915" spans="1:8" s="30" customFormat="1" ht="15" customHeight="1">
      <c r="A915" s="111"/>
      <c r="B915" s="121" t="s">
        <v>28</v>
      </c>
      <c r="C915" s="69"/>
      <c r="D915" s="69"/>
      <c r="E915" s="67">
        <f>E437</f>
        <v>0.8</v>
      </c>
      <c r="F915" s="67"/>
      <c r="G915" s="67"/>
      <c r="H915" s="97"/>
    </row>
    <row r="916" spans="1:8" s="30" customFormat="1" ht="15" customHeight="1">
      <c r="A916" s="110"/>
      <c r="B916" s="99" t="s">
        <v>463</v>
      </c>
      <c r="C916" s="106"/>
      <c r="D916" s="101"/>
      <c r="E916" s="107">
        <f>SUM(E911:E915)</f>
        <v>22.880000000000003</v>
      </c>
      <c r="F916" s="101"/>
      <c r="G916" s="101"/>
      <c r="H916" s="104"/>
    </row>
    <row r="917" spans="1:8">
      <c r="A917" s="190" t="s">
        <v>111</v>
      </c>
      <c r="B917" s="190"/>
      <c r="C917" s="23"/>
      <c r="D917" s="23"/>
      <c r="E917" s="22"/>
      <c r="F917" s="22"/>
      <c r="G917" s="22">
        <f>SUM(G865:G910)</f>
        <v>0</v>
      </c>
      <c r="H917" s="17"/>
    </row>
    <row r="918" spans="1:8" s="30" customFormat="1">
      <c r="A918" s="35" t="s">
        <v>371</v>
      </c>
      <c r="B918" s="36" t="s">
        <v>121</v>
      </c>
      <c r="C918" s="37"/>
      <c r="D918" s="38"/>
      <c r="E918" s="39"/>
      <c r="F918" s="39"/>
      <c r="G918" s="40"/>
      <c r="H918" s="17"/>
    </row>
    <row r="919" spans="1:8" s="30" customFormat="1" ht="37.5" customHeight="1">
      <c r="A919" s="33" t="s">
        <v>372</v>
      </c>
      <c r="B919" s="34" t="s">
        <v>270</v>
      </c>
      <c r="C919" s="33" t="s">
        <v>708</v>
      </c>
      <c r="D919" s="16" t="s">
        <v>65</v>
      </c>
      <c r="E919" s="39">
        <v>45</v>
      </c>
      <c r="F919" s="39"/>
      <c r="G919" s="32">
        <f>E919*F919</f>
        <v>0</v>
      </c>
      <c r="H919" s="17"/>
    </row>
    <row r="920" spans="1:8" s="30" customFormat="1">
      <c r="A920" s="33" t="s">
        <v>30</v>
      </c>
      <c r="B920" s="34" t="s">
        <v>176</v>
      </c>
      <c r="C920" s="33" t="s">
        <v>175</v>
      </c>
      <c r="D920" s="38" t="s">
        <v>109</v>
      </c>
      <c r="E920" s="39">
        <v>279.83999999999997</v>
      </c>
      <c r="F920" s="32"/>
      <c r="G920" s="32">
        <f>E920*F920</f>
        <v>0</v>
      </c>
      <c r="H920" s="17"/>
    </row>
    <row r="921" spans="1:8" s="30" customFormat="1">
      <c r="A921" s="16" t="s">
        <v>714</v>
      </c>
      <c r="B921" s="49" t="s">
        <v>717</v>
      </c>
      <c r="C921" s="33"/>
      <c r="D921" s="38"/>
      <c r="E921" s="39"/>
      <c r="F921" s="32"/>
      <c r="G921" s="32"/>
      <c r="H921" s="17"/>
    </row>
    <row r="922" spans="1:8" s="30" customFormat="1">
      <c r="A922" s="16" t="s">
        <v>715</v>
      </c>
      <c r="B922" s="49" t="s">
        <v>710</v>
      </c>
      <c r="C922" s="33" t="s">
        <v>711</v>
      </c>
      <c r="D922" s="33" t="s">
        <v>109</v>
      </c>
      <c r="E922" s="32">
        <v>8.25</v>
      </c>
      <c r="F922" s="32"/>
      <c r="G922" s="32">
        <f>E922*F922</f>
        <v>0</v>
      </c>
      <c r="H922" s="17"/>
    </row>
    <row r="923" spans="1:8" s="30" customFormat="1">
      <c r="A923" s="16" t="s">
        <v>716</v>
      </c>
      <c r="B923" s="49" t="s">
        <v>712</v>
      </c>
      <c r="C923" s="33" t="s">
        <v>443</v>
      </c>
      <c r="D923" s="33" t="s">
        <v>109</v>
      </c>
      <c r="E923" s="32">
        <v>8.25</v>
      </c>
      <c r="F923" s="32"/>
      <c r="G923" s="32">
        <f>E923*F923</f>
        <v>0</v>
      </c>
      <c r="H923" s="17"/>
    </row>
    <row r="924" spans="1:8">
      <c r="A924" s="190" t="s">
        <v>111</v>
      </c>
      <c r="B924" s="190"/>
      <c r="C924" s="23"/>
      <c r="D924" s="23"/>
      <c r="E924" s="22"/>
      <c r="F924" s="22"/>
      <c r="G924" s="22">
        <f>SUM(G919:G923)</f>
        <v>0</v>
      </c>
      <c r="H924" s="17"/>
    </row>
    <row r="925" spans="1:8">
      <c r="A925" s="23" t="s">
        <v>376</v>
      </c>
      <c r="B925" s="24" t="s">
        <v>311</v>
      </c>
      <c r="C925" s="23"/>
      <c r="D925" s="23"/>
      <c r="E925" s="22"/>
      <c r="F925" s="22"/>
      <c r="G925" s="22"/>
      <c r="H925" s="17"/>
    </row>
    <row r="926" spans="1:8" ht="25.5">
      <c r="A926" s="16" t="s">
        <v>377</v>
      </c>
      <c r="B926" s="50" t="s">
        <v>313</v>
      </c>
      <c r="C926" s="16" t="s">
        <v>312</v>
      </c>
      <c r="D926" s="38" t="s">
        <v>109</v>
      </c>
      <c r="E926" s="17">
        <f>E927</f>
        <v>25.950000000000003</v>
      </c>
      <c r="F926" s="17"/>
      <c r="G926" s="32">
        <f>E926*F926</f>
        <v>0</v>
      </c>
      <c r="H926" s="17"/>
    </row>
    <row r="927" spans="1:8">
      <c r="A927" s="118"/>
      <c r="B927" s="155" t="s">
        <v>31</v>
      </c>
      <c r="C927" s="119"/>
      <c r="D927" s="126"/>
      <c r="E927" s="115">
        <f>14.65*1+(4+7.3)*1</f>
        <v>25.950000000000003</v>
      </c>
      <c r="F927" s="115"/>
      <c r="G927" s="114"/>
      <c r="H927" s="116"/>
    </row>
    <row r="928" spans="1:8" ht="25.5">
      <c r="A928" s="16" t="s">
        <v>378</v>
      </c>
      <c r="B928" s="51" t="s">
        <v>315</v>
      </c>
      <c r="C928" s="33" t="s">
        <v>145</v>
      </c>
      <c r="D928" s="16" t="s">
        <v>199</v>
      </c>
      <c r="E928" s="32">
        <f>E929</f>
        <v>46.710000000000008</v>
      </c>
      <c r="F928" s="32"/>
      <c r="G928" s="17">
        <f>E928*F928</f>
        <v>0</v>
      </c>
      <c r="H928" s="17"/>
    </row>
    <row r="929" spans="1:8">
      <c r="A929" s="118"/>
      <c r="B929" s="155" t="s">
        <v>32</v>
      </c>
      <c r="C929" s="119"/>
      <c r="D929" s="126"/>
      <c r="E929" s="115">
        <f>14.65*1.8+(4+7.3)*1.8</f>
        <v>46.710000000000008</v>
      </c>
      <c r="F929" s="115"/>
      <c r="G929" s="114"/>
      <c r="H929" s="116"/>
    </row>
    <row r="930" spans="1:8">
      <c r="A930" s="16" t="s">
        <v>379</v>
      </c>
      <c r="B930" s="49" t="s">
        <v>201</v>
      </c>
      <c r="C930" s="16">
        <v>72897</v>
      </c>
      <c r="D930" s="16" t="s">
        <v>199</v>
      </c>
      <c r="E930" s="17">
        <f>E935</f>
        <v>10.790010000000001</v>
      </c>
      <c r="F930" s="17"/>
      <c r="G930" s="17">
        <f>E930*F930</f>
        <v>0</v>
      </c>
      <c r="H930" s="17"/>
    </row>
    <row r="931" spans="1:8">
      <c r="A931" s="91"/>
      <c r="B931" s="132" t="s">
        <v>34</v>
      </c>
      <c r="C931" s="92"/>
      <c r="D931" s="127"/>
      <c r="E931" s="94"/>
      <c r="F931" s="94"/>
      <c r="G931" s="93"/>
      <c r="H931" s="95"/>
    </row>
    <row r="932" spans="1:8">
      <c r="A932" s="96"/>
      <c r="B932" s="74" t="s">
        <v>33</v>
      </c>
      <c r="C932" s="66"/>
      <c r="D932" s="76"/>
      <c r="E932" s="68">
        <f>46.71*0.06*1.1</f>
        <v>3.0828600000000002</v>
      </c>
      <c r="F932" s="68"/>
      <c r="G932" s="67"/>
      <c r="H932" s="97"/>
    </row>
    <row r="933" spans="1:8">
      <c r="A933" s="96"/>
      <c r="B933" s="74" t="s">
        <v>35</v>
      </c>
      <c r="C933" s="66"/>
      <c r="D933" s="76"/>
      <c r="E933" s="68"/>
      <c r="F933" s="68"/>
      <c r="G933" s="67"/>
      <c r="H933" s="97"/>
    </row>
    <row r="934" spans="1:8">
      <c r="A934" s="96"/>
      <c r="B934" s="74" t="s">
        <v>36</v>
      </c>
      <c r="C934" s="66"/>
      <c r="D934" s="76"/>
      <c r="E934" s="68">
        <f>46.71*0.15*1.1</f>
        <v>7.7071500000000004</v>
      </c>
      <c r="F934" s="68"/>
      <c r="G934" s="67"/>
      <c r="H934" s="97"/>
    </row>
    <row r="935" spans="1:8">
      <c r="A935" s="98"/>
      <c r="B935" s="99" t="s">
        <v>463</v>
      </c>
      <c r="C935" s="106"/>
      <c r="D935" s="101"/>
      <c r="E935" s="107">
        <f>SUM(E932:E934)</f>
        <v>10.790010000000001</v>
      </c>
      <c r="F935" s="103"/>
      <c r="G935" s="101"/>
      <c r="H935" s="104"/>
    </row>
    <row r="936" spans="1:8" ht="25.5">
      <c r="A936" s="16" t="s">
        <v>429</v>
      </c>
      <c r="B936" s="50" t="s">
        <v>324</v>
      </c>
      <c r="C936" s="16">
        <v>6430</v>
      </c>
      <c r="D936" s="16" t="s">
        <v>199</v>
      </c>
      <c r="E936" s="17">
        <f>E938</f>
        <v>2.9586000000000006</v>
      </c>
      <c r="F936" s="17"/>
      <c r="G936" s="17">
        <f>E936*F936</f>
        <v>0</v>
      </c>
      <c r="H936" s="17"/>
    </row>
    <row r="937" spans="1:8">
      <c r="A937" s="91"/>
      <c r="B937" s="132" t="s">
        <v>37</v>
      </c>
      <c r="C937" s="92"/>
      <c r="D937" s="92"/>
      <c r="E937" s="94"/>
      <c r="F937" s="94"/>
      <c r="G937" s="94"/>
      <c r="H937" s="95"/>
    </row>
    <row r="938" spans="1:8" ht="25.5">
      <c r="A938" s="98"/>
      <c r="B938" s="156" t="s">
        <v>38</v>
      </c>
      <c r="C938" s="100"/>
      <c r="D938" s="100"/>
      <c r="E938" s="103">
        <f>49.31*0.2*0.3</f>
        <v>2.9586000000000006</v>
      </c>
      <c r="F938" s="103"/>
      <c r="G938" s="103"/>
      <c r="H938" s="104"/>
    </row>
    <row r="939" spans="1:8" ht="38.25">
      <c r="A939" s="16" t="s">
        <v>430</v>
      </c>
      <c r="B939" s="50" t="s">
        <v>325</v>
      </c>
      <c r="C939" s="16">
        <v>6122</v>
      </c>
      <c r="D939" s="16" t="s">
        <v>199</v>
      </c>
      <c r="E939" s="17">
        <f>E940</f>
        <v>2.96</v>
      </c>
      <c r="F939" s="17"/>
      <c r="G939" s="17">
        <f>E939*F939</f>
        <v>0</v>
      </c>
      <c r="H939" s="17"/>
    </row>
    <row r="940" spans="1:8">
      <c r="A940" s="118"/>
      <c r="B940" s="155" t="s">
        <v>39</v>
      </c>
      <c r="C940" s="119"/>
      <c r="D940" s="119"/>
      <c r="E940" s="115">
        <v>2.96</v>
      </c>
      <c r="F940" s="115"/>
      <c r="G940" s="115"/>
      <c r="H940" s="116"/>
    </row>
    <row r="941" spans="1:8" ht="38.25">
      <c r="A941" s="16" t="s">
        <v>431</v>
      </c>
      <c r="B941" s="25" t="s">
        <v>326</v>
      </c>
      <c r="C941" s="16">
        <v>6110</v>
      </c>
      <c r="D941" s="16" t="s">
        <v>199</v>
      </c>
      <c r="E941" s="17">
        <f>E942</f>
        <v>4.3392800000000005</v>
      </c>
      <c r="F941" s="17"/>
      <c r="G941" s="17">
        <f>E941*F941</f>
        <v>0</v>
      </c>
      <c r="H941" s="17"/>
    </row>
    <row r="942" spans="1:8">
      <c r="A942" s="118"/>
      <c r="B942" s="157" t="s">
        <v>41</v>
      </c>
      <c r="C942" s="119"/>
      <c r="D942" s="119"/>
      <c r="E942" s="115">
        <f>49.31*0.22*0.4</f>
        <v>4.3392800000000005</v>
      </c>
      <c r="F942" s="115"/>
      <c r="G942" s="115"/>
      <c r="H942" s="116"/>
    </row>
    <row r="943" spans="1:8" ht="25.5">
      <c r="A943" s="16" t="s">
        <v>432</v>
      </c>
      <c r="B943" s="50" t="s">
        <v>323</v>
      </c>
      <c r="C943" s="16">
        <v>55835</v>
      </c>
      <c r="D943" s="16" t="s">
        <v>199</v>
      </c>
      <c r="E943" s="17">
        <f>E944</f>
        <v>49.31</v>
      </c>
      <c r="F943" s="17"/>
      <c r="G943" s="17">
        <f>E943*F943</f>
        <v>0</v>
      </c>
      <c r="H943" s="17"/>
    </row>
    <row r="944" spans="1:8">
      <c r="A944" s="16"/>
      <c r="B944" s="25" t="s">
        <v>40</v>
      </c>
      <c r="C944" s="16"/>
      <c r="D944" s="16"/>
      <c r="E944" s="17">
        <f>49.31*1</f>
        <v>49.31</v>
      </c>
      <c r="F944" s="17"/>
      <c r="G944" s="17"/>
      <c r="H944" s="17"/>
    </row>
    <row r="945" spans="1:8" ht="25.5">
      <c r="A945" s="16" t="s">
        <v>433</v>
      </c>
      <c r="B945" s="50" t="s">
        <v>316</v>
      </c>
      <c r="C945" s="16" t="s">
        <v>207</v>
      </c>
      <c r="D945" s="32" t="s">
        <v>109</v>
      </c>
      <c r="E945" s="17">
        <f>E946</f>
        <v>49.31</v>
      </c>
      <c r="F945" s="17"/>
      <c r="G945" s="17">
        <f>E945*F945</f>
        <v>0</v>
      </c>
      <c r="H945" s="17"/>
    </row>
    <row r="946" spans="1:8">
      <c r="A946" s="118"/>
      <c r="B946" s="157" t="s">
        <v>42</v>
      </c>
      <c r="C946" s="119"/>
      <c r="D946" s="119"/>
      <c r="E946" s="115">
        <f>49.31*1</f>
        <v>49.31</v>
      </c>
      <c r="F946" s="115"/>
      <c r="G946" s="115"/>
      <c r="H946" s="116"/>
    </row>
    <row r="947" spans="1:8" ht="51">
      <c r="A947" s="16" t="s">
        <v>434</v>
      </c>
      <c r="B947" s="50" t="s">
        <v>318</v>
      </c>
      <c r="C947" s="16" t="s">
        <v>317</v>
      </c>
      <c r="D947" s="16" t="s">
        <v>81</v>
      </c>
      <c r="E947" s="17">
        <v>158.62</v>
      </c>
      <c r="F947" s="17"/>
      <c r="G947" s="17">
        <f>E947*F947</f>
        <v>0</v>
      </c>
      <c r="H947" s="17"/>
    </row>
    <row r="948" spans="1:8" ht="25.5">
      <c r="A948" s="16" t="s">
        <v>435</v>
      </c>
      <c r="B948" s="50" t="s">
        <v>57</v>
      </c>
      <c r="C948" s="16" t="s">
        <v>54</v>
      </c>
      <c r="D948" s="16" t="s">
        <v>199</v>
      </c>
      <c r="E948" s="17">
        <f>E951</f>
        <v>150.01790999999997</v>
      </c>
      <c r="F948" s="17"/>
      <c r="G948" s="17">
        <f>E948*F948</f>
        <v>0</v>
      </c>
      <c r="H948" s="17"/>
    </row>
    <row r="949" spans="1:8" ht="25.5">
      <c r="A949" s="91"/>
      <c r="B949" s="132" t="s">
        <v>55</v>
      </c>
      <c r="C949" s="92"/>
      <c r="D949" s="92"/>
      <c r="E949" s="94"/>
      <c r="F949" s="129"/>
      <c r="G949" s="94"/>
      <c r="H949" s="95"/>
    </row>
    <row r="950" spans="1:8" ht="25.5">
      <c r="A950" s="96"/>
      <c r="B950" s="74" t="s">
        <v>56</v>
      </c>
      <c r="C950" s="66"/>
      <c r="D950" s="66"/>
      <c r="E950" s="68">
        <f>((14.65*18.65)+(26.5*5)+(14.65*4)+(3.78*4.38)+(4.44*4.32))*0.3</f>
        <v>150.01790999999997</v>
      </c>
      <c r="F950" s="68"/>
      <c r="G950" s="68"/>
      <c r="H950" s="97"/>
    </row>
    <row r="951" spans="1:8">
      <c r="A951" s="98"/>
      <c r="B951" s="130" t="s">
        <v>463</v>
      </c>
      <c r="C951" s="100"/>
      <c r="D951" s="100"/>
      <c r="E951" s="102">
        <f>E950</f>
        <v>150.01790999999997</v>
      </c>
      <c r="F951" s="131"/>
      <c r="G951" s="103"/>
      <c r="H951" s="104"/>
    </row>
    <row r="952" spans="1:8" ht="38.25">
      <c r="A952" s="16" t="s">
        <v>436</v>
      </c>
      <c r="B952" s="50" t="s">
        <v>320</v>
      </c>
      <c r="C952" s="16" t="s">
        <v>319</v>
      </c>
      <c r="D952" s="32" t="s">
        <v>109</v>
      </c>
      <c r="E952" s="17">
        <f>E954</f>
        <v>417.01</v>
      </c>
      <c r="F952" s="17"/>
      <c r="G952" s="17">
        <f>E952*F952</f>
        <v>0</v>
      </c>
      <c r="H952" s="17"/>
    </row>
    <row r="953" spans="1:8" ht="38.25">
      <c r="A953" s="91"/>
      <c r="B953" s="132" t="s">
        <v>58</v>
      </c>
      <c r="C953" s="92"/>
      <c r="D953" s="92"/>
      <c r="E953" s="94"/>
      <c r="F953" s="94"/>
      <c r="G953" s="94"/>
      <c r="H953" s="95"/>
    </row>
    <row r="954" spans="1:8">
      <c r="A954" s="98"/>
      <c r="B954" s="156" t="s">
        <v>59</v>
      </c>
      <c r="C954" s="156"/>
      <c r="D954" s="100"/>
      <c r="E954" s="103">
        <f>500.06-33.74-49.31</f>
        <v>417.01</v>
      </c>
      <c r="F954" s="103"/>
      <c r="G954" s="103"/>
      <c r="H954" s="104"/>
    </row>
    <row r="955" spans="1:8" ht="25.5">
      <c r="A955" s="16" t="s">
        <v>437</v>
      </c>
      <c r="B955" s="50" t="s">
        <v>322</v>
      </c>
      <c r="C955" s="16" t="s">
        <v>321</v>
      </c>
      <c r="D955" s="32" t="s">
        <v>109</v>
      </c>
      <c r="E955" s="17">
        <f>E956</f>
        <v>33.74</v>
      </c>
      <c r="F955" s="17"/>
      <c r="G955" s="17">
        <f>E955*F955</f>
        <v>0</v>
      </c>
      <c r="H955" s="17"/>
    </row>
    <row r="956" spans="1:8">
      <c r="A956" s="118"/>
      <c r="B956" s="155" t="s">
        <v>60</v>
      </c>
      <c r="C956" s="155"/>
      <c r="D956" s="119"/>
      <c r="E956" s="115">
        <f>33.74</f>
        <v>33.74</v>
      </c>
      <c r="F956" s="115"/>
      <c r="G956" s="115"/>
      <c r="H956" s="116"/>
    </row>
    <row r="957" spans="1:8" ht="25.5">
      <c r="A957" s="16" t="s">
        <v>438</v>
      </c>
      <c r="B957" s="50" t="s">
        <v>328</v>
      </c>
      <c r="C957" s="16" t="s">
        <v>327</v>
      </c>
      <c r="D957" s="32" t="s">
        <v>109</v>
      </c>
      <c r="E957" s="17">
        <f>E958</f>
        <v>71.379000000000005</v>
      </c>
      <c r="F957" s="17"/>
      <c r="G957" s="17">
        <f>E957*F957</f>
        <v>0</v>
      </c>
      <c r="H957" s="17"/>
    </row>
    <row r="958" spans="1:8">
      <c r="A958" s="118"/>
      <c r="B958" s="155" t="s">
        <v>61</v>
      </c>
      <c r="C958" s="119"/>
      <c r="D958" s="114"/>
      <c r="E958" s="115">
        <f>158.62*0.45</f>
        <v>71.379000000000005</v>
      </c>
      <c r="F958" s="115"/>
      <c r="G958" s="115"/>
      <c r="H958" s="116"/>
    </row>
    <row r="959" spans="1:8">
      <c r="A959" s="190" t="s">
        <v>111</v>
      </c>
      <c r="B959" s="190"/>
      <c r="C959" s="23"/>
      <c r="D959" s="23"/>
      <c r="E959" s="22"/>
      <c r="F959" s="22"/>
      <c r="G959" s="22">
        <f>SUM(G926:G957)</f>
        <v>0</v>
      </c>
      <c r="H959" s="17" t="e">
        <f>G959/$G$960*100</f>
        <v>#DIV/0!</v>
      </c>
    </row>
    <row r="960" spans="1:8">
      <c r="A960" s="189" t="s">
        <v>177</v>
      </c>
      <c r="B960" s="189"/>
      <c r="C960" s="23"/>
      <c r="D960" s="23"/>
      <c r="E960" s="22"/>
      <c r="F960" s="22"/>
      <c r="G960" s="22">
        <f>G959+G924+G917+G863+G831+G550+G544+G441+G363+G319+G221+G200+G160+G141+G97+G64+G578</f>
        <v>0</v>
      </c>
      <c r="H960" s="17">
        <v>70</v>
      </c>
    </row>
    <row r="961" spans="1:8">
      <c r="A961" s="189" t="s">
        <v>178</v>
      </c>
      <c r="B961" s="189"/>
      <c r="C961" s="23"/>
      <c r="D961" s="23"/>
      <c r="E961" s="22"/>
      <c r="F961" s="22"/>
      <c r="G961" s="22">
        <f>G960*0.3</f>
        <v>0</v>
      </c>
      <c r="H961" s="17">
        <v>30</v>
      </c>
    </row>
    <row r="962" spans="1:8" s="5" customFormat="1">
      <c r="A962" s="189" t="s">
        <v>115</v>
      </c>
      <c r="B962" s="189"/>
      <c r="C962" s="23"/>
      <c r="D962" s="23"/>
      <c r="E962" s="22"/>
      <c r="F962" s="22"/>
      <c r="G962" s="22">
        <f>SUM(G960:G961)</f>
        <v>0</v>
      </c>
      <c r="H962" s="17">
        <v>100</v>
      </c>
    </row>
    <row r="963" spans="1:8" ht="24.75" customHeight="1">
      <c r="A963" s="214"/>
      <c r="B963" s="214"/>
      <c r="C963" s="214"/>
      <c r="D963" s="214"/>
      <c r="E963" s="214"/>
      <c r="F963" s="214"/>
      <c r="G963" s="214"/>
      <c r="H963" s="214"/>
    </row>
  </sheetData>
  <mergeCells count="37">
    <mergeCell ref="A917:B917"/>
    <mergeCell ref="A924:B924"/>
    <mergeCell ref="A550:B550"/>
    <mergeCell ref="A160:B160"/>
    <mergeCell ref="A200:B200"/>
    <mergeCell ref="A578:B578"/>
    <mergeCell ref="A831:B831"/>
    <mergeCell ref="A221:B221"/>
    <mergeCell ref="A319:B319"/>
    <mergeCell ref="A544:B544"/>
    <mergeCell ref="A863:B863"/>
    <mergeCell ref="A441:B441"/>
    <mergeCell ref="A141:B141"/>
    <mergeCell ref="A8:C8"/>
    <mergeCell ref="D8:H8"/>
    <mergeCell ref="G9:H9"/>
    <mergeCell ref="A363:B363"/>
    <mergeCell ref="A9:B9"/>
    <mergeCell ref="C9:D9"/>
    <mergeCell ref="E9:F9"/>
    <mergeCell ref="A10:H10"/>
    <mergeCell ref="A962:B962"/>
    <mergeCell ref="A963:H963"/>
    <mergeCell ref="H1:H4"/>
    <mergeCell ref="B3:G4"/>
    <mergeCell ref="G7:H7"/>
    <mergeCell ref="A5:H5"/>
    <mergeCell ref="A6:H6"/>
    <mergeCell ref="A1:A4"/>
    <mergeCell ref="B1:G2"/>
    <mergeCell ref="A959:B959"/>
    <mergeCell ref="A960:B960"/>
    <mergeCell ref="A961:B961"/>
    <mergeCell ref="A7:C7"/>
    <mergeCell ref="D7:F7"/>
    <mergeCell ref="A64:B64"/>
    <mergeCell ref="A97:B97"/>
  </mergeCells>
  <phoneticPr fontId="9" type="noConversion"/>
  <pageMargins left="0.74803149606299213" right="0.19685039370078741" top="0.98425196850393704" bottom="0.98425196850393704" header="0.51181102362204722" footer="0.51181102362204722"/>
  <pageSetup scale="90" orientation="portrait" r:id="rId1"/>
  <headerFooter alignWithMargins="0">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Orç_Hemo Floriano_Rev1</vt:lpstr>
      <vt:lpstr>Crono_Hemo Floriano_Rev1</vt:lpstr>
      <vt:lpstr>Memo Calc_Hemo Floriano_Rev1</vt:lpstr>
      <vt:lpstr>'Orç_Hemo Floriano_Rev1'!Area_de_impressao</vt:lpstr>
      <vt:lpstr>'Orç_Hemo Floriano_Rev1'!Titulos_de_impressao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     DE SAUDE</dc:creator>
  <cp:lastModifiedBy>Aecio</cp:lastModifiedBy>
  <cp:lastPrinted>2015-05-20T21:17:50Z</cp:lastPrinted>
  <dcterms:created xsi:type="dcterms:W3CDTF">1999-03-23T15:22:55Z</dcterms:created>
  <dcterms:modified xsi:type="dcterms:W3CDTF">2015-06-08T14:36:22Z</dcterms:modified>
</cp:coreProperties>
</file>